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190" firstSheet="18" activeTab="21"/>
  </bookViews>
  <sheets>
    <sheet name="2-A" sheetId="1" r:id="rId1"/>
    <sheet name="2-B" sheetId="2" r:id="rId2"/>
    <sheet name="2-C Other Operating Revenue" sheetId="3" r:id="rId3"/>
    <sheet name="2-C Account breakdown" sheetId="4" r:id="rId4"/>
    <sheet name="App.2-E_OM&amp;A_Exp_Summary" sheetId="5" r:id="rId5"/>
    <sheet name="App.2-F_Detailed_OM&amp;A_Expenses" sheetId="6" r:id="rId6"/>
    <sheet name="App.2-G_OM&amp;A_Cost _Drivers" sheetId="7" r:id="rId7"/>
    <sheet name="App.2-H_Regulatory_Costs" sheetId="8" r:id="rId8"/>
    <sheet name="2-I OM&amp;A Cost per Customer" sheetId="9" r:id="rId9"/>
    <sheet name="App.2-J_OM&amp;A_Variance_Analysis" sheetId="10" r:id="rId10"/>
    <sheet name="App.2-K Employee Costs" sheetId="11" r:id="rId11"/>
    <sheet name="2-L" sheetId="12" r:id="rId12"/>
    <sheet name="2-M 2009 CGAAP" sheetId="13" r:id="rId13"/>
    <sheet name="2-M 2010 CGAAP" sheetId="14" r:id="rId14"/>
    <sheet name="2-M 2011 CGAAP" sheetId="15" r:id="rId15"/>
    <sheet name="2-M 2011 IFRS" sheetId="16" r:id="rId16"/>
    <sheet name="2-M 2012 IFRS" sheetId="17" r:id="rId17"/>
    <sheet name="2-M 2013 IFRS" sheetId="18" r:id="rId18"/>
    <sheet name="App.2-N Capitalization" sheetId="19" r:id="rId19"/>
    <sheet name="App 2-O Cost Allocation" sheetId="20" r:id="rId20"/>
    <sheet name="App.2-P_Loss Factors" sheetId="21" r:id="rId21"/>
    <sheet name="2-Q Smart Meters" sheetId="22" r:id="rId22"/>
    <sheet name="2-R South" sheetId="23" r:id="rId23"/>
    <sheet name="2-R Barrie" sheetId="24" r:id="rId24"/>
    <sheet name="2-S" sheetId="25" r:id="rId25"/>
    <sheet name="App 2-T 1592 PILs" sheetId="26" r:id="rId26"/>
    <sheet name="App.2-U_Rev_Reconciliation" sheetId="27" r:id="rId27"/>
    <sheet name="PSS Bill Impacts  - App.2 V" sheetId="28" r:id="rId28"/>
    <sheet name="PSN Bill Impacts  - App.2 V" sheetId="29" r:id="rId29"/>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'[2]MACRO'!#REF!</definedName>
    <definedName name="_0001">#REF!</definedName>
    <definedName name="_0002">#REF!</definedName>
    <definedName name="_0010">#REF!</definedName>
    <definedName name="_0010AP">#REF!</definedName>
    <definedName name="_0015">#REF!</definedName>
    <definedName name="_0015AP">#REF!</definedName>
    <definedName name="_0020">#REF!</definedName>
    <definedName name="_0020AP">#REF!</definedName>
    <definedName name="_0050">#REF!</definedName>
    <definedName name="_0050AP">#REF!</definedName>
    <definedName name="_0070">#REF!</definedName>
    <definedName name="_0070AP">#REF!</definedName>
    <definedName name="_0071">#REF!</definedName>
    <definedName name="_0071AP">#REF!</definedName>
    <definedName name="_0072">#REF!</definedName>
    <definedName name="_0073">#REF!</definedName>
    <definedName name="_0073AP">#REF!</definedName>
    <definedName name="_0075">#REF!</definedName>
    <definedName name="_0075AP">#REF!</definedName>
    <definedName name="_0076">#REF!</definedName>
    <definedName name="_0077">#REF!</definedName>
    <definedName name="_0077AP">#REF!</definedName>
    <definedName name="_0078">#REF!</definedName>
    <definedName name="_0078AP">#REF!</definedName>
    <definedName name="_0078AP2">#REF!</definedName>
    <definedName name="_0078AP3">#REF!</definedName>
    <definedName name="_0079">#REF!</definedName>
    <definedName name="_0079AP">#REF!</definedName>
    <definedName name="_0080">#REF!</definedName>
    <definedName name="_0080AP">#REF!</definedName>
    <definedName name="_0081">#REF!</definedName>
    <definedName name="_0081AP">#REF!</definedName>
    <definedName name="_0082">#REF!</definedName>
    <definedName name="_0090">#REF!</definedName>
    <definedName name="_0090AP">#REF!</definedName>
    <definedName name="_0110">#REF!</definedName>
    <definedName name="_0110AP">#REF!</definedName>
    <definedName name="_0115">#REF!</definedName>
    <definedName name="_0115AP">#REF!</definedName>
    <definedName name="_0120">#REF!</definedName>
    <definedName name="_0120AP">#REF!</definedName>
    <definedName name="_0130">#REF!</definedName>
    <definedName name="_0130AP">#REF!</definedName>
    <definedName name="_0140">#REF!</definedName>
    <definedName name="_0140AP">#REF!</definedName>
    <definedName name="_0141">#REF!</definedName>
    <definedName name="_0141AP">#REF!</definedName>
    <definedName name="_0150">#REF!</definedName>
    <definedName name="_0150AP">#REF!</definedName>
    <definedName name="_0153">#REF!</definedName>
    <definedName name="_0153AP">#REF!</definedName>
    <definedName name="_10GJ">#REF!</definedName>
    <definedName name="_110GJ">#REF!</definedName>
    <definedName name="_115GJ">#REF!</definedName>
    <definedName name="_120GJ">#REF!</definedName>
    <definedName name="_130GJ">#REF!</definedName>
    <definedName name="_140GJ">#REF!</definedName>
    <definedName name="_141GJ">#REF!</definedName>
    <definedName name="_150GJ">#REF!</definedName>
    <definedName name="_153GJ">#REF!</definedName>
    <definedName name="_15GJ">#REF!</definedName>
    <definedName name="_1ST_QUARTER">#REF!</definedName>
    <definedName name="_20GJ">#REF!</definedName>
    <definedName name="_22AP">#REF!</definedName>
    <definedName name="_2ND_QUARTER">'[4]FinStateOperMAY98'!$A$1:$W$46</definedName>
    <definedName name="_50GJ">#REF!</definedName>
    <definedName name="_558AP">#REF!</definedName>
    <definedName name="_70ANALY">#REF!</definedName>
    <definedName name="_70GJ">#REF!</definedName>
    <definedName name="_75GJ">#REF!</definedName>
    <definedName name="_77GJ">#REF!</definedName>
    <definedName name="_78GJ">#REF!</definedName>
    <definedName name="_80ANALY">#REF!</definedName>
    <definedName name="_80GJ">#REF!</definedName>
    <definedName name="_81GJ">#REF!</definedName>
    <definedName name="_90GJ">#REF!</definedName>
    <definedName name="_Fill" hidden="1">'[5]Old MEA Statistics'!$B$250</definedName>
    <definedName name="_Key1" hidden="1">#REF!</definedName>
    <definedName name="_Key2" hidden="1">#REF!</definedName>
    <definedName name="_Order1" hidden="1">255</definedName>
    <definedName name="_Order2" hidden="1">0</definedName>
    <definedName name="_Sort" hidden="1">#REF!</definedName>
    <definedName name="_xlfn.BAHTTEXT" hidden="1">#NAME?</definedName>
    <definedName name="a">#REF!</definedName>
    <definedName name="AP">#REF!</definedName>
    <definedName name="AR">#REF!</definedName>
    <definedName name="A1B53806">#REF!</definedName>
    <definedName name="ACT995">'[6]dep'!#REF!</definedName>
    <definedName name="Admin" localSheetId="8">'[1]Rates'!$D$130</definedName>
    <definedName name="Admin" localSheetId="19">'[1]Rates'!$D$137</definedName>
    <definedName name="Admin" localSheetId="18">'[1]Rates'!$D$146</definedName>
    <definedName name="Admin" localSheetId="26">'[1]Rates'!$D$137</definedName>
    <definedName name="Admin">'[1]Rates'!$D$136</definedName>
    <definedName name="administration">#REF!</definedName>
    <definedName name="AMORCOMPLEAS">#REF!</definedName>
    <definedName name="AMORDEFERRED">#REF!</definedName>
    <definedName name="AMORLEASEHOLD">#REF!</definedName>
    <definedName name="AMOROFFLEAS">#REF!</definedName>
    <definedName name="AMORTCC">#REF!</definedName>
    <definedName name="AMORTLEASVEH">#REF!</definedName>
    <definedName name="ASSETADJ">#REF!</definedName>
    <definedName name="B6INC">#REF!</definedName>
    <definedName name="B6IVA">#REF!</definedName>
    <definedName name="BAL">#REF!</definedName>
    <definedName name="balan">'[8]A'!$A$10:$F$62</definedName>
    <definedName name="BALANCE">'[9]A'!$A$10:$F$62</definedName>
    <definedName name="BALSHT">#REF!</definedName>
    <definedName name="BillingCollecting">#REF!</definedName>
    <definedName name="BLDGCAPBUD">#REF!</definedName>
    <definedName name="Bridge_Year">'[1]Inputs'!$C$7</definedName>
    <definedName name="BRR" localSheetId="19">'[1]Revenue Requirement'!$M$44</definedName>
    <definedName name="BRR" localSheetId="18">'[1]Revenue Requirement'!$M$44</definedName>
    <definedName name="BRR" localSheetId="26">'[1]Revenue Requirement'!$M$44</definedName>
    <definedName name="BRR">'[1]Revenue Requirement'!$M$41</definedName>
    <definedName name="CCAPITAL">#REF!</definedName>
    <definedName name="C_">#REF!</definedName>
    <definedName name="CALCNWORKSHEET">#REF!</definedName>
    <definedName name="CAPEXP">'[10]Capexp'!$A$1:$V$94</definedName>
    <definedName name="CAPITAL">'[11]CapitalBudgetvsActual'!$A$4:$K$39</definedName>
    <definedName name="CAPITALEXP">#REF!</definedName>
    <definedName name="CapitalProjects">#REF!</definedName>
    <definedName name="CASH">#REF!</definedName>
    <definedName name="CFLOW">'[10]CFLOW'!$A$1:$J$77</definedName>
    <definedName name="CHANGES">'[9]C'!$A$10:$G$50</definedName>
    <definedName name="CITY">#REF!</definedName>
    <definedName name="CLEAR_ADJ">'[12]MACRO'!#REF!</definedName>
    <definedName name="Comp">'[13]Retain_SJP'!$A$1:$H$34</definedName>
    <definedName name="COMP_IS">#REF!</definedName>
    <definedName name="COMPCAPBUD">#REF!</definedName>
    <definedName name="CompIS">#REF!</definedName>
    <definedName name="COMPLEASCAPBUD">#REF!</definedName>
    <definedName name="CON">'[14]Retain_SJP'!$A$1:$H$34</definedName>
    <definedName name="CONSOL_MOVE">'[12]MACRO'!#REF!</definedName>
    <definedName name="CONTINUITY">#REF!</definedName>
    <definedName name="CONTINUITY_SCHEDULE_____PLANT">#REF!</definedName>
    <definedName name="COP_NEW">'[1]Rates'!$D$132</definedName>
    <definedName name="COP_NO_RPP" localSheetId="8">'[1]Rates'!$F$118</definedName>
    <definedName name="COP_NO_RPP" localSheetId="19">'[1]Rates'!$F$125</definedName>
    <definedName name="COP_NO_RPP" localSheetId="26">'[1]Rates'!$F$125</definedName>
    <definedName name="COP_NO_RPP">'[1]Rates'!$F$124</definedName>
    <definedName name="COP_NOTRPP_NEW">'[1]Rates'!$D$134</definedName>
    <definedName name="COP1" localSheetId="8">'[1]Rates'!$F$116</definedName>
    <definedName name="COP1" localSheetId="19">'[1]Rates'!$F$123</definedName>
    <definedName name="COP1" localSheetId="26">'[1]Rates'!$F$123</definedName>
    <definedName name="COP1">'[1]Rates'!$F$122</definedName>
    <definedName name="COP2" localSheetId="8">'[1]Rates'!$F$117</definedName>
    <definedName name="COP2" localSheetId="19">'[1]Rates'!$F$124</definedName>
    <definedName name="COP2" localSheetId="26">'[1]Rates'!$F$124</definedName>
    <definedName name="COP2">'[1]Rates'!$F$123</definedName>
    <definedName name="COP2_NEW">'[1]Rates'!$D$133</definedName>
    <definedName name="CUSTDEP">#REF!</definedName>
    <definedName name="DATA">'[10]DATA'!$A$1</definedName>
    <definedName name="DC_O_S">#REF!</definedName>
    <definedName name="DEBT">#REF!</definedName>
    <definedName name="DEPCOMPBILLING">#REF!</definedName>
    <definedName name="DEPCOMPRETAIL">#REF!</definedName>
    <definedName name="DEPCOMPUTER">#REF!</definedName>
    <definedName name="DEPCOMPWATER">#REF!</definedName>
    <definedName name="DEPNCLEARTOT">#REF!</definedName>
    <definedName name="DEPNGRTOTAL">#REF!</definedName>
    <definedName name="DEPOFFEQUIP">#REF!</definedName>
    <definedName name="DEPOFFWATER">#REF!</definedName>
    <definedName name="DEPPLANT">#REF!</definedName>
    <definedName name="DEPRADIO">#REF!</definedName>
    <definedName name="DEPSTORES">#REF!</definedName>
    <definedName name="DEPTELEPHONE">#REF!</definedName>
    <definedName name="DEPTOOLS">#REF!</definedName>
    <definedName name="DEPVEHICLES">#REF!</definedName>
    <definedName name="DEPWATERHT">#REF!</definedName>
    <definedName name="DETAIL">'[2]MACRO'!#REF!</definedName>
    <definedName name="DETAILS">#REF!</definedName>
    <definedName name="DISTRIB_ALL">'[10]DATA'!$C$244</definedName>
    <definedName name="Distribution">#REF!</definedName>
    <definedName name="DOWNINSTRS">#REF!</definedName>
    <definedName name="DRC" localSheetId="8">'[1]Rates'!$D$126</definedName>
    <definedName name="DRC" localSheetId="19">'[1]Rates'!$D$133</definedName>
    <definedName name="DRC" localSheetId="18">'[1]Rates'!$D$142</definedName>
    <definedName name="DRC" localSheetId="26">'[1]Rates'!$D$133</definedName>
    <definedName name="DRC">'[1]Rates'!$D$132</definedName>
    <definedName name="EQUITY">#REF!</definedName>
    <definedName name="EXP">#REF!</definedName>
    <definedName name="EXPENSES">'[9]E'!$A$11:$J$73</definedName>
    <definedName name="F">#REF!</definedName>
    <definedName name="FINMAS">#REF!</definedName>
    <definedName name="FIXEDASSETS">#REF!</definedName>
    <definedName name="GENERAL">'[15]DATA'!$C$228</definedName>
    <definedName name="GENERAL_1">'[15]DATA'!$C$229</definedName>
    <definedName name="GJ">#REF!</definedName>
    <definedName name="GJUNDER">#REF!</definedName>
    <definedName name="GROUP_ASSET_ADJ">#REF!</definedName>
    <definedName name="GROUPED_ASSET">#REF!</definedName>
    <definedName name="GSL_CURR_N" localSheetId="19">'[1]PSN Bill Impacts  - App.2 V'!$V$111:$AA$116</definedName>
    <definedName name="GSL_CURR_N" localSheetId="18">'[1]PSN Bill Impacts  - App.2 V'!$V$111:$AA$116</definedName>
    <definedName name="GSL_CURR_N" localSheetId="26">'[1]PSN Bill Impacts  - App.2 V'!$V$111:$AA$116</definedName>
    <definedName name="GSL_CURR_N">#REF!</definedName>
    <definedName name="GSL_Curr_S" localSheetId="19">'[1]PSS Bill Impacts  - App.2 V'!$V$111:$AA$116</definedName>
    <definedName name="GSL_Curr_S" localSheetId="18">'[1]PSS Bill Impacts  - App.2 V'!$V$111:$AA$116</definedName>
    <definedName name="GSL_Curr_S" localSheetId="26">'[1]PSS Bill Impacts  - App.2 V'!$V$111:$AA$116</definedName>
    <definedName name="GSL_Curr_S">#REF!</definedName>
    <definedName name="GSL_KW" localSheetId="19">'[1]PSS Bill Impacts  - App.2 V'!$V$110:$AA$110</definedName>
    <definedName name="GSL_KW" localSheetId="18">'[1]PSS Bill Impacts  - App.2 V'!$V$110:$AA$110</definedName>
    <definedName name="GSL_KW" localSheetId="26">'[1]PSS Bill Impacts  - App.2 V'!$V$110:$AA$110</definedName>
    <definedName name="GSL_KW">#REF!</definedName>
    <definedName name="GSL_KWH" localSheetId="19">'[1]PSS Bill Impacts  - App.2 V'!$U$111:$U$116</definedName>
    <definedName name="GSL_KWH" localSheetId="18">'[1]PSS Bill Impacts  - App.2 V'!$U$111:$U$116</definedName>
    <definedName name="GSL_KWH" localSheetId="26">'[1]PSS Bill Impacts  - App.2 V'!$U$111:$U$116</definedName>
    <definedName name="GSL_KWH">#REF!</definedName>
    <definedName name="GSL_NEW_N" localSheetId="19">'[1]PSN Bill Impacts  - App.2 V'!$V$121:$AA$126</definedName>
    <definedName name="GSL_NEW_N" localSheetId="18">'[1]PSN Bill Impacts  - App.2 V'!$V$121:$AA$126</definedName>
    <definedName name="GSL_NEW_N" localSheetId="26">'[1]PSN Bill Impacts  - App.2 V'!$V$121:$AA$126</definedName>
    <definedName name="GSL_NEW_N">#REF!</definedName>
    <definedName name="GSL_New_S" localSheetId="19">'[1]PSS Bill Impacts  - App.2 V'!$V$121:$AA$126</definedName>
    <definedName name="GSL_New_S" localSheetId="18">'[1]PSS Bill Impacts  - App.2 V'!$V$121:$AA$126</definedName>
    <definedName name="GSL_New_S" localSheetId="26">'[1]PSS Bill Impacts  - App.2 V'!$V$121:$AA$126</definedName>
    <definedName name="GSL_New_S">#REF!</definedName>
    <definedName name="HA_1">'[1]Inputs'!$C$9</definedName>
    <definedName name="HA_2">'[1]Inputs'!$C$10</definedName>
    <definedName name="HA_3">'[1]Inputs'!$C$11</definedName>
    <definedName name="HALFYEAR">#REF!</definedName>
    <definedName name="HBA">'[1]Inputs'!$C$8</definedName>
    <definedName name="HighVoltageTrans">#REF!</definedName>
    <definedName name="HST_11">'[1]Inputs'!$C$30</definedName>
    <definedName name="HST_12">'[1]Inputs'!$C$31</definedName>
    <definedName name="Import">#REF!</definedName>
    <definedName name="INCOME">'[9]B'!$A$10:$G$60</definedName>
    <definedName name="INV">#REF!</definedName>
    <definedName name="INV_JRNL">#REF!</definedName>
    <definedName name="IS_MGMT">#REF!</definedName>
    <definedName name="LARGEUSER">'[15]DATA'!$C$235</definedName>
    <definedName name="LARGEUSER_1">'[15]DATA'!$C$236</definedName>
    <definedName name="LASTYR">'[10]LASTYR'!$A$1:$R$93</definedName>
    <definedName name="LEAD">#REF!</definedName>
    <definedName name="LEASHOLDIMPROV">#REF!</definedName>
    <definedName name="LF" localSheetId="8">'[1]Rates'!$G$110</definedName>
    <definedName name="LF">'[1]Rates'!$G$116</definedName>
    <definedName name="LF_2012" localSheetId="8">'[1]Rates'!$D$110</definedName>
    <definedName name="LF_2012" localSheetId="19">'[1]Rates'!$E$117</definedName>
    <definedName name="LF_2012" localSheetId="18">'[1]Rates'!$E$126</definedName>
    <definedName name="LF_2012" localSheetId="26">'[1]Rates'!$E$117</definedName>
    <definedName name="LF_2012">'[1]Rates'!$D$116</definedName>
    <definedName name="LF_LU" localSheetId="8">'[1]Rates'!$G$111</definedName>
    <definedName name="LF_LU" localSheetId="19">'[1]Rates'!$G$118</definedName>
    <definedName name="LF_LU" localSheetId="18">'[1]Rates'!$G$127</definedName>
    <definedName name="LF_LU" localSheetId="26">'[1]Rates'!$G$118</definedName>
    <definedName name="LF_LU">'[1]Rates'!$G$117</definedName>
    <definedName name="LF_LU_NEW" localSheetId="8">'[1]Rates'!$D$111</definedName>
    <definedName name="LF_LU_NEW" localSheetId="19">'[1]Rates'!$D$118</definedName>
    <definedName name="LF_LU_NEW" localSheetId="18">'[1]Rates'!$D$127</definedName>
    <definedName name="LF_LU_NEW" localSheetId="26">'[1]Rates'!$D$118</definedName>
    <definedName name="LF_LU_NEW">'[1]Rates'!$D$117</definedName>
    <definedName name="LF_LU_PSN" localSheetId="8">'[1]Rates'!$L$111</definedName>
    <definedName name="LF_LU_PSN" localSheetId="18">'[1]Rates'!$L$127</definedName>
    <definedName name="LF_LU_PSN">'[1]Rates'!$L$117</definedName>
    <definedName name="LF_PSN" localSheetId="8">'[1]Rates'!$L$110</definedName>
    <definedName name="LF_PSN" localSheetId="19">'[1]Rates'!$L$117</definedName>
    <definedName name="LF_PSN" localSheetId="18">'[1]Rates'!$L$126</definedName>
    <definedName name="LF_PSN" localSheetId="26">'[1]Rates'!$L$117</definedName>
    <definedName name="LF_PSN">'[1]Rates'!$L$116</definedName>
    <definedName name="LF_TESTYEAR" localSheetId="19">'[1]Rates'!$D$117</definedName>
    <definedName name="LF_TESTYEAR" localSheetId="26">'[1]Rates'!$D$117</definedName>
    <definedName name="LF_TESTYEAR">'[1]Rates'!$D$126</definedName>
    <definedName name="LU_CURR_N" localSheetId="19">'[1]PSN Bill Impacts  - App.2 V'!$V$161:$AA$166</definedName>
    <definedName name="LU_CURR_N" localSheetId="18">'[1]PSN Bill Impacts  - App.2 V'!$V$161:$AA$166</definedName>
    <definedName name="LU_CURR_N" localSheetId="26">'[1]PSN Bill Impacts  - App.2 V'!$V$161:$AA$166</definedName>
    <definedName name="LU_CURR_N">#REF!</definedName>
    <definedName name="LU_Curr_S" localSheetId="19">'[1]PSS Bill Impacts  - App.2 V'!$V$161:$AA$166</definedName>
    <definedName name="LU_Curr_S" localSheetId="18">'[1]PSS Bill Impacts  - App.2 V'!$V$161:$AA$166</definedName>
    <definedName name="LU_Curr_S" localSheetId="26">'[1]PSS Bill Impacts  - App.2 V'!$V$161:$AA$166</definedName>
    <definedName name="LU_Curr_S">#REF!</definedName>
    <definedName name="LU_KW" localSheetId="19">'[1]PSS Bill Impacts  - App.2 V'!$V$160:$AA$160</definedName>
    <definedName name="LU_KW" localSheetId="18">'[1]PSS Bill Impacts  - App.2 V'!$V$160:$AA$160</definedName>
    <definedName name="LU_KW" localSheetId="26">'[1]PSS Bill Impacts  - App.2 V'!$V$160:$AA$160</definedName>
    <definedName name="LU_KW">#REF!</definedName>
    <definedName name="LU_KWH" localSheetId="19">'[1]PSS Bill Impacts  - App.2 V'!$U$161:$U$166</definedName>
    <definedName name="LU_KWH" localSheetId="18">'[1]PSS Bill Impacts  - App.2 V'!$U$161:$U$166</definedName>
    <definedName name="LU_KWH" localSheetId="26">'[1]PSS Bill Impacts  - App.2 V'!$U$161:$U$166</definedName>
    <definedName name="LU_KWH">#REF!</definedName>
    <definedName name="LU_NEW_N" localSheetId="19">'[1]PSN Bill Impacts  - App.2 V'!$V$171:$AA$176</definedName>
    <definedName name="LU_NEW_N" localSheetId="18">'[1]PSN Bill Impacts  - App.2 V'!$V$171:$AA$176</definedName>
    <definedName name="LU_NEW_N" localSheetId="26">'[1]PSN Bill Impacts  - App.2 V'!$V$171:$AA$176</definedName>
    <definedName name="LU_NEW_N">#REF!</definedName>
    <definedName name="LU_New_S" localSheetId="19">'[1]PSS Bill Impacts  - App.2 V'!$V$171:$AA$176</definedName>
    <definedName name="LU_New_S" localSheetId="18">'[1]PSS Bill Impacts  - App.2 V'!$V$171:$AA$176</definedName>
    <definedName name="LU_New_S" localSheetId="26">'[1]PSS Bill Impacts  - App.2 V'!$V$171:$AA$176</definedName>
    <definedName name="LU_New_S">#REF!</definedName>
    <definedName name="MAIN">#REF!</definedName>
    <definedName name="MAJTOOLCAPBUD">#REF!</definedName>
    <definedName name="MEAStats">'[5]Old MEA Statistics'!$A$1:$R$1101</definedName>
    <definedName name="METERCAPBUD">#REF!</definedName>
    <definedName name="MIL">'[1]tables for Exhibit F'!$A$18</definedName>
    <definedName name="MUNICPCAPBUD">#REF!</definedName>
    <definedName name="NBV_DISPOSALS">#REF!</definedName>
    <definedName name="NOTE">'[9]D'!$A$11:$L$197</definedName>
    <definedName name="NOTETOP">'[9]D'!$A$1:$N$10</definedName>
    <definedName name="OFFEQPCAPBUD">#REF!</definedName>
    <definedName name="OFFLEASCAPBUD">#REF!</definedName>
    <definedName name="OHLINCAPBUD">#REF!</definedName>
    <definedName name="ONT_STATS">#REF!</definedName>
    <definedName name="OPERATING">'[10]OPERATNG'!$A$1:$M$101</definedName>
    <definedName name="OPERATING_TOWN">#REF!</definedName>
    <definedName name="OPERATINGDIRECT">#REF!</definedName>
    <definedName name="OPERST_VARIANCE">'[10]Operst_variance'!$C$4</definedName>
    <definedName name="OpsTrialBalance">#REF!</definedName>
    <definedName name="Order" hidden="1">255</definedName>
    <definedName name="PERFORM">'[10]PERFORM'!$A$1:$D$37</definedName>
    <definedName name="PREPAIDS">#REF!</definedName>
    <definedName name="prin">#REF!</definedName>
    <definedName name="_xlnm.Print_Area" localSheetId="3">'2-C Account breakdown'!$B$1:$I$45</definedName>
    <definedName name="_xlnm.Print_Area" localSheetId="2">'2-C Other Operating Revenue'!$B$8:$O$83,'2-C Other Operating Revenue'!#REF!</definedName>
    <definedName name="_xlnm.Print_Area" localSheetId="8">'2-I OM&amp;A Cost per Customer'!$A$1:$K$37</definedName>
    <definedName name="_xlnm.Print_Area" localSheetId="19">'App 2-O Cost Allocation'!$B$1:$I$135</definedName>
    <definedName name="_xlnm.Print_Area" localSheetId="4">'App.2-E_OM&amp;A_Exp_Summary'!$A$1:$G$94</definedName>
    <definedName name="_xlnm.Print_Area" localSheetId="5">'App.2-F_Detailed_OM&amp;A_Expenses'!$A$1:$I$114</definedName>
    <definedName name="_xlnm.Print_Area" localSheetId="6">'App.2-G_OM&amp;A_Cost _Drivers'!$A$1:$J$41</definedName>
    <definedName name="_xlnm.Print_Area" localSheetId="7">'App.2-H_Regulatory_Costs'!$A$1:$M$38</definedName>
    <definedName name="_xlnm.Print_Area" localSheetId="9">'App.2-J_OM&amp;A_Variance_Analysis'!$A$1:$K$135</definedName>
    <definedName name="_xlnm.Print_Area" localSheetId="10">'App.2-K Employee Costs'!$B$1:$I$130</definedName>
    <definedName name="_xlnm.Print_Area" localSheetId="18">'App.2-N Capitalization'!$A$1:$Q$128</definedName>
    <definedName name="_xlnm.Print_Area" localSheetId="20">'App.2-P_Loss Factors'!$A$1:$I$73</definedName>
    <definedName name="_xlnm.Print_Area" localSheetId="26">'App.2-U_Rev_Reconciliation'!$A$1:$Q$26</definedName>
    <definedName name="_xlnm.Print_Area" localSheetId="28">'PSN Bill Impacts  - App.2 V'!$A$1:$Q$55,'PSN Bill Impacts  - App.2 V'!$A$60:$Q$107,'PSN Bill Impacts  - App.2 V'!$A$112:$Q$157,'PSN Bill Impacts  - App.2 V'!$A$162:$Q$207,'PSN Bill Impacts  - App.2 V'!$A$212:$Q$257,'PSN Bill Impacts  - App.2 V'!$A$312:$Q$357</definedName>
    <definedName name="_xlnm.Print_Area" localSheetId="27">'PSS Bill Impacts  - App.2 V'!$A$1:$Q$55,'PSS Bill Impacts  - App.2 V'!$A$60:$Q$107,'PSS Bill Impacts  - App.2 V'!$A$112:$Q$157,'PSS Bill Impacts  - App.2 V'!$A$162:$Q$207,'PSS Bill Impacts  - App.2 V'!$A$212:$Q$257,'PSS Bill Impacts  - App.2 V'!$A$262:$Q$307,'PSS Bill Impacts  - App.2 V'!$A$312:$Q$357</definedName>
    <definedName name="_xlnm.Print_Titles" localSheetId="2">'2-C Other Operating Revenue'!$B:$C</definedName>
    <definedName name="_xlnm.Print_Titles" localSheetId="4">'App.2-E_OM&amp;A_Exp_Summary'!$1:$12</definedName>
    <definedName name="_xlnm.Print_Titles" localSheetId="5">'App.2-F_Detailed_OM&amp;A_Expenses'!$1:$13</definedName>
    <definedName name="_xlnm.Print_Titles" localSheetId="9">'App.2-J_OM&amp;A_Variance_Analysis'!$1:$15</definedName>
    <definedName name="_xlnm.Print_Titles" localSheetId="10">'App.2-K Employee Costs'!$11:$13</definedName>
    <definedName name="_xlnm.Print_Titles" localSheetId="18">'App.2-N Capitalization'!$1:$10</definedName>
    <definedName name="_xlnm.Print_Titles" localSheetId="28">'PSN Bill Impacts  - App.2 V'!$1:$7</definedName>
    <definedName name="_xlnm.Print_Titles" localSheetId="27">'PSS Bill Impacts  - App.2 V'!$1:$7</definedName>
    <definedName name="_xlnm.Print_Titles">#N/A</definedName>
    <definedName name="PRINT2000">#REF!</definedName>
    <definedName name="PRINT93">#REF!</definedName>
    <definedName name="PRINT94">#REF!</definedName>
    <definedName name="PRINT95">#REF!</definedName>
    <definedName name="PRINT96">#REF!</definedName>
    <definedName name="PRINT97">#REF!</definedName>
    <definedName name="PRINT98">#REF!</definedName>
    <definedName name="PRINT99">#REF!</definedName>
    <definedName name="PRINTCCAMORTIZN">#REF!</definedName>
    <definedName name="PRINTPROJN">#REF!</definedName>
    <definedName name="PRINTSCH">#REF!</definedName>
    <definedName name="PRIOR">#REF!</definedName>
    <definedName name="PROPERTYTAX">#REF!</definedName>
    <definedName name="PROPTAX">#REF!</definedName>
    <definedName name="PROTAX">#REF!</definedName>
    <definedName name="R_">#REF!</definedName>
    <definedName name="RADIO_PHONE">#REF!</definedName>
    <definedName name="RADIOCAPBUD">#REF!</definedName>
    <definedName name="rate_riders">'[1]Tables for Exhibit H'!$B$99:$I$105</definedName>
    <definedName name="RateBase">'[1]Rate Base'!$L$19</definedName>
    <definedName name="RATES" localSheetId="8">'[1]Rates'!$A$14:$AD$130</definedName>
    <definedName name="RATES" localSheetId="19">'[1]Rates'!$A$14:$AD$137</definedName>
    <definedName name="RATES" localSheetId="18">'[1]Rates'!$A$14:$AD$146</definedName>
    <definedName name="RATES" localSheetId="26">'[1]Rates'!$A$14:$AD$137</definedName>
    <definedName name="RATES">'[1]Rates'!$A$14:$AD$136</definedName>
    <definedName name="Rates_New" localSheetId="18">'[1]Proposed Rates Schedule'!$A$62:$G$332</definedName>
    <definedName name="Rates_New">'[1]Proposed Rates Schedule'!$A$60:$G$270</definedName>
    <definedName name="REIMBURSE">#REF!</definedName>
    <definedName name="REIMBURSET">#REF!</definedName>
    <definedName name="res">'[17]DATA'!$C$223</definedName>
    <definedName name="RESIDENT_1">'[15]DATA'!$C$227</definedName>
    <definedName name="RESIDENTIAL">'[15]DATA'!$C$226</definedName>
    <definedName name="RESIDENTIAL_1">'[10]DATA'!$C$230</definedName>
    <definedName name="ret">#REF!</definedName>
    <definedName name="RETAIN">#REF!</definedName>
    <definedName name="REV">#REF!</definedName>
    <definedName name="RIA_ADJ">#REF!</definedName>
    <definedName name="RRRP" localSheetId="8">'[1]Rates'!$D$125</definedName>
    <definedName name="RRRP" localSheetId="19">'[1]Rates'!$D$132</definedName>
    <definedName name="RRRP" localSheetId="18">'[1]Rates'!$D$141</definedName>
    <definedName name="RRRP" localSheetId="26">'[1]Rates'!$D$132</definedName>
    <definedName name="RRRP">'[1]Rates'!$D$131</definedName>
    <definedName name="SCADACAPBUD">#REF!</definedName>
    <definedName name="SCHANGES">'[10]SCHANGES'!$B$1:$H$63</definedName>
    <definedName name="SE_CURR_N">'PSN Bill Impacts  - App.2 V'!#REF!</definedName>
    <definedName name="SE_Curr_S" localSheetId="19">'[1]PSS Bill Impacts  - App.2 V'!$V$261:$Y$264</definedName>
    <definedName name="SE_Curr_S" localSheetId="18">'[1]PSS Bill Impacts  - App.2 V'!$V$261:$Y$264</definedName>
    <definedName name="SE_Curr_S" localSheetId="26">'[1]PSS Bill Impacts  - App.2 V'!$V$261:$Y$264</definedName>
    <definedName name="SE_Curr_S">#REF!</definedName>
    <definedName name="SE_KW" localSheetId="19">'[1]PSS Bill Impacts  - App.2 V'!$V$260:$Y$260</definedName>
    <definedName name="SE_KW" localSheetId="18">'[1]PSS Bill Impacts  - App.2 V'!$V$260:$Y$260</definedName>
    <definedName name="SE_KW" localSheetId="26">'[1]PSS Bill Impacts  - App.2 V'!$V$260:$Y$260</definedName>
    <definedName name="SE_KW">#REF!</definedName>
    <definedName name="SE_KWH" localSheetId="19">'[1]PSS Bill Impacts  - App.2 V'!$U$261:$U$264</definedName>
    <definedName name="SE_KWH" localSheetId="18">'[1]PSS Bill Impacts  - App.2 V'!$U$261:$U$264</definedName>
    <definedName name="SE_KWH" localSheetId="26">'[1]PSS Bill Impacts  - App.2 V'!$U$261:$U$264</definedName>
    <definedName name="SE_KWH">#REF!</definedName>
    <definedName name="SE_NEW_N">'PSN Bill Impacts  - App.2 V'!#REF!</definedName>
    <definedName name="SE_NEW_S" localSheetId="19">'[1]PSS Bill Impacts  - App.2 V'!$V$272:$Y$275</definedName>
    <definedName name="SE_NEW_S" localSheetId="18">'[1]PSS Bill Impacts  - App.2 V'!$V$272:$Y$275</definedName>
    <definedName name="SE_NEW_S" localSheetId="26">'[1]PSS Bill Impacts  - App.2 V'!$V$272:$Y$275</definedName>
    <definedName name="SE_NEW_S">#REF!</definedName>
    <definedName name="SENTINEL">'[15]DATA'!$C$233</definedName>
    <definedName name="SENTINEL_1">'[15]DATA'!$C$234</definedName>
    <definedName name="SL_CURR_N" localSheetId="19">'[1]PSN Bill Impacts  - App.2 V'!$V$311:$Z$315</definedName>
    <definedName name="SL_CURR_N" localSheetId="18">'[1]PSN Bill Impacts  - App.2 V'!$V$311:$Z$315</definedName>
    <definedName name="SL_CURR_N" localSheetId="26">'[1]PSN Bill Impacts  - App.2 V'!$V$311:$Z$315</definedName>
    <definedName name="SL_CURR_N">#REF!</definedName>
    <definedName name="SL_Curr_S" localSheetId="19">'[1]PSS Bill Impacts  - App.2 V'!$V$311:$Z$315</definedName>
    <definedName name="SL_Curr_S" localSheetId="18">'[1]PSS Bill Impacts  - App.2 V'!$V$311:$Z$315</definedName>
    <definedName name="SL_Curr_S" localSheetId="26">'[1]PSS Bill Impacts  - App.2 V'!$V$311:$Z$315</definedName>
    <definedName name="SL_Curr_S">#REF!</definedName>
    <definedName name="SL_KW" localSheetId="19">'[1]PSS Bill Impacts  - App.2 V'!$V$310:$Z$310</definedName>
    <definedName name="SL_KW" localSheetId="18">'[1]PSS Bill Impacts  - App.2 V'!$V$310:$Z$310</definedName>
    <definedName name="SL_KW" localSheetId="26">'[1]PSS Bill Impacts  - App.2 V'!$V$310:$Z$310</definedName>
    <definedName name="SL_KW">#REF!</definedName>
    <definedName name="SL_KWH" localSheetId="19">'[1]PSS Bill Impacts  - App.2 V'!$U$311:$U$315</definedName>
    <definedName name="SL_KWH" localSheetId="18">'[1]PSS Bill Impacts  - App.2 V'!$U$311:$U$315</definedName>
    <definedName name="SL_KWH" localSheetId="26">'[1]PSS Bill Impacts  - App.2 V'!$U$311:$U$315</definedName>
    <definedName name="SL_KWH">#REF!</definedName>
    <definedName name="SL_NEW_N" localSheetId="19">'[1]PSN Bill Impacts  - App.2 V'!$V$322:$Z$326</definedName>
    <definedName name="SL_NEW_N" localSheetId="18">'[1]PSN Bill Impacts  - App.2 V'!$V$322:$Z$326</definedName>
    <definedName name="SL_NEW_N" localSheetId="26">'[1]PSN Bill Impacts  - App.2 V'!$V$322:$Z$326</definedName>
    <definedName name="SL_NEW_N">#REF!</definedName>
    <definedName name="SL_New_S" localSheetId="19">'[1]PSS Bill Impacts  - App.2 V'!$V$322:$Z$326</definedName>
    <definedName name="SL_New_S" localSheetId="18">'[1]PSS Bill Impacts  - App.2 V'!$V$322:$Z$326</definedName>
    <definedName name="SL_New_S" localSheetId="26">'[1]PSS Bill Impacts  - App.2 V'!$V$322:$Z$326</definedName>
    <definedName name="SL_New_S">#REF!</definedName>
    <definedName name="SPC" localSheetId="8">'[1]Rates'!$D$127</definedName>
    <definedName name="SPC" localSheetId="19">'[1]Rates'!$D$134</definedName>
    <definedName name="SPC" localSheetId="18">'[1]Rates'!$D$143</definedName>
    <definedName name="SPC" localSheetId="26">'[1]Rates'!$D$134</definedName>
    <definedName name="SPC">'[1]Rates'!$D$133</definedName>
    <definedName name="Spec_charges">'[1]Specific Service Charges'!$C$9:$E$41</definedName>
    <definedName name="start11">'2-C Other Operating Revenue'!$A$7</definedName>
    <definedName name="start12">'2-C Account breakdown'!$A$6</definedName>
    <definedName name="start24">'App.2-N Capitalization'!$A$1</definedName>
    <definedName name="start38" localSheetId="28">'PSN Bill Impacts  - App.2 V'!$A$1</definedName>
    <definedName name="start47">'PSS Bill Impacts  - App.2 V'!$A$1</definedName>
    <definedName name="start49">'PSN Bill Impacts  - App.2 V'!$A$1</definedName>
    <definedName name="STORESCAPBUD">#REF!</definedName>
    <definedName name="STREETLITE">'[15]DATA'!$C$237</definedName>
    <definedName name="STREETLITE_1">'[15]DATA'!$C$238</definedName>
    <definedName name="SUMMARY_IS">#REF!</definedName>
    <definedName name="SUPPLMT">'[10]SUPPLMT'!$A$1:$I$59</definedName>
    <definedName name="T">#REF!</definedName>
    <definedName name="TELECAPBUD">#REF!</definedName>
    <definedName name="temp">#REF!</definedName>
    <definedName name="Test_Year">'[1]Inputs'!$C$6</definedName>
    <definedName name="TR">#REF!</definedName>
    <definedName name="TRNSOHCAPBUD">#REF!</definedName>
    <definedName name="TRNSSTNCAPBUD">#REF!</definedName>
    <definedName name="TRNSUGCAPBUD">#REF!</definedName>
    <definedName name="UGLINCAPBUD">#REF!</definedName>
    <definedName name="USoATB">#REF!</definedName>
    <definedName name="Utilization">#REF!</definedName>
    <definedName name="VEHCAPBUD">#REF!</definedName>
    <definedName name="VEHLEASCAPBUD">#REF!</definedName>
    <definedName name="WHEATCAPBUD">#REF!</definedName>
    <definedName name="WMS" localSheetId="8">'[1]Rates'!$D$124</definedName>
    <definedName name="WMS" localSheetId="19">'[1]Rates'!$D$131</definedName>
    <definedName name="WMS" localSheetId="18">'[1]Rates'!$D$140</definedName>
    <definedName name="WMS" localSheetId="26">'[1]Rates'!$D$131</definedName>
    <definedName name="WMS">'[1]Rates'!$D$130</definedName>
    <definedName name="wwwwww">#REF!</definedName>
    <definedName name="YTD_LAB">#REF!</definedName>
    <definedName name="YTD_LAB_VA">#REF!</definedName>
    <definedName name="YTD_RNM">#REF!</definedName>
    <definedName name="YTD_RNM_VA">#REF!</definedName>
    <definedName name="z">#REF!</definedName>
  </definedNames>
  <calcPr fullCalcOnLoad="1"/>
</workbook>
</file>

<file path=xl/comments11.xml><?xml version="1.0" encoding="utf-8"?>
<comments xmlns="http://schemas.openxmlformats.org/spreadsheetml/2006/main">
  <authors>
    <author>nicole.fan</author>
  </authors>
  <commentList>
    <comment ref="G142" authorId="0">
      <text>
        <r>
          <rPr>
            <b/>
            <sz val="8"/>
            <rFont val="Tahoma"/>
            <family val="2"/>
          </rPr>
          <t>nicole.fan:</t>
        </r>
        <r>
          <rPr>
            <sz val="8"/>
            <rFont val="Tahoma"/>
            <family val="2"/>
          </rPr>
          <t xml:space="preserve">
</t>
        </r>
      </text>
    </comment>
  </commentList>
</comments>
</file>

<file path=xl/comments14.xml><?xml version="1.0" encoding="utf-8"?>
<comments xmlns="http://schemas.openxmlformats.org/spreadsheetml/2006/main">
  <authors>
    <author>larry.iwamoto</author>
  </authors>
  <commentList>
    <comment ref="E35" authorId="0">
      <text>
        <r>
          <rPr>
            <b/>
            <sz val="8"/>
            <rFont val="Tahoma"/>
            <family val="0"/>
          </rPr>
          <t>larry.iwamoto:</t>
        </r>
        <r>
          <rPr>
            <sz val="8"/>
            <rFont val="Tahoma"/>
            <family val="0"/>
          </rPr>
          <t xml:space="preserve">
Per Luisa the 15M reclass adjustment is missing  Taken from the 1808 the other 22M reclass is 1815 ti balance</t>
        </r>
      </text>
    </comment>
    <comment ref="E37" authorId="0">
      <text>
        <r>
          <rPr>
            <b/>
            <sz val="8"/>
            <rFont val="Tahoma"/>
            <family val="0"/>
          </rPr>
          <t>larry.iwamoto:</t>
        </r>
        <r>
          <rPr>
            <sz val="8"/>
            <rFont val="Tahoma"/>
            <family val="0"/>
          </rPr>
          <t xml:space="preserve">
removed 311k already in disposals columne - double counting</t>
        </r>
      </text>
    </comment>
    <comment ref="E41" authorId="0">
      <text>
        <r>
          <rPr>
            <b/>
            <sz val="8"/>
            <rFont val="Tahoma"/>
            <family val="0"/>
          </rPr>
          <t>larry.iwamoto:</t>
        </r>
        <r>
          <rPr>
            <sz val="8"/>
            <rFont val="Tahoma"/>
            <family val="0"/>
          </rPr>
          <t xml:space="preserve">
removed disposal amt as was initiiallly double counted in this column</t>
        </r>
      </text>
    </comment>
  </commentList>
</comments>
</file>

<file path=xl/comments16.xml><?xml version="1.0" encoding="utf-8"?>
<comments xmlns="http://schemas.openxmlformats.org/spreadsheetml/2006/main">
  <authors>
    <author>larry.iwamoto</author>
  </authors>
  <commentList>
    <comment ref="E22" authorId="0">
      <text>
        <r>
          <rPr>
            <b/>
            <sz val="8"/>
            <rFont val="Tahoma"/>
            <family val="0"/>
          </rPr>
          <t>larry.iwamoto:</t>
        </r>
        <r>
          <rPr>
            <sz val="8"/>
            <rFont val="Tahoma"/>
            <family val="0"/>
          </rPr>
          <t xml:space="preserve">
updated to reflect correct depn rate</t>
        </r>
      </text>
    </comment>
    <comment ref="E34" authorId="0">
      <text>
        <r>
          <rPr>
            <b/>
            <sz val="8"/>
            <rFont val="Tahoma"/>
            <family val="0"/>
          </rPr>
          <t>larry.iwamoto:</t>
        </r>
        <r>
          <rPr>
            <sz val="8"/>
            <rFont val="Tahoma"/>
            <family val="0"/>
          </rPr>
          <t xml:space="preserve">
updated to reflect correct depn rate</t>
        </r>
      </text>
    </comment>
    <comment ref="E36" authorId="0">
      <text>
        <r>
          <rPr>
            <b/>
            <sz val="8"/>
            <rFont val="Tahoma"/>
            <family val="0"/>
          </rPr>
          <t>larry.iwamoto:</t>
        </r>
        <r>
          <rPr>
            <sz val="8"/>
            <rFont val="Tahoma"/>
            <family val="0"/>
          </rPr>
          <t xml:space="preserve">
updated to reflect correct depn rate</t>
        </r>
      </text>
    </comment>
    <comment ref="D55" authorId="0">
      <text>
        <r>
          <rPr>
            <b/>
            <sz val="8"/>
            <rFont val="Tahoma"/>
            <family val="0"/>
          </rPr>
          <t>larry.iwamoto:</t>
        </r>
        <r>
          <rPr>
            <sz val="8"/>
            <rFont val="Tahoma"/>
            <family val="0"/>
          </rPr>
          <t xml:space="preserve">
Includes process re-enging
</t>
        </r>
      </text>
    </comment>
    <comment ref="G69" authorId="0">
      <text>
        <r>
          <rPr>
            <b/>
            <sz val="8"/>
            <rFont val="Tahoma"/>
            <family val="0"/>
          </rPr>
          <t>larry.iwamoto:</t>
        </r>
        <r>
          <rPr>
            <sz val="8"/>
            <rFont val="Tahoma"/>
            <family val="0"/>
          </rPr>
          <t xml:space="preserve">
We filed 23,754k - addl 1,133k - to offset OB 2011 to agree with 210 CB but actual CC amortn was based on this lower #
</t>
        </r>
      </text>
    </comment>
  </commentList>
</comments>
</file>

<file path=xl/comments17.xml><?xml version="1.0" encoding="utf-8"?>
<comments xmlns="http://schemas.openxmlformats.org/spreadsheetml/2006/main">
  <authors>
    <author>larry.iwamoto</author>
  </authors>
  <commentList>
    <comment ref="E59" authorId="0">
      <text>
        <r>
          <rPr>
            <b/>
            <sz val="8"/>
            <rFont val="Tahoma"/>
            <family val="0"/>
          </rPr>
          <t>larry.iwamoto:</t>
        </r>
        <r>
          <rPr>
            <sz val="8"/>
            <rFont val="Tahoma"/>
            <family val="0"/>
          </rPr>
          <t xml:space="preserve">
Corrected per Luisa I see email on file it was 20.9M</t>
        </r>
      </text>
    </comment>
  </commentList>
</comments>
</file>

<file path=xl/comments18.xml><?xml version="1.0" encoding="utf-8"?>
<comments xmlns="http://schemas.openxmlformats.org/spreadsheetml/2006/main">
  <authors>
    <author>larry.iwamoto</author>
  </authors>
  <commentList>
    <comment ref="E59" authorId="0">
      <text>
        <r>
          <rPr>
            <b/>
            <sz val="8"/>
            <rFont val="Tahoma"/>
            <family val="0"/>
          </rPr>
          <t>larry.iwamoto:</t>
        </r>
        <r>
          <rPr>
            <sz val="8"/>
            <rFont val="Tahoma"/>
            <family val="0"/>
          </rPr>
          <t xml:space="preserve">
seems too high!!</t>
        </r>
      </text>
    </comment>
    <comment ref="E81" authorId="0">
      <text>
        <r>
          <rPr>
            <b/>
            <sz val="8"/>
            <rFont val="Tahoma"/>
            <family val="0"/>
          </rPr>
          <t>larry.iwamoto:</t>
        </r>
        <r>
          <rPr>
            <sz val="8"/>
            <rFont val="Tahoma"/>
            <family val="0"/>
          </rPr>
          <t xml:space="preserve">
will not agree with ratebase due to changing 3 classes plus added leased prooperty fully depted</t>
        </r>
      </text>
    </comment>
  </commentList>
</comments>
</file>

<file path=xl/comments28.xml><?xml version="1.0" encoding="utf-8"?>
<comments xmlns="http://schemas.openxmlformats.org/spreadsheetml/2006/main">
  <authors>
    <author>elena.yampolsky</author>
  </authors>
  <commentList>
    <comment ref="H314" authorId="0">
      <text>
        <r>
          <rPr>
            <sz val="8"/>
            <rFont val="Tahoma"/>
            <family val="2"/>
          </rPr>
          <t>using 40% load factor</t>
        </r>
      </text>
    </comment>
    <comment ref="H315" authorId="0">
      <text>
        <r>
          <rPr>
            <sz val="8"/>
            <rFont val="Tahoma"/>
            <family val="2"/>
          </rPr>
          <t xml:space="preserve">based on P OEB Requiremetn
</t>
        </r>
      </text>
    </comment>
  </commentList>
</comments>
</file>

<file path=xl/comments29.xml><?xml version="1.0" encoding="utf-8"?>
<comments xmlns="http://schemas.openxmlformats.org/spreadsheetml/2006/main">
  <authors>
    <author>elena.yampolsky</author>
  </authors>
  <commentList>
    <comment ref="H314" authorId="0">
      <text>
        <r>
          <rPr>
            <sz val="8"/>
            <rFont val="Tahoma"/>
            <family val="2"/>
          </rPr>
          <t>using 50% load factor</t>
        </r>
      </text>
    </comment>
    <comment ref="H315" authorId="0">
      <text>
        <r>
          <rPr>
            <sz val="8"/>
            <rFont val="Tahoma"/>
            <family val="2"/>
          </rPr>
          <t>based on PowerStream 2010 load data</t>
        </r>
      </text>
    </comment>
  </commentList>
</comments>
</file>

<file path=xl/comments4.xml><?xml version="1.0" encoding="utf-8"?>
<comments xmlns="http://schemas.openxmlformats.org/spreadsheetml/2006/main">
  <authors>
    <author>elena.yampolsky</author>
  </authors>
  <commentList>
    <comment ref="F21" authorId="0">
      <text>
        <r>
          <rPr>
            <b/>
            <sz val="8"/>
            <rFont val="Tahoma"/>
            <family val="2"/>
          </rPr>
          <t>elena.yampolsky:</t>
        </r>
        <r>
          <rPr>
            <sz val="8"/>
            <rFont val="Tahoma"/>
            <family val="2"/>
          </rPr>
          <t xml:space="preserve">
Hanna's estimate: Feb. 23, 2012</t>
        </r>
      </text>
    </comment>
  </commentList>
</comments>
</file>

<file path=xl/sharedStrings.xml><?xml version="1.0" encoding="utf-8"?>
<sst xmlns="http://schemas.openxmlformats.org/spreadsheetml/2006/main" count="3255" uniqueCount="852">
  <si>
    <r>
      <t xml:space="preserve">POWERSTREAM RESPONSE:  Powerstream recorded stranded meters each year of the smart meter implementation program.  This included an analysis of the conventional meter asset pool for those meters replaced by smart meters to determine the average cost and remaining useful life to determine the accumulated depreciation and remaining net book value ("NBV") of the meters being replaced.  An entry was recorded to remove the stranded meters from the fixed assets and to record the net book value in the smart meter account 1555.  Powerstream continued to record depreciation on these stranded meters.  An entry was made to debit "depreciation" to the OMA contra account 5695 with the offsetting credit to the  smart meter account 1555 sub-account stranded meter accumulated depreciation.                                                                                                                                           </t>
    </r>
    <r>
      <rPr>
        <sz val="11"/>
        <color indexed="8"/>
        <rFont val="Calibri"/>
        <family val="2"/>
      </rPr>
      <t xml:space="preserve">                                                                                                                                                                                                                                                                                                                                                                                </t>
    </r>
  </si>
  <si>
    <t>The amount of the pooled residual net book value of the removed from service stranded meters, less any contributed capital (net of accumulated amortization), and less any net proceeds from sales, which were transferred to this sub-account as of December 31, 2011.</t>
  </si>
  <si>
    <t>POWERSTREAM RESPONSE:  The net book value of stranded meters at December 31, 2011 for the Barrie rate zone was $3,045,590.</t>
  </si>
  <si>
    <t>A statement as to whether or not, since transferring the removed stranded meter costs to the sub-account, the recording of depreciation expenses was continued in order to reduce the net book value through accumulated depreciation.  If so, the total depreciation expense amount for the period from the time the costs for the stranded meters were transferred to the sub-account to December 31, 2010 should be provided.</t>
  </si>
  <si>
    <t xml:space="preserve">POWERSTREAM RESPONSE:   PowerStream applied depreciation annually on the gross cost of the assets removed to reduce the net book value of the stranded meter assets.  The total depreciation charged as of December 31, 2011 and after the stranded meters were transferred to 1555 was $414,872. </t>
  </si>
  <si>
    <t>POWERSTREAM RESPONSE:  PowerStream did not apply carrying charges to stranded meter assets.</t>
  </si>
  <si>
    <t>POWERSTREAM RESPONSE:  PowerStream completed its program by December 31/2011.  The residual pooled NBV is $3,045,590.</t>
  </si>
  <si>
    <t>POWERSTREAM RESPONSE:  PowerStream proposes in this rate application to recover the residual NBV of stranded meters from rate payers over a 2 year period through the use of rate riders.  The stranded meters amount has been aggregated with the other deferral and variance account balances for disposition. The amount for disposition was adjusted to remove 2012 estimated "depreciation".  Please see Exhibit H, Tab 6, Schedule 3 for Bill Impacts.</t>
  </si>
  <si>
    <t>POWERSTREAM RESPONSE:  PowerStream proposes in this rate application to recover the residual NBV of stranded meters from rate payers over a 2 year period through the use of rate riders.  The stranded meters amount has been aggregated with the other deferral and variance account balances for disposition. The amount for disposition was adjusted to remove 2012 estimated "depreciation". Please see Exhibit H, Tab 6, Schedule 3 for Bill Impacts.</t>
  </si>
  <si>
    <t>PowerStream does not have any embedded distributors.</t>
  </si>
  <si>
    <t>File Number:</t>
  </si>
  <si>
    <t>EB-2012-0161</t>
  </si>
  <si>
    <t>Exhibit:</t>
  </si>
  <si>
    <t>D1</t>
  </si>
  <si>
    <t>Tab:</t>
  </si>
  <si>
    <t>2-3</t>
  </si>
  <si>
    <t>Schedule:</t>
  </si>
  <si>
    <t>1-2</t>
  </si>
  <si>
    <t>Page:</t>
  </si>
  <si>
    <t>Date:</t>
  </si>
  <si>
    <t>Appendix 2-E</t>
  </si>
  <si>
    <t>Summary of OM&amp;A Expenses</t>
  </si>
  <si>
    <t>Table 1:</t>
  </si>
  <si>
    <t>OM&amp;A Year-over-Year Comparisons</t>
  </si>
  <si>
    <t>Variance</t>
  </si>
  <si>
    <t>Percentage Change</t>
  </si>
  <si>
    <t>Board-approved (PowerStream South)</t>
  </si>
  <si>
    <t>Actuals (PowerStream Combined)</t>
  </si>
  <si>
    <t>$</t>
  </si>
  <si>
    <t>%</t>
  </si>
  <si>
    <t>Operations</t>
  </si>
  <si>
    <t>Maintenance</t>
  </si>
  <si>
    <t>Billing and Collecting</t>
  </si>
  <si>
    <t>Community Relations</t>
  </si>
  <si>
    <t>Administrative and General</t>
  </si>
  <si>
    <t>Total OM&amp;A Expenses</t>
  </si>
  <si>
    <t>Inflation Rate</t>
  </si>
  <si>
    <t>Actuals</t>
  </si>
  <si>
    <t>Actuals (CGAAP)</t>
  </si>
  <si>
    <t>Actuals (MIFRS)</t>
  </si>
  <si>
    <t>Forecast (MIFRS)</t>
  </si>
  <si>
    <t>Table 2:</t>
  </si>
  <si>
    <t>Additional Total OM&amp;A Expense Comparative Information Table</t>
  </si>
  <si>
    <t>Required Total OM&amp;A Comparison</t>
  </si>
  <si>
    <t>Forecast</t>
  </si>
  <si>
    <t>Test Year versus Most Current Actuals</t>
  </si>
  <si>
    <t>Board-approved</t>
  </si>
  <si>
    <t>Test Year versus LRY Board-approved</t>
  </si>
  <si>
    <t>Simple average of % variance for all years</t>
  </si>
  <si>
    <t>Compound annual growth rate for all years</t>
  </si>
  <si>
    <t>Note 1</t>
  </si>
  <si>
    <r>
      <t xml:space="preserve">The comparison between 2009 Board Approved and 2013 Test year is </t>
    </r>
    <r>
      <rPr>
        <b/>
        <sz val="10"/>
        <color indexed="10"/>
        <rFont val="Arial"/>
        <family val="2"/>
      </rPr>
      <t>not valid</t>
    </r>
    <r>
      <rPr>
        <sz val="10"/>
        <rFont val="Arial"/>
        <family val="2"/>
      </rPr>
      <t>, due to:</t>
    </r>
  </si>
  <si>
    <t>1. 2009 Board Approved amounts are for PowerStream South only; the rest of years are for PowerStream Combined</t>
  </si>
  <si>
    <t xml:space="preserve">2. The overall increase in OM&amp;A includes the increase due to the transition to IFRS </t>
  </si>
  <si>
    <t>The IFRS impact amounts to $11,798,630 and shown separately in table comparing 2011 CGAAP to 2011 MIFRS.</t>
  </si>
  <si>
    <t>Note 2</t>
  </si>
  <si>
    <t>The inflation shown in the tables is equal to GDP-IPI index as published by OEB for the respective years.</t>
  </si>
  <si>
    <t>Note 3</t>
  </si>
  <si>
    <t>The inflation in forecast years 2012-2013 is assumed to be equal to the 2011 inflation</t>
  </si>
  <si>
    <t>Appendix 2-C</t>
  </si>
  <si>
    <t>C2</t>
  </si>
  <si>
    <t>Other Operating Revenue</t>
  </si>
  <si>
    <t>PS South</t>
  </si>
  <si>
    <t>PowerStream Combined</t>
  </si>
  <si>
    <t>Board Approved</t>
  </si>
  <si>
    <t/>
  </si>
  <si>
    <t>Historic Actual</t>
  </si>
  <si>
    <t>Bridge Year</t>
  </si>
  <si>
    <t>Test Year</t>
  </si>
  <si>
    <t>2011 MIFRS</t>
  </si>
  <si>
    <t>2012 MIFRS</t>
  </si>
  <si>
    <t>MIFRS 2013</t>
  </si>
  <si>
    <t>Miscellaneous Service Revenues</t>
  </si>
  <si>
    <t>Late Payment Charges</t>
  </si>
  <si>
    <t>SSS Admin charge</t>
  </si>
  <si>
    <t>Retail Services Revenues</t>
  </si>
  <si>
    <t>Service Transaction Requests (STR) Revenues</t>
  </si>
  <si>
    <t>Electric Services Incidental to Energy Sales</t>
  </si>
  <si>
    <t>Interdepartmental Rents</t>
  </si>
  <si>
    <t>Rent from Electric Property</t>
  </si>
  <si>
    <t>Other Utility Operating Income</t>
  </si>
  <si>
    <t>Other Electric Revenues</t>
  </si>
  <si>
    <t>Sales of Water and Water Power</t>
  </si>
  <si>
    <t>Provision for Rate Refunds</t>
  </si>
  <si>
    <t>Government Assistance Directly Credited to Income</t>
  </si>
  <si>
    <t>Regulatory Debits</t>
  </si>
  <si>
    <t>Regulatory Credits</t>
  </si>
  <si>
    <t>Revenues from Electric Plant Leased to Others</t>
  </si>
  <si>
    <t>Expenses of Electric Plant Leased to Others</t>
  </si>
  <si>
    <t>Special Purpose Charge Recovery</t>
  </si>
  <si>
    <t>Revenues from Merchandise, Jobbing, Etc.</t>
  </si>
  <si>
    <t>Costs and Expenses of Merchandising, Jobbing, Etc.</t>
  </si>
  <si>
    <t>Profits and Losses from Financial Instrument Hedges</t>
  </si>
  <si>
    <t>Profits and Losses from Financial Instrument Investments</t>
  </si>
  <si>
    <t>Gains from Disposition of Future Use Utility Plant</t>
  </si>
  <si>
    <t>Losses from Disposition of Future Use Utility Plant</t>
  </si>
  <si>
    <t>Gain on Disposition of Utility and Other Property</t>
  </si>
  <si>
    <t>Loss on Disposition of Utility and Other Property</t>
  </si>
  <si>
    <t>Gains from Disposition of Allowances for Emission</t>
  </si>
  <si>
    <t>Losses from Disposition of Allowances for Emission</t>
  </si>
  <si>
    <t>Revenues from Non-Utility Operations</t>
  </si>
  <si>
    <t>Expenses of Non-Utility Operations</t>
  </si>
  <si>
    <t>Non-Utility Rental Income</t>
  </si>
  <si>
    <t>Miscellaneous Non-Operating Income</t>
  </si>
  <si>
    <t>Rate-Payer Benefit Including Interest</t>
  </si>
  <si>
    <t>Foreign Exchange Gains and Losses, Including Amortization</t>
  </si>
  <si>
    <t>Interest and Dividend Income</t>
  </si>
  <si>
    <t>Equity in Earnings of Subsidiary Companies</t>
  </si>
  <si>
    <t xml:space="preserve">Specific Service Charges </t>
  </si>
  <si>
    <t xml:space="preserve">Late Payment Charges </t>
  </si>
  <si>
    <r>
      <t xml:space="preserve">Other Distribution Revenue </t>
    </r>
  </si>
  <si>
    <t>Other Income &amp; Expenses (incl. non-utility icome)</t>
  </si>
  <si>
    <t>Total</t>
  </si>
  <si>
    <t>check to the "summary cons"</t>
  </si>
  <si>
    <t>Other Income &amp; Expenses - Distribution</t>
  </si>
  <si>
    <t>Other Revenue - Not Classified (details below)</t>
  </si>
  <si>
    <t>subtotal</t>
  </si>
  <si>
    <t>"other Revenue - not classified"</t>
  </si>
  <si>
    <t>Transmission Charges Revenue</t>
  </si>
  <si>
    <t>Transmission Services Revenue</t>
  </si>
  <si>
    <t>Revenue offsets *</t>
  </si>
  <si>
    <t xml:space="preserve">Other Income &amp; Expenses </t>
  </si>
  <si>
    <r>
      <t>* For Revenue Offsets calculation, the amounts in accounts 4105,4110,4230,</t>
    </r>
    <r>
      <rPr>
        <b/>
        <i/>
        <sz val="12"/>
        <color indexed="10"/>
        <rFont val="Arial"/>
        <family val="2"/>
      </rPr>
      <t>4324</t>
    </r>
    <r>
      <rPr>
        <b/>
        <i/>
        <sz val="12"/>
        <rFont val="Arial"/>
        <family val="2"/>
      </rPr>
      <t xml:space="preserve">,4375,4380,4385 are not included in Other Income and Expenses . </t>
    </r>
  </si>
  <si>
    <t>** The amounts in account 4405 are net of interest on Regulatory Assets and interest on Customer Deposits</t>
  </si>
  <si>
    <t>Other Distribution Revenue  and Other Income - detailed breakdown</t>
  </si>
  <si>
    <t>Selected Accounts*</t>
  </si>
  <si>
    <t>2013 MIFRS</t>
  </si>
  <si>
    <t>Bank deposit Interest</t>
  </si>
  <si>
    <t>Interest on regulatory Assets</t>
  </si>
  <si>
    <t>Tax Assessment</t>
  </si>
  <si>
    <t>Interest - MAR</t>
  </si>
  <si>
    <t>Interest on Customer deposits</t>
  </si>
  <si>
    <t>Discounts earned</t>
  </si>
  <si>
    <t>Less Interest on Reg. Assets</t>
  </si>
  <si>
    <t>Less Interest on Customer deposits</t>
  </si>
  <si>
    <t>Total included in Revenue Offsets</t>
  </si>
  <si>
    <t>check to the summary</t>
  </si>
  <si>
    <t>Sale of scrap</t>
  </si>
  <si>
    <t>Damage claims</t>
  </si>
  <si>
    <t>Miscellaneous</t>
  </si>
  <si>
    <t>Note:</t>
  </si>
  <si>
    <t>PowerStream does not manage most of Other Revenue accounts on the level below the GL account.</t>
  </si>
  <si>
    <t>Appendix 2-F</t>
  </si>
  <si>
    <t>Detailed, Account by Account, OM&amp;A Expense Table</t>
  </si>
  <si>
    <t>(excluding Depreciation and Amortization)</t>
  </si>
  <si>
    <t>Account</t>
  </si>
  <si>
    <t>Description</t>
  </si>
  <si>
    <t>2009 Actual</t>
  </si>
  <si>
    <t>2010 Actual</t>
  </si>
  <si>
    <t>2011 Actual (CGAAP)</t>
  </si>
  <si>
    <t>2011 Actual (MIFRS)</t>
  </si>
  <si>
    <t>2012 Bridge Year</t>
  </si>
  <si>
    <t>2013 Test Year</t>
  </si>
  <si>
    <t>Operation Supervision and Engineering</t>
  </si>
  <si>
    <t>Load Dispatching</t>
  </si>
  <si>
    <t>Station Buildings and Fixtures Expense</t>
  </si>
  <si>
    <t>Transformer Station Equipment - Operation Labour</t>
  </si>
  <si>
    <t>Transformer Station Equipment - Operation Supplies and Expenses</t>
  </si>
  <si>
    <t>Distribution Station Equipment - Operation Labour</t>
  </si>
  <si>
    <t>Distribution Station Equipment - Operation Supplies and Expenses</t>
  </si>
  <si>
    <t>Overhead Distribution Lines and Feeders - Operation Labour</t>
  </si>
  <si>
    <t>Overhead Distribution Lines and Feeders - Operation Supplies and Expenses</t>
  </si>
  <si>
    <t>Overhead Sub-transmission Feeders - Operation</t>
  </si>
  <si>
    <t>Overhead Distribution Transformers - Operation</t>
  </si>
  <si>
    <t>Underground Distribution Lines and Feeders - Operation Labour</t>
  </si>
  <si>
    <t>Underground Distribution Lines and Feeders - Operation Supplies and Expenses</t>
  </si>
  <si>
    <t>Underground Sub-transmission Feeders - Operation</t>
  </si>
  <si>
    <t>Underground Distribution Transformers - Operation</t>
  </si>
  <si>
    <t>Street Lighting and Signal System Expense</t>
  </si>
  <si>
    <t>Meter Expense</t>
  </si>
  <si>
    <t>Customer Premises - Operation Labour</t>
  </si>
  <si>
    <t>Customer Premises - Operation Materials and Expenses</t>
  </si>
  <si>
    <t>Miscellaneous Distribution Expenses</t>
  </si>
  <si>
    <t>Underground Distribution Lines and Feeders - Rental Paid</t>
  </si>
  <si>
    <t>Overhead Distribution Lines and Feeders - Rental Paid</t>
  </si>
  <si>
    <t>Other Rent</t>
  </si>
  <si>
    <t>Total - Operations</t>
  </si>
  <si>
    <t>Maintenance Supervision and Engineering</t>
  </si>
  <si>
    <t>Maintenance of Buildings and Fixtures - Distribution Stations</t>
  </si>
  <si>
    <t>Maintenance of Transformer Station Equipment</t>
  </si>
  <si>
    <t>Maintenance of Distribution Station Equipment</t>
  </si>
  <si>
    <t>Maintenance of Poles, Towers and Fixtures</t>
  </si>
  <si>
    <t>Maintenance of Overhead Conductors and Devices</t>
  </si>
  <si>
    <t>Maintenance of Overhead Services</t>
  </si>
  <si>
    <t>Overhead Distribution Lines and Feeders - Right of Way</t>
  </si>
  <si>
    <t>Maintenance of Underground Conduit</t>
  </si>
  <si>
    <t>Maintenance of Underground Conductors and Devices</t>
  </si>
  <si>
    <t>Maintenance of Underground Services</t>
  </si>
  <si>
    <t>Maintenance of Line Transformers</t>
  </si>
  <si>
    <t>Maintenance of Street Lighting and Signal Systems</t>
  </si>
  <si>
    <t>Sentinel Lights - Labour</t>
  </si>
  <si>
    <t>Sentinel Lights - Materials and Expenses</t>
  </si>
  <si>
    <t>Maintenance of Meters</t>
  </si>
  <si>
    <t>Customer Installations Expenses - Leased Property</t>
  </si>
  <si>
    <t>Maintenance of Other Installations on Customer Premises</t>
  </si>
  <si>
    <t>Total - Maintenance</t>
  </si>
  <si>
    <t>Supervision</t>
  </si>
  <si>
    <t>Meter Reading Expense</t>
  </si>
  <si>
    <t>Customer Billing</t>
  </si>
  <si>
    <t>Collecting</t>
  </si>
  <si>
    <t>Collecting - Cash Over and Short</t>
  </si>
  <si>
    <t>Collection Charges</t>
  </si>
  <si>
    <t>Bad Debt Expense</t>
  </si>
  <si>
    <t>Miscellaneous Customer Accounts Expenses</t>
  </si>
  <si>
    <t>Total - Billing and Collecting</t>
  </si>
  <si>
    <t>Community Relations - Sundry</t>
  </si>
  <si>
    <t>Energy Conservation</t>
  </si>
  <si>
    <t>Community Safety Program</t>
  </si>
  <si>
    <t>Miscellaneous Customer Service and Informational Expenses</t>
  </si>
  <si>
    <t>Demonstrating and Selling Expense</t>
  </si>
  <si>
    <t>Advertising Expenses</t>
  </si>
  <si>
    <t>Miscellaneous Sales Expense</t>
  </si>
  <si>
    <t>Total - Community Relations</t>
  </si>
  <si>
    <t>Administrative and General Expenses</t>
  </si>
  <si>
    <t>Executive Salaries and Expenses</t>
  </si>
  <si>
    <t>Management Salaries and Expenses</t>
  </si>
  <si>
    <t>General Administrative Salaries and Expenses</t>
  </si>
  <si>
    <t>Office Supplies and Expenses</t>
  </si>
  <si>
    <t>Administrative Expense Transferred - Credit</t>
  </si>
  <si>
    <t>Outside Services Employed</t>
  </si>
  <si>
    <t>Property Insurance</t>
  </si>
  <si>
    <t>Injuries and Damages</t>
  </si>
  <si>
    <t>Employee Pensions and Benefits</t>
  </si>
  <si>
    <t>Franchise Requirements</t>
  </si>
  <si>
    <t>Regulatory Expenses</t>
  </si>
  <si>
    <t>General Advertising Expenses</t>
  </si>
  <si>
    <t>Miscellaneous General Expenses</t>
  </si>
  <si>
    <t>Rent</t>
  </si>
  <si>
    <t>Maintenance of General Plant</t>
  </si>
  <si>
    <t>Electrical Safety Authority Fees</t>
  </si>
  <si>
    <t>Independent Electricity System Operator Fees and Penalties</t>
  </si>
  <si>
    <t>OM&amp;A Contra Account</t>
  </si>
  <si>
    <t>Donations (Charitable Contributions)</t>
  </si>
  <si>
    <t>JS</t>
  </si>
  <si>
    <t>less  Cost of Shared service (included in A&amp;G above)</t>
  </si>
  <si>
    <t>Total - Administrative and General Expenses</t>
  </si>
  <si>
    <t>Other Distribution Expenses</t>
  </si>
  <si>
    <t>Taxes Other Than Income Taxes</t>
  </si>
  <si>
    <t>Penalties</t>
  </si>
  <si>
    <t>Other Deductions</t>
  </si>
  <si>
    <t>Total - Other Distribution Expenses</t>
  </si>
  <si>
    <t>Total OM&amp;A</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</si>
  <si>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</si>
  <si>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check to the summary in the model</t>
  </si>
  <si>
    <t>Appendix 2-G</t>
  </si>
  <si>
    <t>OM&amp;A Cost Driver Table</t>
  </si>
  <si>
    <t>OM&amp;A</t>
  </si>
  <si>
    <t>2009 Board Approved</t>
  </si>
  <si>
    <t>2009 CGAAP</t>
  </si>
  <si>
    <t>2010 CGAAP</t>
  </si>
  <si>
    <t>2011 CGAAP</t>
  </si>
  <si>
    <t>Opening Balance</t>
  </si>
  <si>
    <t>Barrie costs in 2009</t>
  </si>
  <si>
    <t>IFRS</t>
  </si>
  <si>
    <t>Compensation</t>
  </si>
  <si>
    <t>Additional Staff</t>
  </si>
  <si>
    <t>Asset Maintenance</t>
  </si>
  <si>
    <t>Smart Meter</t>
  </si>
  <si>
    <t>Customer Services / Regulatory</t>
  </si>
  <si>
    <t>IS Strategy</t>
  </si>
  <si>
    <t>Locates</t>
  </si>
  <si>
    <t>Corporate Development</t>
  </si>
  <si>
    <t>Insurance</t>
  </si>
  <si>
    <t>Other</t>
  </si>
  <si>
    <t>Closing Balance</t>
  </si>
  <si>
    <t>Notes:</t>
  </si>
  <si>
    <t>The detailed explanation for each cost driver and associated amount is provided In Exhibit D1, Tab 1, Schedule 1</t>
  </si>
  <si>
    <t>Check to EDR model:</t>
  </si>
  <si>
    <t>Appendix 2-H</t>
  </si>
  <si>
    <t>Regulatory Cost Schedule</t>
  </si>
  <si>
    <t>on-going</t>
  </si>
  <si>
    <t>One-time</t>
  </si>
  <si>
    <t>Regulatory Cost Category</t>
  </si>
  <si>
    <t>USoA Account</t>
  </si>
  <si>
    <t>USoA Account Balance</t>
  </si>
  <si>
    <r>
      <t xml:space="preserve">Ongoing or One-time Cost? </t>
    </r>
    <r>
      <rPr>
        <sz val="10"/>
        <rFont val="Arial"/>
        <family val="2"/>
      </rPr>
      <t>2</t>
    </r>
  </si>
  <si>
    <t>Bridge Year 2012</t>
  </si>
  <si>
    <t>Annual % Change</t>
  </si>
  <si>
    <t>Test Year 2013</t>
  </si>
  <si>
    <t>(A)</t>
  </si>
  <si>
    <t>(B)</t>
  </si>
  <si>
    <t>(C )</t>
  </si>
  <si>
    <t>(D)</t>
  </si>
  <si>
    <t>(E)</t>
  </si>
  <si>
    <t>(F)</t>
  </si>
  <si>
    <t>(G)</t>
  </si>
  <si>
    <t>(H) = [(G)-(F)]/(F)</t>
  </si>
  <si>
    <t>(I)</t>
  </si>
  <si>
    <t>(J) = [(I)-(G)]/(G)</t>
  </si>
  <si>
    <t>OEB Annual Assessment</t>
  </si>
  <si>
    <t>On-Going</t>
  </si>
  <si>
    <t>OEB Hearing Assessments (applicant-originated)</t>
  </si>
  <si>
    <t>5665-1265</t>
  </si>
  <si>
    <t>One-Time</t>
  </si>
  <si>
    <t>OEB Section 30 Costs (OEB-initiated)</t>
  </si>
  <si>
    <t>Expert Witness costs for regulatory matters</t>
  </si>
  <si>
    <t>Legal costs for regulatory matters (2)</t>
  </si>
  <si>
    <t>5630-1262</t>
  </si>
  <si>
    <t>Consultants' costs for regulatory matters (2)</t>
  </si>
  <si>
    <t>5630-1261</t>
  </si>
  <si>
    <t>Operating expenses associated with staff resources allocated to regulatory matters</t>
  </si>
  <si>
    <t>5610-xxxx 5655-xxxx</t>
  </si>
  <si>
    <r>
      <t xml:space="preserve">Operating expenses associated with other resources allocated to regulatory matters </t>
    </r>
    <r>
      <rPr>
        <vertAlign val="superscript"/>
        <sz val="10"/>
        <rFont val="Arial"/>
        <family val="2"/>
      </rPr>
      <t>1</t>
    </r>
  </si>
  <si>
    <t>Other regulatory agency fees or assessments (ESA)</t>
  </si>
  <si>
    <t>Appendix 2-S</t>
  </si>
  <si>
    <t>Appendix 2-Q</t>
  </si>
  <si>
    <t>Irrespective of whether a distributor is actively deploying smart meters (except if the distributor has completed its smart meter deployment program and has had Board-approved disposition of the balances in accounts 1555 and 1556) the distributor should provide a completed table as follows:</t>
  </si>
  <si>
    <t>Appendic 1</t>
  </si>
  <si>
    <t>2-Q</t>
  </si>
  <si>
    <t>PowerStreamn completed its smart meter deployment in 2011, applied for final disposition and received approval</t>
  </si>
  <si>
    <t>(EB-2011-0128).</t>
  </si>
  <si>
    <t>Appendix 2-L</t>
  </si>
  <si>
    <t>Shared Services/Corporate Cost Allocation</t>
  </si>
  <si>
    <t>Scehdule 21</t>
  </si>
  <si>
    <t>2-L</t>
  </si>
  <si>
    <t>1 0f 1</t>
  </si>
  <si>
    <t>Please see Exhibits A4 and D3.</t>
  </si>
  <si>
    <t>Any other costs for regulatory matters (please define)</t>
  </si>
  <si>
    <t>Intervenor costs</t>
  </si>
  <si>
    <r>
      <t xml:space="preserve">Sub-total - Ongoing Costs </t>
    </r>
    <r>
      <rPr>
        <vertAlign val="superscript"/>
        <sz val="10"/>
        <rFont val="Arial"/>
        <family val="2"/>
      </rPr>
      <t>3</t>
    </r>
  </si>
  <si>
    <r>
      <t xml:space="preserve">Sub-total - One-time Costs </t>
    </r>
    <r>
      <rPr>
        <vertAlign val="superscript"/>
        <sz val="10"/>
        <rFont val="Arial"/>
        <family val="2"/>
      </rPr>
      <t>4</t>
    </r>
  </si>
  <si>
    <t>1</t>
  </si>
  <si>
    <t>Please identify the resources involved.</t>
  </si>
  <si>
    <t>2</t>
  </si>
  <si>
    <t>Where a category's costs include both one-time and ongoing costs, the applicant should prove a separate breakdown between one-time and ongoing costs.</t>
  </si>
  <si>
    <t>Back to Index</t>
  </si>
  <si>
    <t xml:space="preserve">PowerStream </t>
  </si>
  <si>
    <t>2013 EDR Model</t>
  </si>
  <si>
    <t>Appendix 2-I</t>
  </si>
  <si>
    <t>OM&amp;A Cost per Customer and per FTEE</t>
  </si>
  <si>
    <t>2008 Barrie Hydro</t>
  </si>
  <si>
    <t>2009 PowerStream South</t>
  </si>
  <si>
    <t>2009 - Actual</t>
  </si>
  <si>
    <t xml:space="preserve">Actual </t>
  </si>
  <si>
    <t>Number of Customers</t>
  </si>
  <si>
    <t>Total OM&amp;A from Appendix 2-G</t>
  </si>
  <si>
    <t>OM&amp;A cost per customer</t>
  </si>
  <si>
    <t>Number of FTEEs</t>
  </si>
  <si>
    <t>Customers/FTEEs</t>
  </si>
  <si>
    <t>OM&amp;A Cost per FTEE</t>
  </si>
  <si>
    <t>(1)</t>
  </si>
  <si>
    <t>Barrie Hydro filed  cost of service application in 2007; PowerStream filed COS application in 2008. The "approved" information in the table above is from two separate COS applications.</t>
  </si>
  <si>
    <t>(2)</t>
  </si>
  <si>
    <t>The number of customers is mid-year average - actual data for 2009-2011 and customer forecast for 2012-2013.  For this table, Street Light Customers (not Street Light Connections) are included in total. The sentinel connections are excluded from total customer count, similar to the calcualtion in Annual Yearbooks</t>
  </si>
  <si>
    <t>(3)</t>
  </si>
  <si>
    <t>The number of FTEs is as per Appendix 2-K.</t>
  </si>
  <si>
    <t>Appendix 2-J</t>
  </si>
  <si>
    <t>OM&amp;A Variance Analysis</t>
  </si>
  <si>
    <t>Last Board-approved Rebasing Year (2008 Barrie HYdro)</t>
  </si>
  <si>
    <t>Last Board-approved Rebasing Year (2009 PowerStream South)</t>
  </si>
  <si>
    <t>Most Current Actual Year (2011 MIFRS)</t>
  </si>
  <si>
    <t>Test Year (2013)</t>
  </si>
  <si>
    <t>Test Year Versus Last Rebasing (PowerStream South)</t>
  </si>
  <si>
    <t>Test Year Versus Most Current Actuals</t>
  </si>
  <si>
    <t>Variance ($)</t>
  </si>
  <si>
    <t>Percentage Change (%)</t>
  </si>
  <si>
    <t>Reclassification of Joint Service Costs</t>
  </si>
  <si>
    <t>Total - Other distribution expenses</t>
  </si>
  <si>
    <t>1. 2009 Board Approved amounts are for PowerStream South only; the 2013 test year is for PowerStream Combined</t>
  </si>
  <si>
    <t>The IFRS impact amounts to $11,798,630.</t>
  </si>
  <si>
    <t>"Other Distribution expenses" are included in the analysis,as these amounts were part of Board Approved amounts and mainly include property taxes in account 6105</t>
  </si>
  <si>
    <t>from the Summary:</t>
  </si>
  <si>
    <t>Billing and collecting</t>
  </si>
  <si>
    <t>Community relations</t>
  </si>
  <si>
    <t>A&amp;G</t>
  </si>
  <si>
    <t>difference</t>
  </si>
  <si>
    <t>Appendix 2-K</t>
  </si>
  <si>
    <t>Employee Costs - Core Business</t>
  </si>
  <si>
    <t>PS North</t>
  </si>
  <si>
    <t>LRY - Board Approved</t>
  </si>
  <si>
    <t>Actual</t>
  </si>
  <si>
    <t>Budget</t>
  </si>
  <si>
    <t>Number of Employees (FTEs including Part-Time)</t>
  </si>
  <si>
    <t>Board</t>
  </si>
  <si>
    <t>Executive</t>
  </si>
  <si>
    <t>Management</t>
  </si>
  <si>
    <t>Non-Union</t>
  </si>
  <si>
    <t>Union</t>
  </si>
  <si>
    <t>Temp &amp; students</t>
  </si>
  <si>
    <t>Number of Part Time Employees (Headcount, included above)</t>
  </si>
  <si>
    <t xml:space="preserve"> -   </t>
  </si>
  <si>
    <t>Total Salary and Wages</t>
  </si>
  <si>
    <t xml:space="preserve"> $-   </t>
  </si>
  <si>
    <t>Over Time</t>
  </si>
  <si>
    <t>Performance Incentive Plan</t>
  </si>
  <si>
    <t>Total Compensation (excluding Benefit) include Salary and Wages, Over Time, and Performance Incentive Plan</t>
  </si>
  <si>
    <t>Current Benefits</t>
  </si>
  <si>
    <t>Accrued Pension and Post-Retirement Benefits</t>
  </si>
  <si>
    <t>Total Benefits (Current + Accrued)</t>
  </si>
  <si>
    <t>Total Compensation including Benefits</t>
  </si>
  <si>
    <t>Compensation - Average Yearly Base Wages</t>
  </si>
  <si>
    <t>Compensation - Average Yearly Overtime</t>
  </si>
  <si>
    <t xml:space="preserve">Temp &amp; students   </t>
  </si>
  <si>
    <t>Compensation - Average Yearly Incentive Pay</t>
  </si>
  <si>
    <t xml:space="preserve">Temp &amp; students     </t>
  </si>
  <si>
    <t>Compensation - Average Yearly Benefits</t>
  </si>
  <si>
    <t>Total Compensation</t>
  </si>
  <si>
    <t>*</t>
  </si>
  <si>
    <t>Total Compensation Charged to OM&amp;A *</t>
  </si>
  <si>
    <t>Total Compensation Capitalized</t>
  </si>
  <si>
    <t>% in OMA</t>
  </si>
  <si>
    <t>*Notes: In 2009 PS south rate EDR model, total compensation charged to OM&amp;A had not been filed in the compensation table.</t>
  </si>
  <si>
    <t>Cost of Capital / Capitalization Ratio</t>
  </si>
  <si>
    <t>Line No.</t>
  </si>
  <si>
    <t>Particulars</t>
  </si>
  <si>
    <t>Capitalization Ratio</t>
  </si>
  <si>
    <t>Cost Rate</t>
  </si>
  <si>
    <t>Return</t>
  </si>
  <si>
    <t>2009 Approved (PowerStream South)</t>
  </si>
  <si>
    <t>(%)</t>
  </si>
  <si>
    <t>($)</t>
  </si>
  <si>
    <t>Debt</t>
  </si>
  <si>
    <t xml:space="preserve">  Long-term Debt</t>
  </si>
  <si>
    <t xml:space="preserve">  Short-term Debt</t>
  </si>
  <si>
    <t>Total Debt</t>
  </si>
  <si>
    <t>Equity</t>
  </si>
  <si>
    <t xml:space="preserve">  Common Equity</t>
  </si>
  <si>
    <t xml:space="preserve">  Preferred Shares</t>
  </si>
  <si>
    <t>Total Equity</t>
  </si>
  <si>
    <t>2009 Actual (PowerStream Combined)</t>
  </si>
  <si>
    <t>2010 Actual (PowerStream Combined)</t>
  </si>
  <si>
    <t>2011 Actual (PowerStream Combined)</t>
  </si>
  <si>
    <t>2012 Bridge Year (PowerStream Combined)</t>
  </si>
  <si>
    <t>2013 Test Year (PowerStream Combined)</t>
  </si>
  <si>
    <t>G</t>
  </si>
  <si>
    <t>Appendix 2-O</t>
  </si>
  <si>
    <t>Cost Allocation</t>
  </si>
  <si>
    <t>Please complete the following four tables.</t>
  </si>
  <si>
    <t>a)</t>
  </si>
  <si>
    <t>Allocated  Costs</t>
  </si>
  <si>
    <t>Classes</t>
  </si>
  <si>
    <t>Costs Allocated from Previous Study
 (PowerStream 2009)</t>
  </si>
  <si>
    <t>Costs Allocated in Test Year (2013) Study                    (Column 7A)</t>
  </si>
  <si>
    <t>Residential</t>
  </si>
  <si>
    <t>GS &lt; 50 kW</t>
  </si>
  <si>
    <t xml:space="preserve">GS &gt; 50 kW </t>
  </si>
  <si>
    <t>Large User</t>
  </si>
  <si>
    <t>Street Lighting</t>
  </si>
  <si>
    <t>Sentinel Lighting</t>
  </si>
  <si>
    <t>Unmetered Scattered Load (USL)</t>
  </si>
  <si>
    <t>Notes</t>
  </si>
  <si>
    <t>Customer Classification</t>
  </si>
  <si>
    <t>Host Distributors:  Provide information on embedded distributor(s) as a separate class, even if your proposal is to bill the embedded distributor(s) as (a) General Service customer(s).</t>
  </si>
  <si>
    <t>If proposed rate classes differ from those in place in the previous Cost Allocation study, modify the rate classes to match the current application as closely as possible.</t>
  </si>
  <si>
    <t>Class Revenue Requirements</t>
  </si>
  <si>
    <r>
      <t xml:space="preserve">If using the Board-issued model, enter data from Worksheet O-1, row </t>
    </r>
    <r>
      <rPr>
        <b/>
        <sz val="10"/>
        <color indexed="10"/>
        <rFont val="Arial"/>
        <family val="2"/>
      </rPr>
      <t>40</t>
    </r>
    <r>
      <rPr>
        <sz val="10"/>
        <rFont val="Arial"/>
        <family val="2"/>
      </rPr>
      <t xml:space="preserve"> in the 2012 model.</t>
    </r>
  </si>
  <si>
    <t>For the Embedded Distributor(s), the Service Revenue Requirement does not include Account 4750 - Low Voltage (LV) Costs</t>
  </si>
  <si>
    <t>Exclude costs in deferral and variance accounts.</t>
  </si>
  <si>
    <t>Include Smart Meter costs only to the extent that they are being included in Rate Base and Revenue Requirement (i.e. being transferred from accounts 1555 and 1556 as a result of a prudence review).</t>
  </si>
  <si>
    <t>b)</t>
  </si>
  <si>
    <t>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</si>
  <si>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</si>
  <si>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</si>
  <si>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</si>
  <si>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</si>
  <si>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</si>
  <si>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</si>
  <si>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</si>
  <si>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</si>
  <si>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</si>
  <si>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 xml:space="preserve">line 18 </t>
  </si>
  <si>
    <t xml:space="preserve">line 23 </t>
  </si>
  <si>
    <t>As per Rate model</t>
  </si>
  <si>
    <t xml:space="preserve">line 19 </t>
  </si>
  <si>
    <t>Columns 7B to 7D</t>
  </si>
  <si>
    <r>
      <t xml:space="preserve">LF means Load Forecast of Annual Billing Quantities (i.e. customers or connections X 12, </t>
    </r>
    <r>
      <rPr>
        <b/>
        <u val="single"/>
        <sz val="10"/>
        <rFont val="Arial"/>
        <family val="2"/>
      </rPr>
      <t>and</t>
    </r>
    <r>
      <rPr>
        <sz val="10"/>
        <rFont val="Arial"/>
        <family val="2"/>
      </rPr>
      <t xml:space="preserve"> kWh or kW, as applicable)</t>
    </r>
  </si>
  <si>
    <t>Exclude revenue from rate adders and rate riders.  For Embedded Distributor(s): exclude revenue in account 4075.</t>
  </si>
  <si>
    <t>Columns 7C and 7D:</t>
  </si>
  <si>
    <t>Column total in each column should equal the Base Revenue Requirement.</t>
  </si>
  <si>
    <t>For Embedded Distributor(s), Base Revenue Requirement does not include Account 4750 - Low Voltage Costs</t>
  </si>
  <si>
    <t>Column 7C:</t>
  </si>
  <si>
    <t>The Board cost allocation model calculates "1+d" in worksheet O-1, cell C21. "d" is defined as Revenue Deficiency/ Revenue at Current Rates.</t>
  </si>
  <si>
    <t>Column 7E:</t>
  </si>
  <si>
    <t>If using the Board-issued Cost Allocation model, enter Miscellaneous Revenue as it appears in Worksheet O-1, row 19.</t>
  </si>
  <si>
    <t>c)</t>
  </si>
  <si>
    <t>Rebalancing Revenue-to-Cost (R/C) Ratios</t>
  </si>
  <si>
    <t>Class</t>
  </si>
  <si>
    <t>Previously 
Approved Ratios</t>
  </si>
  <si>
    <t>Status Quo Ratios</t>
  </si>
  <si>
    <t>Proposed Ratios</t>
  </si>
  <si>
    <t>Policy Range</t>
  </si>
  <si>
    <t>PowerStream North</t>
  </si>
  <si>
    <t>PowerStream South</t>
  </si>
  <si>
    <t>(7C + 7E) / (7A)</t>
  </si>
  <si>
    <t>(7D + 7E) / (7A)</t>
  </si>
  <si>
    <t>2011*</t>
  </si>
  <si>
    <t>85 - 115</t>
  </si>
  <si>
    <t>80 - 120</t>
  </si>
  <si>
    <t>70 - 120</t>
  </si>
  <si>
    <t>Previously Approved Revenue-to-Cost Ratios</t>
  </si>
  <si>
    <t>For PowerStream North, the Ratios approved in 2008 Rate Application were adjusted during 3 years fo IRM period for Street Lighting class</t>
  </si>
  <si>
    <t>For applicants that have had rates adjusted only under IRM 2, the Most Recent Year is 2006, and the applicant should enter the ratios from their Informational Filing.</t>
  </si>
  <si>
    <t>The Board's updated Cost Allocation Model yields the Status Quo Ratios in Worksheet O-1.</t>
  </si>
  <si>
    <t>Status Quo means "No Rebalancing" or "Before Rebalancing".</t>
  </si>
  <si>
    <t>d)</t>
  </si>
  <si>
    <t>Proposed Revenue-to-Cost Ratios</t>
  </si>
  <si>
    <t xml:space="preserve">The applicant should complete Table (d) if it is applying for approval of a revenue to cost ratio in 2012 that is outside the Board’s policy range for any customer class. Table (d) will show the information that the distributor would likely enter in the IRM model) in 2013.  In 2012 Table (d), enter the planned ratios for the classes that will be ‘Change’ and ‘No Change’ in 2013 (in the current Revenue Cost Ratio Adjustment Workform, Worksheet C1.1 ‘Decision – Cost Revenue Adjustment’, column d), and enter TBD for class(es) that will be entered as ‘Rebalance’. </t>
  </si>
  <si>
    <t>H</t>
  </si>
  <si>
    <t>1 of 1</t>
  </si>
  <si>
    <t>Appendix 2-P</t>
  </si>
  <si>
    <t>Loss Factors</t>
  </si>
  <si>
    <t>Historical Years</t>
  </si>
  <si>
    <t>3-Year Average</t>
  </si>
  <si>
    <t>Losses Within Distributor's System</t>
  </si>
  <si>
    <t>A(1)</t>
  </si>
  <si>
    <t>"Wholesale" kWh delivered to distributor (higher value)</t>
  </si>
  <si>
    <t>Not available</t>
  </si>
  <si>
    <t>A(2)</t>
  </si>
  <si>
    <t>"Wholesale" kWh delivered to distributor (lower value)</t>
  </si>
  <si>
    <t>B</t>
  </si>
  <si>
    <t>Portion of "Wholesale" kWh delivered to distributor for its Large Use Customer(s)</t>
  </si>
  <si>
    <t>C</t>
  </si>
  <si>
    <r>
      <t xml:space="preserve">Net "Wholesale" kWh delivered to distributor  = </t>
    </r>
    <r>
      <rPr>
        <b/>
        <sz val="10"/>
        <rFont val="Arial"/>
        <family val="2"/>
      </rPr>
      <t>A(2) - B</t>
    </r>
  </si>
  <si>
    <t>D</t>
  </si>
  <si>
    <t>"Retail" kWh delivered by distributor</t>
  </si>
  <si>
    <t>E</t>
  </si>
  <si>
    <t>Portion of "Retail" kWh delivered by distributor to its Large Use Customer(s)</t>
  </si>
  <si>
    <t>F</t>
  </si>
  <si>
    <r>
      <t xml:space="preserve">Net "Retail" kWh delivered by distributor = </t>
    </r>
    <r>
      <rPr>
        <b/>
        <sz val="10"/>
        <rFont val="Arial"/>
        <family val="2"/>
      </rPr>
      <t>D - E</t>
    </r>
  </si>
  <si>
    <r>
      <t xml:space="preserve">Loss Factor in Distributor's system = </t>
    </r>
    <r>
      <rPr>
        <b/>
        <sz val="10"/>
        <rFont val="Arial"/>
        <family val="2"/>
      </rPr>
      <t>C / F</t>
    </r>
  </si>
  <si>
    <t>Losses Upstream of Distributor's System</t>
  </si>
  <si>
    <t>Supply Facilities Loss Factor</t>
  </si>
  <si>
    <t>Total Losses</t>
  </si>
  <si>
    <t>I</t>
  </si>
  <si>
    <r>
      <t xml:space="preserve">Total Loss Factor = </t>
    </r>
    <r>
      <rPr>
        <b/>
        <sz val="10"/>
        <rFont val="Arial"/>
        <family val="2"/>
      </rPr>
      <t>G x H</t>
    </r>
  </si>
  <si>
    <r>
      <t xml:space="preserve">If directly connected to the IESO-controlled grid, kWh pertains to the virtual meter on the primary or high voltage side of the transformer at the interface with the transmission grid.  This corresponds to the "With Losses" kWh value provided by the IESO's MV-WEB.  It is the </t>
    </r>
    <r>
      <rPr>
        <u val="single"/>
        <sz val="10"/>
        <rFont val="Arial"/>
        <family val="2"/>
      </rPr>
      <t>higher</t>
    </r>
    <r>
      <rPr>
        <sz val="10"/>
        <rFont val="Arial"/>
        <family val="2"/>
      </rPr>
      <t xml:space="preserve"> of the two values provided by MV-WEB.</t>
    </r>
  </si>
  <si>
    <r>
      <t xml:space="preserve">If fully embedded within a host distributor, kWh pertains to the virtual meter on the primary or high voltage side of the transformer, at the interface between the host distributor and the transmission grid.  For example, if the host distributor is Hydro One Networks Inc., kWh from the Hydro One Networks' invoice corresponding to "Total kWh w Losses" should be reported.  This corresponds to the </t>
    </r>
    <r>
      <rPr>
        <u val="single"/>
        <sz val="10"/>
        <rFont val="Arial"/>
        <family val="2"/>
      </rPr>
      <t>higher</t>
    </r>
    <r>
      <rPr>
        <sz val="10"/>
        <rFont val="Arial"/>
        <family val="2"/>
      </rPr>
      <t xml:space="preserve"> of the two kWh values provided in Hydro One Networks' invoice.</t>
    </r>
  </si>
  <si>
    <t>If partially embedded, kWh pertains to the sum of the above.</t>
  </si>
  <si>
    <r>
      <t xml:space="preserve">If directly connected to the IESO-controlled grid, kWh pertains to a metering installation on the secondary or low voltage side of the transformer at the interface with the transmission grid.  This corresponds to the "Without Losses" kWh value provided by the IESO's MV-WEB.  It is the </t>
    </r>
    <r>
      <rPr>
        <u val="single"/>
        <sz val="10"/>
        <rFont val="Arial"/>
        <family val="2"/>
      </rPr>
      <t>lower</t>
    </r>
    <r>
      <rPr>
        <sz val="10"/>
        <rFont val="Arial"/>
        <family val="2"/>
      </rPr>
      <t xml:space="preserve"> of the two kWh values provided by MV-WEB.</t>
    </r>
  </si>
  <si>
    <r>
      <t xml:space="preserve">If fully embedded with the host distributor, kWh pertains to an actual or virtual meter at the interface between the embedded distributor and the host distributor.  For example, if the host distributor is Hydro One Networks Inc., kWh from the Hydro One Networks' invoice corresponding to "Total kWh" should be reported.  This corresponds to the </t>
    </r>
    <r>
      <rPr>
        <u val="single"/>
        <sz val="10"/>
        <rFont val="Arial"/>
        <family val="2"/>
      </rPr>
      <t>lower</t>
    </r>
    <r>
      <rPr>
        <sz val="10"/>
        <rFont val="Arial"/>
        <family val="2"/>
      </rPr>
      <t xml:space="preserve"> of the two kWh values provided in Hydro One Networks' invoice.</t>
    </r>
  </si>
  <si>
    <r>
      <t xml:space="preserve">Additionally, kWh pertaining to distributed generation directly connected to the distributor's own distribution network should be included in </t>
    </r>
    <r>
      <rPr>
        <b/>
        <sz val="10"/>
        <rFont val="Arial"/>
        <family val="2"/>
      </rPr>
      <t>A(2)</t>
    </r>
    <r>
      <rPr>
        <sz val="10"/>
        <rFont val="Arial"/>
        <family val="2"/>
      </rPr>
      <t>.</t>
    </r>
  </si>
  <si>
    <r>
      <t xml:space="preserve">If a Large Use Customer is metered on the secondary or low voltage side of the transformer, the default loss is 1%                         (i.e., </t>
    </r>
    <r>
      <rPr>
        <b/>
        <sz val="10"/>
        <rFont val="Arial"/>
        <family val="2"/>
      </rPr>
      <t>B</t>
    </r>
    <r>
      <rPr>
        <sz val="10"/>
        <rFont val="Arial"/>
        <family val="2"/>
      </rPr>
      <t xml:space="preserve"> = 1.01 X </t>
    </r>
    <r>
      <rPr>
        <b/>
        <sz val="10"/>
        <rFont val="Arial"/>
        <family val="2"/>
      </rPr>
      <t>E</t>
    </r>
    <r>
      <rPr>
        <sz val="10"/>
        <rFont val="Arial"/>
        <family val="2"/>
      </rPr>
      <t>).</t>
    </r>
  </si>
  <si>
    <r>
      <t xml:space="preserve">kWh corresponding to </t>
    </r>
    <r>
      <rPr>
        <b/>
        <sz val="10"/>
        <rFont val="Arial"/>
        <family val="2"/>
      </rPr>
      <t>D</t>
    </r>
    <r>
      <rPr>
        <sz val="10"/>
        <rFont val="Arial"/>
        <family val="2"/>
      </rPr>
      <t xml:space="preserve"> should equal "total billed energy sales in kWhs for each rate class" in item 1 of Section 2.1.3 of the "Electricity Reporting and Record-keeping Requirements" dated May 1, 2010 or in any successor document.</t>
    </r>
  </si>
  <si>
    <r>
      <t>G</t>
    </r>
    <r>
      <rPr>
        <sz val="10"/>
        <rFont val="Arial"/>
        <family val="2"/>
      </rPr>
      <t xml:space="preserve"> and </t>
    </r>
    <r>
      <rPr>
        <b/>
        <sz val="10"/>
        <rFont val="Arial"/>
        <family val="2"/>
      </rPr>
      <t>I</t>
    </r>
  </si>
  <si>
    <t>These loss factors pertain to secondary-metered customers with demand less than 5,000 kW.</t>
  </si>
  <si>
    <t>If directly connected to the IESO-controlled grid, SFLF = 1.0045.</t>
  </si>
  <si>
    <t>If fully embedded within a host distributor, SFLF = loss factor re losses in transformer at grid interface X loss factor re losses in host distributor's system.  If the host distributor is Hydro One Networks Inc., SFLF = 1.0060 X 1.0278 = 1.0340. If partially embedded, SFLF should be calculated as the weighted average of above.</t>
  </si>
  <si>
    <t>Distributors that wish to propose a different SFLF should provide appropriate justification for any such proposal including supporting</t>
  </si>
  <si>
    <t>calculations and any other relevant material.</t>
  </si>
  <si>
    <t>Appendix 2-U</t>
  </si>
  <si>
    <t>Revenue Reconciliation</t>
  </si>
  <si>
    <t>Rate Class</t>
  </si>
  <si>
    <t>Customers/ Connections</t>
  </si>
  <si>
    <t>Number of Customers/Connections</t>
  </si>
  <si>
    <t>Test Year Consumption</t>
  </si>
  <si>
    <t>Proposed Rates</t>
  </si>
  <si>
    <t>Revenues at Proposed Rates</t>
  </si>
  <si>
    <t>Service Revenue Requirement</t>
  </si>
  <si>
    <t>Transformer Allowance Credit</t>
  </si>
  <si>
    <t>Difference</t>
  </si>
  <si>
    <t>Start of Test Year</t>
  </si>
  <si>
    <t>End of Test Year</t>
  </si>
  <si>
    <t>Average</t>
  </si>
  <si>
    <t>kWh</t>
  </si>
  <si>
    <t>kW</t>
  </si>
  <si>
    <t>Monthly Service Charge</t>
  </si>
  <si>
    <t>Volumetric</t>
  </si>
  <si>
    <t>Customers</t>
  </si>
  <si>
    <t>GS &gt; 50 to 4,999 kW</t>
  </si>
  <si>
    <t>Large Use</t>
  </si>
  <si>
    <t>Streetlighting</t>
  </si>
  <si>
    <t>Connections</t>
  </si>
  <si>
    <t>Unmetered Scattered Load</t>
  </si>
  <si>
    <t>Bill Impacts - Monthly Consumptions</t>
  </si>
  <si>
    <t>monthly</t>
  </si>
  <si>
    <t>Customer Class:</t>
  </si>
  <si>
    <t>per kWh</t>
  </si>
  <si>
    <t>Consumption</t>
  </si>
  <si>
    <t xml:space="preserve"> kWh</t>
  </si>
  <si>
    <t>per kW</t>
  </si>
  <si>
    <t>Current Board-Approved</t>
  </si>
  <si>
    <t>Proposed</t>
  </si>
  <si>
    <t>Impact</t>
  </si>
  <si>
    <t>Charge Unit</t>
  </si>
  <si>
    <t>Rate</t>
  </si>
  <si>
    <t>Volume</t>
  </si>
  <si>
    <t>Charge</t>
  </si>
  <si>
    <t>$ Change</t>
  </si>
  <si>
    <t>% Change</t>
  </si>
  <si>
    <t>Smart Meter Rate Adder</t>
  </si>
  <si>
    <t>GEA funding rate adder</t>
  </si>
  <si>
    <t>Service Charge Rate Rider(s)</t>
  </si>
  <si>
    <t>Distribution Volumetric Rate</t>
  </si>
  <si>
    <t>Low Voltage Rate Adder</t>
  </si>
  <si>
    <t>Volumetric Rate Adder(s)</t>
  </si>
  <si>
    <t>Volumetric Rate Rider(s)</t>
  </si>
  <si>
    <t>Smart Meter Disposition Rider</t>
  </si>
  <si>
    <t>LRAM &amp; SSM Rate Rider</t>
  </si>
  <si>
    <t>Deferral/Variance Account Disposition Rate Rider</t>
  </si>
  <si>
    <t>Sub-Total A - Distribution</t>
  </si>
  <si>
    <t>RTSR - Network</t>
  </si>
  <si>
    <t>RTSR - Line and Transformation Connection</t>
  </si>
  <si>
    <t>Sub-Total B - Delivery (including Sub-Total A)</t>
  </si>
  <si>
    <t>Wholesale Market Service Charge (WMSC)</t>
  </si>
  <si>
    <t>Rural and Remote Rate Protection (RRRP)</t>
  </si>
  <si>
    <t>Special Purpose Charge</t>
  </si>
  <si>
    <t>Standard Supply Service Charge</t>
  </si>
  <si>
    <t>Debt Retirement Charge (DRC)</t>
  </si>
  <si>
    <t>Energy Tier 1</t>
  </si>
  <si>
    <t>Energy Tier 2</t>
  </si>
  <si>
    <t>Total Bill (before Taxes)</t>
  </si>
  <si>
    <t>HST</t>
  </si>
  <si>
    <t>Total Bill (including Sub-total B)</t>
  </si>
  <si>
    <t>OCEB</t>
  </si>
  <si>
    <t>Total Bill (including OCEB)</t>
  </si>
  <si>
    <t>Loss Factor (%)</t>
  </si>
  <si>
    <t>Threshold</t>
  </si>
  <si>
    <t>General Service Less Than 50 kW</t>
  </si>
  <si>
    <t>Energy</t>
  </si>
  <si>
    <t>General Service Greater Than 50 kW</t>
  </si>
  <si>
    <t>Load</t>
  </si>
  <si>
    <t>GA Variance Account Disposition Rate Rider (Non-RPP)</t>
  </si>
  <si>
    <t>For the Bill impact calculation purposes, the energy price is assumed to be the average of current tier prices</t>
  </si>
  <si>
    <t>Sentinel</t>
  </si>
  <si>
    <t>Service Charge Rate Adder(s)</t>
  </si>
  <si>
    <t>PowerStream Barrie</t>
  </si>
  <si>
    <t>LRAM &amp; SSM Rate Rider - effective until Apr 30, 2013</t>
  </si>
  <si>
    <t>Deferral/Variance Account Disposition Rate Rider (2012) - effective until Apr 30, 2013</t>
  </si>
  <si>
    <t>Deferral/Variance Account Disposition Rate Rider (2013) - effective until Dec.31, 2014</t>
  </si>
  <si>
    <t>Appendix 1</t>
  </si>
  <si>
    <t>Schedule 21</t>
  </si>
  <si>
    <t>Appendix 2-T</t>
  </si>
  <si>
    <t>1 of 2</t>
  </si>
  <si>
    <t>Deferred PILs Account 1592 Balances</t>
  </si>
  <si>
    <t>The following table should be completed based on the information requested below, in accordance with the notes following the table. An explanation should be provided for any blank entries.</t>
  </si>
  <si>
    <t>Tax Item</t>
  </si>
  <si>
    <t>Principal as of December 31, 2011</t>
  </si>
  <si>
    <t>Barrie</t>
  </si>
  <si>
    <t>South</t>
  </si>
  <si>
    <t>Note</t>
  </si>
  <si>
    <t>Large Corporation Tax grossed-up proxy from 2006 EDR application PILs model for the period from May 1, 2006 to April 30, 2007</t>
  </si>
  <si>
    <t>2, 3</t>
  </si>
  <si>
    <t>4</t>
  </si>
  <si>
    <t>Ontario Capital Tax rate decrease and increase in capital deduction for 2007</t>
  </si>
  <si>
    <t>Ontario Capital Tax rate decrease and increase in capital deduction for 2008</t>
  </si>
  <si>
    <t>Ontario Capital Tax rate decrease and increase in capital deduction for 2009</t>
  </si>
  <si>
    <t>Ontario Capital Tax rate decrease and increase in capital deduction for 2010</t>
  </si>
  <si>
    <t>Capital Cost Allowance class changes from 2006 EDR application for 2006</t>
  </si>
  <si>
    <t>Capital Cost Allowance class changes from 2006 EDR application for 2007</t>
  </si>
  <si>
    <t>Capital Cost Allowance class changes from 2006 EDR application for 2008</t>
  </si>
  <si>
    <t>Capital Cost Allowance class changes from 2006 EDR application for 2009</t>
  </si>
  <si>
    <t>Capital Cost Allowance class changes from 2006 EDR application for 2010</t>
  </si>
  <si>
    <t>Capital Cost Allowance class changes from any prior application not recorded above.  Please provide details and explanation separately.</t>
  </si>
  <si>
    <t>Insert description of additional item(s) and new rows if needed.</t>
  </si>
  <si>
    <t xml:space="preserve">Notes: </t>
  </si>
  <si>
    <t>Revise the deferral and variance account continuity schedule to include account 1592 as a group 2 account and enter all relevant information for transactions, adjustments, etc., for all relevant years.</t>
  </si>
  <si>
    <t>PowerStream: These amounts have been entered for account 1592 in the indicated line on the OEB continuity schedules.</t>
  </si>
  <si>
    <t>2 of 2</t>
  </si>
  <si>
    <t>Describe each type of tax item that has been recorded in account 1592.</t>
  </si>
  <si>
    <t>PowerStream: The repeal of Large Corporations Tax ("LCT") effective January 1, 2006 has been recorded in account 1592 and 1562 (see 4 below). The other amounts recorded in account 1592, in separate sub-accounts, are HST OVAT amounts, Hydro One Rate Rider 3 A amounts and interest. These are not shown in the table above. See Exhibit I, Tab 1, Schedule 9 for more details.</t>
  </si>
  <si>
    <t>Provide the calculations that show how each item was determined and provide any pertinent supporting evidence and documentation.</t>
  </si>
  <si>
    <t>PowerStream: Barrie Hydro rebased in 2008 and PowerStream rebased in 2009. There are no entries for the year of rebasing and beyond, as the tax amounts in rates were updated based on then current tax legislation and under 3rd Generation IRM there is another mechanism to deal with tax changes.</t>
  </si>
  <si>
    <t>PowerStream and Aurora filed separate 2006 COS rate applications prior to the amalgamation. Aurora's 2006 rates did not include any LCT, since Aurora fell below the $50 million exemption threshold. PowerStream's approved 2006 PILs proxy included $633,969 for grossed up LCT. This amount was recorded for May 1, 2006 to April 30, 2007. As of May 1, 2007, PowerStream's rates no longer contained any amount for LCT.</t>
  </si>
  <si>
    <t>Barrie Hydro based its entry on its 2005 PILs Proxy which had grossed-up LCT of $54,578. One third of this amount was recorded in account 1562 re January 1, 2006 to April 30, 2006 an 100% of this amount was recorded in account 1592 re May 1, 2006 to April 30, 2007.</t>
  </si>
  <si>
    <t>PowerStream is not aware of any other FAQs identifying tax changes to be recorded and has not made any other entries of this type.</t>
  </si>
  <si>
    <t>Please state whether or not the applicant followed the guidance provided in the FAQ of July 2007.  If not, please provide an explanation.</t>
  </si>
  <si>
    <t>PowerStream: PowerStream followed the July 2007 FAQ and recorded the LCT in rates for January 1, 2006 to April 30, 2006 in account 1562 and for May 1, 2006 to April 30, 2007 in account 1592. The amounts were based on the gross-up LCT in the PILs Proxy used to set rates.</t>
  </si>
  <si>
    <t>Identify the account balance as of December 31, 2010 as per the 2010 Audited Financial Statements.  Identify the account balance as of December 31, 2010 as per the April 2011 2.1.7 RRR filing to the Board.  Provide a reconciliation if the balances provided are not identical to each other and to the total shown on the continuity schedule.</t>
  </si>
  <si>
    <t>PowerStream: See Exhibit I, Tab 1, Schedule 2 for the reconciliation of  the amounts in the continuity schedules to the December 31, 2011 balances reported in the April 2012 2.1.7 RRR Filing and financial statements.</t>
  </si>
  <si>
    <t>Complete the above table based on the answers to the previous.  Add rows as required to complete the analysis in an informative manner.  Please provide the completed table as a working Excel spreadsheet.</t>
  </si>
  <si>
    <t>PowerStream: See table above.</t>
  </si>
  <si>
    <t>Large Corporation Tax grossed-up proxy from 2006 EDR application PILs model for the period from January 1, 2006 to April 30, 2006 (4/12ths of the approved grossed-up proxy), if not recorded in PILs account 1562 (PowerStream: this was recorded in account 1562.)</t>
  </si>
  <si>
    <t>Appendix 2-A</t>
  </si>
  <si>
    <t>Capital Projects Table</t>
  </si>
  <si>
    <t>Please see Exhibit B1, Tab 1, Schedule 4 for the Capital Projects.</t>
  </si>
  <si>
    <t>Appendix 2-B</t>
  </si>
  <si>
    <t>Fixed Asset Continuity Schedule</t>
  </si>
  <si>
    <t>See attached PDF files.</t>
  </si>
  <si>
    <t>2-P</t>
  </si>
  <si>
    <t>2-R</t>
  </si>
  <si>
    <t>page 1 of 2</t>
  </si>
  <si>
    <t>Appendix 2-R</t>
  </si>
  <si>
    <t>Stranded Meter Treatment   - PowerStream South</t>
  </si>
  <si>
    <t>Year</t>
  </si>
  <si>
    <t>Gross Asset Value</t>
  </si>
  <si>
    <t>Accumulated Amortization</t>
  </si>
  <si>
    <t>Contributed Capital (Net of Amortization)</t>
  </si>
  <si>
    <t>Net Asset</t>
  </si>
  <si>
    <t>Proceeds on Disposition</t>
  </si>
  <si>
    <t>Residual Net Book Value</t>
  </si>
  <si>
    <t>(C)</t>
  </si>
  <si>
    <t>(D ) = (A) - (B) - (C)</t>
  </si>
  <si>
    <t>(F) = (D) - (E)</t>
  </si>
  <si>
    <t>For 2011, please indicate whether the amounts provided are on a forecast or actual basis.</t>
  </si>
  <si>
    <t>POWERSTREAM RESPONSE:  The 2011 amounts are actual.</t>
  </si>
  <si>
    <t>Some distributors have transferred the cost of stranded meters from Account 1860 - Meters to "Sub-account Stranded Meter Costs of Account 1555", while in some cases distributors have left these costs in Account 1860.  Depending on which treatment the applicant has chosen. please provide the information under either of the two scenarios (A and B below), as applicable.</t>
  </si>
  <si>
    <r>
      <t>Scenario A:</t>
    </r>
    <r>
      <rPr>
        <i/>
        <sz val="10"/>
        <rFont val="Arial"/>
        <family val="2"/>
      </rPr>
      <t xml:space="preserve">  If the stranded meter costs were transferred to "Sub-account Stranded Meter Costs" of Account 1555, the above table should be completed and the following information should be provided.</t>
    </r>
  </si>
  <si>
    <t>A description of the accounting treatment followed by the applicant on stranded meter costs for financial accounting and reporting purposes.</t>
  </si>
  <si>
    <t>2-M</t>
  </si>
  <si>
    <t>Page 1 of 1</t>
  </si>
  <si>
    <t>May 7,2012</t>
  </si>
  <si>
    <t>Appendix 2-M</t>
  </si>
  <si>
    <t>Depreciation and Amortization Expense</t>
  </si>
  <si>
    <t>Year:</t>
  </si>
  <si>
    <t>CGAAP</t>
  </si>
  <si>
    <t>Base Unadjusted Opening Balance (2008)</t>
  </si>
  <si>
    <t xml:space="preserve">Remove FMV  </t>
  </si>
  <si>
    <t>Disposals</t>
  </si>
  <si>
    <r>
      <t>Opening Balance</t>
    </r>
    <r>
      <rPr>
        <b/>
        <vertAlign val="superscript"/>
        <sz val="10"/>
        <rFont val="Arial"/>
        <family val="2"/>
      </rPr>
      <t>4</t>
    </r>
  </si>
  <si>
    <r>
      <t>Less Fully Depreciated</t>
    </r>
    <r>
      <rPr>
        <b/>
        <vertAlign val="superscript"/>
        <sz val="10"/>
        <rFont val="Arial"/>
        <family val="2"/>
      </rPr>
      <t>1</t>
    </r>
  </si>
  <si>
    <t>Net for Depreciation</t>
  </si>
  <si>
    <t>Additions</t>
  </si>
  <si>
    <r>
      <t>Total For Depreciation</t>
    </r>
    <r>
      <rPr>
        <b/>
        <vertAlign val="superscript"/>
        <sz val="10"/>
        <rFont val="Arial"/>
        <family val="2"/>
      </rPr>
      <t>2</t>
    </r>
  </si>
  <si>
    <t>Years</t>
  </si>
  <si>
    <t>Depreciation Rate</t>
  </si>
  <si>
    <r>
      <t>Calculatd Depreciation Expense</t>
    </r>
    <r>
      <rPr>
        <b/>
        <vertAlign val="superscript"/>
        <sz val="10"/>
        <rFont val="Arial"/>
        <family val="2"/>
      </rPr>
      <t>2</t>
    </r>
  </si>
  <si>
    <r>
      <t>Actual Depreciation Expense</t>
    </r>
    <r>
      <rPr>
        <b/>
        <vertAlign val="superscript"/>
        <sz val="10"/>
        <rFont val="Arial"/>
        <family val="2"/>
      </rPr>
      <t>2</t>
    </r>
  </si>
  <si>
    <r>
      <t>Differences</t>
    </r>
    <r>
      <rPr>
        <b/>
        <vertAlign val="superscript"/>
        <sz val="10"/>
        <rFont val="Arial"/>
        <family val="2"/>
      </rPr>
      <t>5</t>
    </r>
  </si>
  <si>
    <r>
      <t xml:space="preserve">Did Depreciation Rate in "g" Change (Yes/No)? </t>
    </r>
    <r>
      <rPr>
        <b/>
        <vertAlign val="superscript"/>
        <sz val="10"/>
        <color indexed="10"/>
        <rFont val="Arial"/>
        <family val="2"/>
      </rPr>
      <t>3</t>
    </r>
  </si>
  <si>
    <t>(a)</t>
  </si>
  <si>
    <t>(b)</t>
  </si>
  <si>
    <t>(c) = (a) - (b)</t>
  </si>
  <si>
    <t>(d)</t>
  </si>
  <si>
    <t>(h)</t>
  </si>
  <si>
    <r>
      <t xml:space="preserve">(e) = (c) + ½ x (d) + </t>
    </r>
    <r>
      <rPr>
        <b/>
        <sz val="10"/>
        <rFont val="Arial"/>
        <family val="2"/>
      </rPr>
      <t>x (h)</t>
    </r>
  </si>
  <si>
    <t>(f)</t>
  </si>
  <si>
    <t>(g) = 1 / (f)</t>
  </si>
  <si>
    <t>(i)</t>
  </si>
  <si>
    <t>(j)</t>
  </si>
  <si>
    <t>(k) = (i) - (j)</t>
  </si>
  <si>
    <t>Land</t>
  </si>
  <si>
    <t>No</t>
  </si>
  <si>
    <t>Land Rights</t>
  </si>
  <si>
    <t>Buildings</t>
  </si>
  <si>
    <t>Major Spare parts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</si>
  <si>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</si>
  <si>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</si>
  <si>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</si>
  <si>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</si>
  <si>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</si>
  <si>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</si>
  <si>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</si>
  <si>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Overhead Transformers</t>
  </si>
  <si>
    <t>Underground Transformers</t>
  </si>
  <si>
    <t>Overhead Services</t>
  </si>
  <si>
    <t>Underground Services</t>
  </si>
  <si>
    <t>Meters</t>
  </si>
  <si>
    <t>Interval Meters</t>
  </si>
  <si>
    <t>Meters (Smart Meters)</t>
  </si>
  <si>
    <t>Leased Properties</t>
  </si>
  <si>
    <t>Buildings &amp; Fixtures</t>
  </si>
  <si>
    <t>Leasehold Improvements</t>
  </si>
  <si>
    <t>Leasehold Improvements (JOC/Cochrane)</t>
  </si>
  <si>
    <t>Office Furniture &amp; Equipment (10 Years)</t>
  </si>
  <si>
    <t>Computer Equipment - Hardware</t>
  </si>
  <si>
    <t>Computer Software</t>
  </si>
  <si>
    <t>Transportation Equipment</t>
  </si>
  <si>
    <t>Stores Equipment</t>
  </si>
  <si>
    <t>Tools, Shop &amp; Garage Equipment</t>
  </si>
  <si>
    <t>Communications Equipment</t>
  </si>
  <si>
    <t>Communication Equipment (Smart Meters)</t>
  </si>
  <si>
    <t>Wireless Communication Equipment</t>
  </si>
  <si>
    <t xml:space="preserve">Miscellaneous Equipment </t>
  </si>
  <si>
    <t>Process Re-Engineering</t>
  </si>
  <si>
    <t>Load Management Controls Utility Premises</t>
  </si>
  <si>
    <t>System Supervisor Equipment</t>
  </si>
  <si>
    <t>Miscellaneous Fixed Assets (Sentinel Lights)</t>
  </si>
  <si>
    <t>Contributions &amp; Grants</t>
  </si>
  <si>
    <r>
      <t xml:space="preserve">1   </t>
    </r>
    <r>
      <rPr>
        <sz val="10"/>
        <rFont val="Arial"/>
        <family val="2"/>
      </rPr>
      <t>This adjusts for assets still on the books but which have been fully amortized or depreciated.</t>
    </r>
  </si>
  <si>
    <r>
      <t xml:space="preserve">2  </t>
    </r>
    <r>
      <rPr>
        <sz val="10"/>
        <rFont val="Arial"/>
        <family val="2"/>
      </rPr>
      <t xml:space="preserve"> Calculated depreciation expense is based on applying standard 50% half-year rule on additions and disposals.  In addition, the depreciation rate applied is based on an average within the rate class. </t>
    </r>
  </si>
  <si>
    <r>
      <t>3</t>
    </r>
    <r>
      <rPr>
        <sz val="10"/>
        <rFont val="Arial"/>
        <family val="2"/>
      </rPr>
      <t xml:space="preserve">   Applicants must indicate YES or NO as to whether the "Depreciation Rate" for the asset in column "g" has changed from the last rebasing year approved by the Board.  Changes may arise due to the adoption of International Financial Reporting Standards.</t>
    </r>
  </si>
  <si>
    <r>
      <t xml:space="preserve">4   </t>
    </r>
    <r>
      <rPr>
        <sz val="10"/>
        <rFont val="Arial"/>
        <family val="2"/>
      </rPr>
      <t>Opening balance has been adjusted to reflect Aurora fair market value adjustments as a result of the sale of Aurora Hydro to Powerstream in 2005.</t>
    </r>
  </si>
  <si>
    <t>US of A Account</t>
  </si>
  <si>
    <t>Net For Depreciation</t>
  </si>
  <si>
    <t xml:space="preserve">Disposal </t>
  </si>
  <si>
    <r>
      <t>Calculated Depreciation Expense</t>
    </r>
    <r>
      <rPr>
        <b/>
        <vertAlign val="superscript"/>
        <sz val="10"/>
        <rFont val="Arial"/>
        <family val="2"/>
      </rPr>
      <t>2</t>
    </r>
  </si>
  <si>
    <t>Actual Deprecation Expense</t>
  </si>
  <si>
    <t xml:space="preserve">(e) = (c) + ½ x (d) + ½ x (f) </t>
  </si>
  <si>
    <t>(g) = 1 / (i)</t>
  </si>
  <si>
    <t>(h) = (e) / (i)</t>
  </si>
  <si>
    <t>(k) =  (h) - (j)</t>
  </si>
  <si>
    <t xml:space="preserve">Office Furniture &amp; Equipment </t>
  </si>
  <si>
    <t>Property Under Capital Lease</t>
  </si>
  <si>
    <t>n/a</t>
  </si>
  <si>
    <r>
      <t xml:space="preserve">2  </t>
    </r>
    <r>
      <rPr>
        <sz val="10"/>
        <rFont val="Arial"/>
        <family val="2"/>
      </rPr>
      <t xml:space="preserve"> Calculated depreciation expense is based on applying standard 50% half-year rule on additions and disposals.  Where there were mulitple subclass of assets within one asset class the depreciation rate applied is based on an average within the rate class.  </t>
    </r>
  </si>
  <si>
    <r>
      <t>3</t>
    </r>
    <r>
      <rPr>
        <sz val="10"/>
        <rFont val="Arial"/>
        <family val="2"/>
      </rPr>
      <t xml:space="preserve">   Applicants must indicate YES or NO as to whether the "Depreciation Rate" for the asset in column "g" has changed from the last rebasing year approved by the Board.  Changes may arise due to the adoption of International Financial Reporting Standards </t>
    </r>
  </si>
  <si>
    <r>
      <t xml:space="preserve">4   </t>
    </r>
    <r>
      <rPr>
        <sz val="10"/>
        <rFont val="Arial"/>
        <family val="2"/>
      </rPr>
      <t>Opening balance has been adjusted to reflect the Aurora fair market value adjustments as a result of the sale of Aurora Hydro to Powerstream in 2005.</t>
    </r>
  </si>
  <si>
    <t>Page 1 of 2</t>
  </si>
  <si>
    <t>Disposal Adjustments</t>
  </si>
  <si>
    <t>Actual Depreciation Expense</t>
  </si>
  <si>
    <t xml:space="preserve">(e) = (c) + ½ x (d)+ ½ x (i) </t>
  </si>
  <si>
    <t>(h) = (e) / (f)</t>
  </si>
  <si>
    <t>Major Spare Parts</t>
  </si>
  <si>
    <t>Smart Meters</t>
  </si>
  <si>
    <t>Leased Property - 80 Addiscott</t>
  </si>
  <si>
    <t>Barrie - Cont. Capital - Ont. Hydro</t>
  </si>
  <si>
    <r>
      <t xml:space="preserve">2  </t>
    </r>
    <r>
      <rPr>
        <sz val="10"/>
        <rFont val="Arial"/>
        <family val="2"/>
      </rPr>
      <t xml:space="preserve"> Applicable for the standard Board policy of the "half-year" rule, that additions in the year attract a half-year depreciation expense in the first year.  Deviations from this standard practice must be supported in the application.</t>
    </r>
  </si>
  <si>
    <r>
      <t>3</t>
    </r>
    <r>
      <rPr>
        <sz val="10"/>
        <rFont val="Arial"/>
        <family val="2"/>
      </rPr>
      <t xml:space="preserve">   Applicants must indicate YES or NO as to whether the "Depreciation Rate" for the asset in column "g" has changed from the last rebasing year approved by the Board.  Changes may arise due to the adoption of International Financial Reporting Standards)</t>
    </r>
  </si>
  <si>
    <r>
      <t>5</t>
    </r>
    <r>
      <rPr>
        <sz val="10"/>
        <rFont val="Arial"/>
        <family val="2"/>
      </rPr>
      <t xml:space="preserve">   See attached summary and explanation of differences.</t>
    </r>
  </si>
  <si>
    <t>MIFRS</t>
  </si>
  <si>
    <r>
      <t>Opening Balance</t>
    </r>
    <r>
      <rPr>
        <b/>
        <vertAlign val="superscript"/>
        <sz val="10"/>
        <rFont val="Arial"/>
        <family val="2"/>
      </rPr>
      <t>4</t>
    </r>
    <r>
      <rPr>
        <b/>
        <sz val="10"/>
        <rFont val="Arial"/>
        <family val="2"/>
      </rPr>
      <t xml:space="preserve">
MIFRS </t>
    </r>
  </si>
  <si>
    <r>
      <t>Total for Depreciation</t>
    </r>
    <r>
      <rPr>
        <b/>
        <vertAlign val="superscript"/>
        <sz val="10"/>
        <rFont val="Arial"/>
        <family val="2"/>
      </rPr>
      <t>2</t>
    </r>
  </si>
  <si>
    <t>Calculated Depreciation Expense</t>
  </si>
  <si>
    <t xml:space="preserve">(e) = (c) + ½ x (d)+ ½ x i </t>
  </si>
  <si>
    <t>(k) = (h)-(j)</t>
  </si>
  <si>
    <t>Yes</t>
  </si>
  <si>
    <t>TS - Power Transformer &amp; Other</t>
  </si>
  <si>
    <t>TS - Tap Changer</t>
  </si>
  <si>
    <t>TS - Winding</t>
  </si>
  <si>
    <t>TS - Support Steel Structure</t>
  </si>
  <si>
    <t>TS- Grounding Station</t>
  </si>
  <si>
    <t>TS - P&amp;C System</t>
  </si>
  <si>
    <t>TS - Switchgear &amp; Relays</t>
  </si>
  <si>
    <t>TS - Capacitor Banks</t>
  </si>
  <si>
    <t>MS - Power Transformer</t>
  </si>
  <si>
    <t>MS - Protection &amp; Control</t>
  </si>
  <si>
    <t>MS - SwitchGear</t>
  </si>
  <si>
    <t xml:space="preserve">Overhead Services </t>
  </si>
  <si>
    <t>Building &amp; Fixtures - Structure</t>
  </si>
  <si>
    <t xml:space="preserve">No </t>
  </si>
  <si>
    <t>Building &amp; Fixtures - Windows</t>
  </si>
  <si>
    <t>HW - Desktops/Laptops</t>
  </si>
  <si>
    <t>HW - Servers</t>
  </si>
  <si>
    <t>HW - MFP's</t>
  </si>
  <si>
    <t>HW - Switches/Routers</t>
  </si>
  <si>
    <t>Transportation Equipment - Light Vehicles</t>
  </si>
  <si>
    <t>Transportation Equipment - Heavy Vehicles</t>
  </si>
  <si>
    <t>Transportation Equipment - Trailers</t>
  </si>
  <si>
    <t>RTU</t>
  </si>
  <si>
    <t>Display Wall</t>
  </si>
  <si>
    <r>
      <t>3</t>
    </r>
    <r>
      <rPr>
        <sz val="10"/>
        <rFont val="Arial"/>
        <family val="2"/>
      </rPr>
      <t xml:space="preserve">   Applicants must indicate YES or NO as to whether the "Depreciation Rate" for the asset in column "g" has changed from the last rebasing year approved by the Board.  Changes may arise due to the adoption of International Financial Reporting Standards (</t>
    </r>
  </si>
  <si>
    <r>
      <t xml:space="preserve">4 </t>
    </r>
    <r>
      <rPr>
        <sz val="10"/>
        <rFont val="Arial"/>
        <family val="2"/>
      </rPr>
      <t xml:space="preserve">  Opening cost balance is the 2010 CGAAP closing amount that has been adjusted to remove fair market value amounts due to Aurora Hydro purchase of 2005.</t>
    </r>
  </si>
  <si>
    <r>
      <t>Opening Balance
MIFRS Cost</t>
    </r>
    <r>
      <rPr>
        <b/>
        <vertAlign val="superscript"/>
        <sz val="10"/>
        <rFont val="Arial"/>
        <family val="2"/>
      </rPr>
      <t>4</t>
    </r>
  </si>
  <si>
    <t>WIP Change</t>
  </si>
  <si>
    <t>(e) = (c) + ½ x (d)+ ½ x (f)+ ½ x (i)</t>
  </si>
  <si>
    <t>(k) = (f)-(j)</t>
  </si>
  <si>
    <t>Subtotal 1815</t>
  </si>
  <si>
    <t>Subtotal 1820</t>
  </si>
  <si>
    <t>Subtotal 1908</t>
  </si>
  <si>
    <t>Subtotal 1920</t>
  </si>
  <si>
    <t>Subtotal 1930</t>
  </si>
  <si>
    <t>Subtotal 1955</t>
  </si>
  <si>
    <t>Subtotal 1960</t>
  </si>
  <si>
    <r>
      <t xml:space="preserve">2  </t>
    </r>
    <r>
      <rPr>
        <sz val="10"/>
        <rFont val="Arial"/>
        <family val="2"/>
      </rPr>
      <t xml:space="preserve"> Applicable for the standard Board policy of the "half-year" rule, that additions in the year attract a half-year depreciation expense in the first year.  </t>
    </r>
  </si>
  <si>
    <r>
      <t xml:space="preserve">4  </t>
    </r>
    <r>
      <rPr>
        <sz val="10"/>
        <rFont val="Arial"/>
        <family val="2"/>
      </rPr>
      <t xml:space="preserve"> Opening cost balance is based on 2010 CGAAP costs plus 2011 MIFRS additions and less 2011 MIFRS dispositions. In addition, the cost base is adjusted to remove fair market value amounts due to Aurora Hydro purchase of 2005.</t>
    </r>
  </si>
  <si>
    <t>(e) = (c) +½ x (d)+ ½ x (f)+ ½ x (i)</t>
  </si>
  <si>
    <t xml:space="preserve">Overhead services </t>
  </si>
  <si>
    <t>Subtotal 1980</t>
  </si>
  <si>
    <r>
      <t xml:space="preserve">4  </t>
    </r>
    <r>
      <rPr>
        <sz val="10"/>
        <rFont val="Arial"/>
        <family val="2"/>
      </rPr>
      <t xml:space="preserve"> Opening cost balance is based on 2010 CGAAP costs plus 2011+2012 MIFRS additions and less 2011+2012 MIFRS dispositions. In addition the cost base is adjusted to remove fair market value amounts due to Aurora Hydro purchase of 2005.</t>
    </r>
  </si>
  <si>
    <r>
      <t xml:space="preserve">5   </t>
    </r>
    <r>
      <rPr>
        <sz val="10"/>
        <rFont val="Arial"/>
        <family val="2"/>
      </rPr>
      <t>See attached summary and explanation of differences.</t>
    </r>
  </si>
  <si>
    <r>
      <t xml:space="preserve">POWERSTREAM RESPONSE:  Powerstream recorded stranded meters each year of the smart meter implementation program.  This included an analysis of the conventional meter asset pool for those meters replaced by smart meters to determine the average cost and remaining useful life to determine the accumulated depreciation and remaining net book value ("NBV") of the meters being replaced.  An entry was recorded to remove the stranded meters from the fixed assets and to record the net book value in the smart meter account 1555.  Powerstream continued to record depreciation on these stranded meters.  An entry was made to debit "depreciation" to the OMA contra account 5695 with the offsetting credit to the  smart meter  account 1555 sub-account stranded meter accumulated depreciation.                                                                                                                                           </t>
    </r>
    <r>
      <rPr>
        <sz val="11"/>
        <color indexed="8"/>
        <rFont val="Calibri"/>
        <family val="2"/>
      </rPr>
      <t xml:space="preserve">                                                                                                                                                                                                                                                                                                                                                                                </t>
    </r>
  </si>
  <si>
    <t xml:space="preserve">The amount of the pooled residual net book value of the removed from service stranded meters, less any contributed capital (net of accumulated amortization), and less any net proceeds from sales, which were transferred to this sub-account as of December 31,2011                                                            </t>
  </si>
  <si>
    <t>POWERSTREAM RESPONSE:  The net book value of stranded meters at December 31, 2011 for the South rate zone was $9,743,194.</t>
  </si>
  <si>
    <t>A statement as to whether or not, since transferring the removed stranded meter costs to the sub-account, the recording of depreciation expenses was continued in order to reduce the net book value through accumulated depreciation.  If so, the total depreciation expense amount for the period from the time the costs for the stranded meters were transferred to the sub-account to December 31, 2011 should be provided.</t>
  </si>
  <si>
    <t xml:space="preserve">POWERSTREAM RESPONSE:   PowerStream applied depreciation annually on the gross cost of the assets removed to reduce the net book value of the stranded meter assets.  The total depreciation charged as of December 31, 2011 and after the stranded meters were transferred was $3,318,707. </t>
  </si>
  <si>
    <t>If no depreciation expenses were recorded to reduce the net book value of stranded meter costs through accumulated depreciation, the total depreciation expense amount that would have been applicable from the time that the stranded meter costs were transferred.</t>
  </si>
  <si>
    <t>Whether or not carrying charges were recorded for the stranded meter cost balances in the sub-account, and if so, the total carrying charges recorded to December 31, 2011.</t>
  </si>
  <si>
    <t xml:space="preserve">POWERSTREAM RESPONSE:  PowerStream did not apply carrying charges to stranded meter assets. </t>
  </si>
  <si>
    <t>The estimated amount of the pooled residual net book value of the removed from service meters, less any net proceeds from sales and contributed capital, at the time when the smart meters will have been fully deployed (e.g., as of December 31, 2010).  If the smart meters have been fully deployed, the actual amount should be provided.</t>
  </si>
  <si>
    <t xml:space="preserve">POWERSTREAM RESPONSE:  PowerStream completed its program by December 31/2011.  The pooled NBV is $9,743,194. </t>
  </si>
  <si>
    <t>A description as to how the applicant intends to recover in rates the remaining costs for stranded meters, including the proposed accounting treatment, the proposed disposition period, and the associated bill impacts.</t>
  </si>
  <si>
    <t>Stranded Meter Treatment   - PowerStream Barrie</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</si>
</sst>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09]mmmm\ d\,\ yyyy;@"/>
    <numFmt numFmtId="165" formatCode="_-&quot;$&quot;* #,##0.00_-;\-&quot;$&quot;* #,##0.00_-;_-&quot;$&quot;* &quot;-&quot;??_-;_-@_-"/>
    <numFmt numFmtId="166" formatCode="_-&quot;$&quot;* #,##0_-;\-&quot;$&quot;* #,##0_-;_-&quot;$&quot;* &quot;-&quot;??_-;_-@_-"/>
    <numFmt numFmtId="167" formatCode="_(* #,##0_);_(* \(#,##0\);_(* &quot;-&quot;??_);_(@_)"/>
    <numFmt numFmtId="168" formatCode="_-* #,##0_-;\-* #,##0_-;_-* &quot;-&quot;??_-;_-@_-"/>
    <numFmt numFmtId="169" formatCode="_-&quot;$&quot;* #,##0.0_-;\-&quot;$&quot;* #,##0.0_-;_-&quot;$&quot;* &quot;-&quot;??_-;_-@_-"/>
    <numFmt numFmtId="170" formatCode="_(&quot;$&quot;* #,##0.0_);_(&quot;$&quot;* \(#,##0.0\);_(&quot;$&quot;* &quot;-&quot;??_);_(@_)"/>
    <numFmt numFmtId="171" formatCode="_(&quot;$&quot;* #,##0_);_(&quot;$&quot;* \(#,##0\);_(&quot;$&quot;* &quot;-&quot;??_);_(@_)"/>
    <numFmt numFmtId="172" formatCode="0_)_%;\(0\)_%"/>
    <numFmt numFmtId="173" formatCode="0\%_);\(0\)\%"/>
    <numFmt numFmtId="174" formatCode="0.0;\(0.0\)"/>
    <numFmt numFmtId="175" formatCode="0.00_)_%;\(0.00\)_%"/>
    <numFmt numFmtId="176" formatCode="0.00\%_);\(0.00\)\%"/>
    <numFmt numFmtId="177" formatCode="* \(#,##0.00\);[Red]* #,##0.00_)"/>
    <numFmt numFmtId="178" formatCode="* #,##0.00_);[Red]* \(#,##0.00\)"/>
    <numFmt numFmtId="179" formatCode="_-* \(#,##0\);_-* #,##0_-;_-* &quot;-     &quot;_-;_-@_-"/>
    <numFmt numFmtId="180" formatCode="_(* #,##0_);_(* \(#,##0\);_(* &quot;-     &quot;_);_(@_)"/>
    <numFmt numFmtId="181" formatCode="_._.* #,##0.0_);_._.* \(#,##0.0\);_._.* \-??_.?_);_._.@_)"/>
    <numFmt numFmtId="182" formatCode="_._.* #,##0.00_);_._.* \(#,##0.00\);_._.* \-??_.??_);_._.@_)"/>
    <numFmt numFmtId="183" formatCode="_._.* #,##0.000_);_._.* \(#,##0.000\);_._.* \-??_.???_);_._.@_)"/>
    <numFmt numFmtId="184" formatCode="_._.* #,##0.0000_);_._.* \(#,##0.0000\);_._.* \-??_.?_);_._.@_)"/>
    <numFmt numFmtId="185" formatCode="_._.* #,##0.00000_);_._.* \(#,##0.00000\);_._.* \-??_.?_);_._.@_)"/>
    <numFmt numFmtId="186" formatCode="_._.* #,##0.000000_);_._.* \(#,##0.000000\);_._.* \-??_.??????_);_._.@_)"/>
    <numFmt numFmtId="187" formatCode="_-* \(#,##0.00\);_-* #,##0.00_-;_-* &quot;-     &quot;??_-;_-@_-"/>
    <numFmt numFmtId="188" formatCode="_(* #,##0.00_);_(* \(#,##0.00\);_(* &quot;-     &quot;??_);_(@_)"/>
    <numFmt numFmtId="189" formatCode="_-&quot;$&quot;* \(#,##0\);_-&quot;$&quot;* #,##0_);_-&quot;$&quot;* &quot;-     &quot;??_-;_-@_-"/>
    <numFmt numFmtId="190" formatCode="_(&quot;$&quot;* #,##0_);_(&quot;$&quot;* \(#,##0\);_(&quot;$&quot;* &quot;-     &quot;??_);_(@_)"/>
    <numFmt numFmtId="191" formatCode="&quot;$&quot;* \(#,##0.00\);[Red]&quot;$&quot;* #,##0.00_)"/>
    <numFmt numFmtId="192" formatCode="\ &quot;$&quot;* #,##0.00_);[Red]\ &quot;$&quot;* \(#,##0.00\)"/>
    <numFmt numFmtId="193" formatCode="_-&quot;$&quot;* \(#,##0\);_-&quot;$&quot;* #,##0_);_-&quot;$&quot;* &quot;-     &quot;_-;_-@_-"/>
    <numFmt numFmtId="194" formatCode="_(&quot;$&quot;* #,##0_);_(&quot;$&quot;* \(#,##0\);_(&quot;$&quot;* &quot;-     &quot;_);_(@_)"/>
    <numFmt numFmtId="195" formatCode="_._.&quot;$&quot;* #,##0.0_);_._.&quot;$&quot;* \(#,##0.0\);_._.&quot;$&quot;* \-??_.?_);_._.@_)"/>
    <numFmt numFmtId="196" formatCode="_._.&quot;$&quot;* #,##0.00_);_._.&quot;$&quot;* \(#,##0.00\);_._.&quot;$&quot;* \-??_.??_);_._.@_)"/>
    <numFmt numFmtId="197" formatCode="_._.&quot;$&quot;* #,##0.000_);_._.&quot;$&quot;* \(#,##0.000\);_._.&quot;$&quot;* \-??_.???_);_._.@_)"/>
    <numFmt numFmtId="198" formatCode="_._.&quot;$&quot;* #,##0.0000_);_._.&quot;$&quot;* \(#,##0.0000\);\ _._.&quot;$&quot;* \-??_.??_);_._.@_)"/>
    <numFmt numFmtId="199" formatCode="_._.&quot;$&quot;* #,##0.00000_);_._.&quot;$&quot;* \(#,##0.00000\);\ _._.&quot;$&quot;* \-??_.??_);_._.@_)"/>
    <numFmt numFmtId="200" formatCode="_._.&quot;$&quot;* #,##0.000000_);_._.&quot;$&quot;* \(#,##0.000000\);\ _._.&quot;$&quot;* \-??_.??_);_._.@_)"/>
    <numFmt numFmtId="201" formatCode="\ \ \ _-&quot;$&quot;* #,##0.00_-;\-&quot;$&quot;* #,##0.00_-;_-&quot;$&quot;* &quot;-&quot;??_-;_-@_-"/>
    <numFmt numFmtId="202" formatCode="mmmm\ dd\,\ yyyy"/>
    <numFmt numFmtId="203" formatCode="_ * ###\ ###\ ##0_)\ __\ ;_ * \(###\ ###\ ##0\)\ __\ ;_ * &quot;-&quot;_)\ __\ ;_ @_ "/>
    <numFmt numFmtId="204" formatCode="_ * ###\ ###\ ##0_)\ &quot;$&quot;_ ;_ * \(###\ ###\ ##0\)\ &quot;$&quot;_ ;_ * &quot;-&quot;_)\ &quot;$&quot;_ ;_ @_ "/>
    <numFmt numFmtId="205" formatCode="_ * ###\ ###\ ##0.00_)\ &quot;$&quot;_ ;_ * \(###\ ###\ ##0.00\)\ &quot;$&quot;_ ;_ * &quot;-&quot;_)\ &quot;$&quot;_ ;_ @_ "/>
    <numFmt numFmtId="206" formatCode="0.00__%;_ * \(0.00\)\ %"/>
    <numFmt numFmtId="207" formatCode="_._._(0\ %_);_._.\(0\)%_)"/>
    <numFmt numFmtId="208" formatCode="_._._(0.0%_);_._.\(0.0\)%_)"/>
    <numFmt numFmtId="209" formatCode="_._._(0.00%_);_._.\(0.00\)%_)"/>
    <numFmt numFmtId="210" formatCode="_._._(0.000%_);_._.\(0.000\)%_)"/>
    <numFmt numFmtId="211" formatCode="_._._(0.0000%_);_._.\(0.0000\)%_)"/>
    <numFmt numFmtId="212" formatCode="_._._(0.000000%_);_._.\(0.000000\)%_)"/>
    <numFmt numFmtId="213" formatCode="_._._(0.00%_);_._.\(0.00\)%"/>
    <numFmt numFmtId="214" formatCode="###0_)"/>
    <numFmt numFmtId="215" formatCode="_._-* ###0_);_._.* \(###0\);_._.* \-??_);_._.@_)"/>
    <numFmt numFmtId="216" formatCode="###0_);\ \(###0\);_._.* \-??_);_._.@_)"/>
    <numFmt numFmtId="217" formatCode="0.0%"/>
    <numFmt numFmtId="218" formatCode="\(#\)"/>
    <numFmt numFmtId="219" formatCode="&quot;$&quot;#,##0_);[Red]\(&quot;$&quot;#,##0\);&quot;$&quot;\ \-"/>
    <numFmt numFmtId="220" formatCode="_-* #,##0.00_-;\-* #,##0.00_-;_-* &quot;-&quot;??_-;_-@_-"/>
    <numFmt numFmtId="221" formatCode="_(* #,##0.0_);_(* \(#,##0.0\);_(* &quot;-&quot;??_);_(@_)"/>
    <numFmt numFmtId="222" formatCode="_-* #,##0.0000_-;\-* #,##0.0000_-;_-* &quot;-&quot;??_-;_-@_-"/>
    <numFmt numFmtId="223" formatCode="_-&quot;$&quot;* #,##0.0000_-;\-&quot;$&quot;* #,##0.0000_-;_-&quot;$&quot;* &quot;-&quot;??_-;_-@_-"/>
    <numFmt numFmtId="224" formatCode="_-&quot;$&quot;* #,##0_-;\-&quot;$&quot;* #,##0_-;_-&quot;$&quot;* &quot;-&quot;_-;_-@_-"/>
  </numFmts>
  <fonts count="91">
    <font>
      <sz val="11"/>
      <color indexed="8"/>
      <name val="Calibri"/>
      <family val="2"/>
    </font>
    <font>
      <sz val="10"/>
      <name val="Arial"/>
      <family val="2"/>
    </font>
    <font>
      <b/>
      <sz val="10"/>
      <name val="Arial"/>
      <family val="2"/>
    </font>
    <font>
      <b/>
      <sz val="14"/>
      <name val="Arial"/>
      <family val="2"/>
    </font>
    <font>
      <b/>
      <i/>
      <sz val="10"/>
      <name val="Arial"/>
      <family val="2"/>
    </font>
    <font>
      <b/>
      <sz val="10"/>
      <color indexed="10"/>
      <name val="Arial"/>
      <family val="2"/>
    </font>
    <font>
      <sz val="12"/>
      <color indexed="61"/>
      <name val="Arial"/>
      <family val="2"/>
    </font>
    <font>
      <sz val="12"/>
      <name val="Arial"/>
      <family val="2"/>
    </font>
    <font>
      <u val="single"/>
      <sz val="10"/>
      <color indexed="12"/>
      <name val="Arial"/>
      <family val="2"/>
    </font>
    <font>
      <b/>
      <sz val="12"/>
      <name val="Arial Black"/>
      <family val="2"/>
    </font>
    <font>
      <i/>
      <sz val="12"/>
      <name val="Arial"/>
      <family val="2"/>
    </font>
    <font>
      <b/>
      <sz val="12"/>
      <name val="Arial"/>
      <family val="2"/>
    </font>
    <font>
      <sz val="12"/>
      <color indexed="10"/>
      <name val="Arial"/>
      <family val="2"/>
    </font>
    <font>
      <i/>
      <sz val="12"/>
      <color indexed="9"/>
      <name val="Arial"/>
      <family val="2"/>
    </font>
    <font>
      <sz val="9"/>
      <name val="Arial"/>
      <family val="2"/>
    </font>
    <font>
      <i/>
      <sz val="12"/>
      <color indexed="61"/>
      <name val="Arial"/>
      <family val="2"/>
    </font>
    <font>
      <b/>
      <i/>
      <u val="single"/>
      <sz val="12"/>
      <name val="Arial"/>
      <family val="2"/>
    </font>
    <font>
      <i/>
      <u val="single"/>
      <sz val="12"/>
      <name val="Arial"/>
      <family val="2"/>
    </font>
    <font>
      <sz val="12"/>
      <color indexed="12"/>
      <name val="Arial"/>
      <family val="2"/>
    </font>
    <font>
      <b/>
      <i/>
      <sz val="12"/>
      <name val="Arial"/>
      <family val="2"/>
    </font>
    <font>
      <b/>
      <i/>
      <sz val="12"/>
      <color indexed="10"/>
      <name val="Arial"/>
      <family val="2"/>
    </font>
    <font>
      <i/>
      <sz val="8"/>
      <name val="Arial"/>
      <family val="2"/>
    </font>
    <font>
      <u val="single"/>
      <sz val="12"/>
      <name val="Arial"/>
      <family val="2"/>
    </font>
    <font>
      <b/>
      <sz val="8"/>
      <name val="Tahoma"/>
      <family val="2"/>
    </font>
    <font>
      <sz val="8"/>
      <name val="Tahoma"/>
      <family val="2"/>
    </font>
    <font>
      <i/>
      <sz val="9"/>
      <name val="Arial"/>
      <family val="2"/>
    </font>
    <font>
      <sz val="10"/>
      <color indexed="9"/>
      <name val="Arial"/>
      <family val="2"/>
    </font>
    <font>
      <b/>
      <sz val="16"/>
      <name val="Arial"/>
      <family val="2"/>
    </font>
    <font>
      <vertAlign val="superscript"/>
      <sz val="10"/>
      <name val="Arial"/>
      <family val="2"/>
    </font>
    <font>
      <u val="single"/>
      <sz val="8"/>
      <color indexed="12"/>
      <name val="Arial"/>
      <family val="2"/>
    </font>
    <font>
      <b/>
      <sz val="14"/>
      <name val="Arial Black"/>
      <family val="2"/>
    </font>
    <font>
      <sz val="10"/>
      <color indexed="12"/>
      <name val="Arial"/>
      <family val="2"/>
    </font>
    <font>
      <sz val="10"/>
      <color indexed="16"/>
      <name val="Arial"/>
      <family val="2"/>
    </font>
    <font>
      <i/>
      <sz val="8"/>
      <color indexed="10"/>
      <name val="Arial"/>
      <family val="2"/>
    </font>
    <font>
      <b/>
      <u val="single"/>
      <sz val="10"/>
      <name val="Arial"/>
      <family val="2"/>
    </font>
    <font>
      <sz val="11"/>
      <name val="Arial"/>
      <family val="2"/>
    </font>
    <font>
      <sz val="12"/>
      <name val="Times New Roman"/>
      <family val="1"/>
    </font>
    <font>
      <sz val="11"/>
      <name val="Times New Roman"/>
      <family val="1"/>
    </font>
    <font>
      <sz val="8"/>
      <name val="Verdana"/>
      <family val="2"/>
    </font>
    <font>
      <sz val="18"/>
      <color indexed="12"/>
      <name val="SquareSlab711 Bd BT"/>
      <family val="0"/>
    </font>
    <font>
      <u val="singleAccounting"/>
      <sz val="11"/>
      <name val="Times New Roman"/>
      <family val="1"/>
    </font>
    <font>
      <b/>
      <sz val="10"/>
      <name val="Times New Roman"/>
      <family val="1"/>
    </font>
    <font>
      <sz val="10"/>
      <name val="Times New Roman"/>
      <family val="1"/>
    </font>
    <font>
      <b/>
      <sz val="16"/>
      <name val="Times New Roman"/>
      <family val="1"/>
    </font>
    <font>
      <b/>
      <i/>
      <sz val="11"/>
      <name val="Times New Roman"/>
      <family val="1"/>
    </font>
    <font>
      <b/>
      <sz val="8"/>
      <color indexed="9"/>
      <name val="Tahoma"/>
      <family val="2"/>
    </font>
    <font>
      <b/>
      <sz val="8"/>
      <color indexed="8"/>
      <name val="Tahoma"/>
      <family val="2"/>
    </font>
    <font>
      <b/>
      <u val="single"/>
      <sz val="8"/>
      <color indexed="8"/>
      <name val="Tahoma"/>
      <family val="2"/>
    </font>
    <font>
      <sz val="15"/>
      <name val="Times New Roman"/>
      <family val="1"/>
    </font>
    <font>
      <b/>
      <sz val="8"/>
      <color indexed="23"/>
      <name val="Verdana"/>
      <family val="2"/>
    </font>
    <font>
      <sz val="16"/>
      <color indexed="9"/>
      <name val="Tahoma"/>
      <family val="2"/>
    </font>
    <font>
      <b/>
      <sz val="8"/>
      <color indexed="63"/>
      <name val="Verdana"/>
      <family val="2"/>
    </font>
    <font>
      <b/>
      <u val="singleAccounting"/>
      <sz val="11"/>
      <name val="Times New Roman"/>
      <family val="1"/>
    </font>
    <font>
      <u val="single"/>
      <sz val="11"/>
      <name val="Times New Roman"/>
      <family val="1"/>
    </font>
    <font>
      <b/>
      <sz val="10"/>
      <color indexed="12"/>
      <name val="Arial"/>
      <family val="2"/>
    </font>
    <font>
      <b/>
      <i/>
      <sz val="8"/>
      <name val="Arial"/>
      <family val="2"/>
    </font>
    <font>
      <u val="single"/>
      <sz val="10"/>
      <name val="Arial"/>
      <family val="2"/>
    </font>
    <font>
      <i/>
      <sz val="10"/>
      <name val="Arial"/>
      <family val="2"/>
    </font>
    <font>
      <sz val="16"/>
      <color indexed="12"/>
      <name val="Algerian"/>
      <family val="5"/>
    </font>
    <font>
      <sz val="16"/>
      <name val="Algerian"/>
      <family val="5"/>
    </font>
    <font>
      <sz val="14"/>
      <name val="Arial"/>
      <family val="2"/>
    </font>
    <font>
      <sz val="10"/>
      <color indexed="10"/>
      <name val="Arial"/>
      <family val="2"/>
    </font>
    <font>
      <sz val="9"/>
      <color indexed="8"/>
      <name val="Arial"/>
      <family val="2"/>
    </font>
    <font>
      <sz val="10"/>
      <color indexed="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color indexed="10"/>
      <name val="Arial"/>
      <family val="2"/>
    </font>
    <font>
      <u val="single"/>
      <sz val="6.6"/>
      <color indexed="20"/>
      <name val="Calibri"/>
      <family val="2"/>
    </font>
    <font>
      <sz val="8"/>
      <name val="Calibri"/>
      <family val="2"/>
    </font>
    <font>
      <sz val="11"/>
      <color indexed="12"/>
      <name val="Times New Roman"/>
      <family val="1"/>
    </font>
    <font>
      <b/>
      <sz val="12"/>
      <name val="Times New Roman"/>
      <family val="1"/>
    </font>
    <font>
      <b/>
      <sz val="11"/>
      <name val="Arial"/>
      <family val="2"/>
    </font>
    <font>
      <b/>
      <vertAlign val="superscript"/>
      <sz val="10"/>
      <name val="Arial"/>
      <family val="2"/>
    </font>
    <font>
      <sz val="11"/>
      <color indexed="12"/>
      <name val="Arial"/>
      <family val="2"/>
    </font>
    <font>
      <sz val="10"/>
      <color indexed="8"/>
      <name val="Arial"/>
      <family val="2"/>
    </font>
    <font>
      <sz val="10"/>
      <color indexed="52"/>
      <name val="Arial"/>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01">
    <border>
      <left/>
      <right/>
      <top/>
      <bottom/>
      <diagonal/>
    </border>
    <border>
      <left>
        <color indexed="63"/>
      </left>
      <right>
        <color indexed="63"/>
      </right>
      <top>
        <color indexed="63"/>
      </top>
      <bottom style="thin"/>
    </border>
    <border>
      <left style="thin"/>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style="medium"/>
    </border>
    <border>
      <left style="thin"/>
      <right style="thin">
        <color indexed="55"/>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color indexed="63"/>
      </left>
      <right>
        <color indexed="63"/>
      </right>
      <top style="thin">
        <color indexed="62"/>
      </top>
      <bottom style="double">
        <color indexed="62"/>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double"/>
    </border>
    <border>
      <left style="thin"/>
      <right style="medium"/>
      <top style="thin"/>
      <bottom>
        <color indexed="63"/>
      </bottom>
    </border>
    <border>
      <left style="thin"/>
      <right style="thin"/>
      <top style="double"/>
      <bottom style="medium"/>
    </border>
    <border>
      <left style="thin"/>
      <right style="thin"/>
      <top>
        <color indexed="63"/>
      </top>
      <bottom style="medium"/>
    </border>
    <border>
      <left style="thin"/>
      <right style="medium"/>
      <top style="double"/>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thin"/>
      <top style="medium"/>
      <bottom style="medium"/>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thin"/>
      <bottom style="double"/>
    </border>
    <border>
      <left style="medium"/>
      <right>
        <color indexed="63"/>
      </right>
      <top style="double"/>
      <bottom style="medium"/>
    </border>
    <border>
      <left>
        <color indexed="63"/>
      </left>
      <right style="thin"/>
      <top style="double"/>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double"/>
    </border>
    <border>
      <left style="thin"/>
      <right style="medium"/>
      <top style="thin"/>
      <bottom style="double"/>
    </border>
    <border>
      <left style="medium"/>
      <right style="thin"/>
      <top>
        <color indexed="63"/>
      </top>
      <bottom style="medium"/>
    </border>
    <border>
      <left style="medium"/>
      <right style="thin"/>
      <top style="thin"/>
      <bottom style="mediu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double"/>
    </border>
    <border>
      <left>
        <color indexed="63"/>
      </left>
      <right style="medium"/>
      <top>
        <color indexed="63"/>
      </top>
      <bottom style="double"/>
    </border>
    <border>
      <left>
        <color indexed="63"/>
      </left>
      <right style="medium"/>
      <top style="thin"/>
      <bottom>
        <color indexed="63"/>
      </bottom>
    </border>
    <border>
      <left style="thin"/>
      <right style="thin"/>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double"/>
    </border>
    <border>
      <left style="medium"/>
      <right style="medium"/>
      <top style="double"/>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double"/>
    </border>
    <border>
      <left style="medium"/>
      <right>
        <color indexed="63"/>
      </right>
      <top style="thin"/>
      <bottom>
        <color indexed="63"/>
      </bottom>
    </border>
    <border>
      <left style="medium"/>
      <right style="thin"/>
      <top style="double"/>
      <bottom style="medium"/>
    </border>
    <border>
      <left style="medium"/>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medium"/>
      <top>
        <color indexed="63"/>
      </top>
      <bottom style="thin"/>
    </border>
    <border>
      <left style="thin"/>
      <right>
        <color indexed="63"/>
      </right>
      <top style="thin"/>
      <bottom style="mediu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35" fillId="0" borderId="0" applyFont="0" applyFill="0" applyBorder="0" applyAlignment="0" applyProtection="0"/>
    <xf numFmtId="173" fontId="35" fillId="0" borderId="0" applyFont="0" applyFill="0" applyBorder="0" applyAlignment="0" applyProtection="0"/>
    <xf numFmtId="174" fontId="36" fillId="0" borderId="1">
      <alignment/>
      <protection/>
    </xf>
    <xf numFmtId="10" fontId="37" fillId="0" borderId="0">
      <alignment/>
      <protection/>
    </xf>
    <xf numFmtId="175" fontId="37" fillId="0" borderId="0">
      <alignment/>
      <protection/>
    </xf>
    <xf numFmtId="176" fontId="3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9" borderId="0" applyNumberFormat="0" applyBorder="0" applyAlignment="0" applyProtection="0"/>
    <xf numFmtId="37" fontId="24" fillId="20" borderId="2" applyBorder="0" applyProtection="0">
      <alignment vertical="center"/>
    </xf>
    <xf numFmtId="0" fontId="65" fillId="3" borderId="0" applyNumberFormat="0" applyBorder="0" applyAlignment="0" applyProtection="0"/>
    <xf numFmtId="0" fontId="38" fillId="21" borderId="0" applyBorder="0">
      <alignment horizontal="left" vertical="center" indent="1"/>
      <protection/>
    </xf>
    <xf numFmtId="0" fontId="66" fillId="22" borderId="3" applyNumberFormat="0" applyAlignment="0" applyProtection="0"/>
    <xf numFmtId="0" fontId="39" fillId="23" borderId="0">
      <alignment horizontal="center"/>
      <protection/>
    </xf>
    <xf numFmtId="0" fontId="67" fillId="21" borderId="4" applyNumberFormat="0" applyAlignment="0" applyProtection="0"/>
    <xf numFmtId="43" fontId="0" fillId="0" borderId="0" applyFont="0" applyFill="0" applyBorder="0" applyAlignment="0" applyProtection="0"/>
    <xf numFmtId="177" fontId="37" fillId="0" borderId="0">
      <alignment/>
      <protection/>
    </xf>
    <xf numFmtId="178" fontId="37" fillId="0" borderId="0">
      <alignment/>
      <protection/>
    </xf>
    <xf numFmtId="39" fontId="7" fillId="0" borderId="0" applyFont="0" applyFill="0" applyBorder="0" applyAlignment="0" applyProtection="0"/>
    <xf numFmtId="41" fontId="0" fillId="0" borderId="0" applyFont="0" applyFill="0" applyBorder="0" applyAlignment="0" applyProtection="0"/>
    <xf numFmtId="37" fontId="1" fillId="0" borderId="0" applyNumberFormat="0" applyFont="0" applyFill="0" applyBorder="0" applyAlignment="0" applyProtection="0"/>
    <xf numFmtId="179" fontId="37" fillId="0" borderId="0" applyFill="0" applyBorder="0" applyProtection="0">
      <alignment vertical="center"/>
    </xf>
    <xf numFmtId="180" fontId="37" fillId="0" borderId="0" applyFont="0" applyFill="0" applyBorder="0" applyProtection="0">
      <alignment vertical="center"/>
    </xf>
    <xf numFmtId="181" fontId="37" fillId="0" borderId="0" applyFont="0" applyFill="0" applyBorder="0" applyAlignment="0" applyProtection="0"/>
    <xf numFmtId="182" fontId="40" fillId="0" borderId="0" applyFont="0" applyFill="0" applyBorder="0" applyAlignment="0" applyProtection="0"/>
    <xf numFmtId="183" fontId="40" fillId="0" borderId="0" applyFont="0" applyFill="0" applyBorder="0" applyAlignment="0" applyProtection="0"/>
    <xf numFmtId="184" fontId="41" fillId="0" borderId="0">
      <alignment vertical="center"/>
      <protection/>
    </xf>
    <xf numFmtId="185" fontId="42" fillId="0" borderId="0">
      <alignment vertical="center"/>
      <protection/>
    </xf>
    <xf numFmtId="186" fontId="37" fillId="0" borderId="0">
      <alignment horizontal="left" vertical="center"/>
      <protection/>
    </xf>
    <xf numFmtId="43" fontId="0" fillId="0" borderId="0" applyFont="0" applyFill="0" applyBorder="0" applyAlignment="0" applyProtection="0"/>
    <xf numFmtId="43"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187" fontId="37" fillId="0" borderId="0" applyFont="0" applyFill="0" applyBorder="0" applyProtection="0">
      <alignment/>
    </xf>
    <xf numFmtId="188" fontId="37" fillId="0" borderId="0" applyFont="0" applyFill="0" applyBorder="0" applyProtection="0">
      <alignment/>
    </xf>
    <xf numFmtId="0" fontId="43" fillId="0" borderId="0">
      <alignment/>
      <protection/>
    </xf>
    <xf numFmtId="44" fontId="0" fillId="0" borderId="0" applyFont="0" applyFill="0" applyBorder="0" applyAlignment="0" applyProtection="0"/>
    <xf numFmtId="189" fontId="37" fillId="0" borderId="0" applyFill="0" applyBorder="0" applyProtection="0">
      <alignment vertical="center"/>
    </xf>
    <xf numFmtId="190" fontId="37" fillId="0" borderId="0" applyFont="0" applyFill="0" applyBorder="0" applyProtection="0">
      <alignment vertical="center"/>
    </xf>
    <xf numFmtId="191" fontId="37" fillId="0" borderId="0">
      <alignment vertical="center"/>
      <protection/>
    </xf>
    <xf numFmtId="192" fontId="37" fillId="0" borderId="0">
      <alignment/>
      <protection/>
    </xf>
    <xf numFmtId="7" fontId="18" fillId="0" borderId="0" applyFont="0" applyFill="0" applyBorder="0" applyAlignment="0" applyProtection="0"/>
    <xf numFmtId="42" fontId="0" fillId="0" borderId="0" applyFont="0" applyFill="0" applyBorder="0" applyAlignment="0" applyProtection="0"/>
    <xf numFmtId="5" fontId="1" fillId="0" borderId="0" applyFont="0" applyFill="0" applyBorder="0" applyAlignment="0" applyProtection="0"/>
    <xf numFmtId="193" fontId="37" fillId="0" borderId="0" applyFont="0" applyFill="0" applyBorder="0" applyProtection="0">
      <alignment vertical="center"/>
    </xf>
    <xf numFmtId="194" fontId="37" fillId="0" borderId="0" applyFont="0" applyFill="0" applyBorder="0" applyProtection="0">
      <alignment vertical="center"/>
    </xf>
    <xf numFmtId="195" fontId="37" fillId="0" borderId="0" applyFont="0" applyFill="0" applyBorder="0" applyProtection="0">
      <alignment horizontal="center"/>
    </xf>
    <xf numFmtId="196" fontId="40" fillId="0" borderId="0" applyFont="0" applyFill="0" applyBorder="0" applyAlignment="0" applyProtection="0"/>
    <xf numFmtId="197" fontId="40" fillId="0" borderId="0" applyFont="0" applyFill="0" applyBorder="0" applyAlignment="0" applyProtection="0"/>
    <xf numFmtId="198" fontId="42" fillId="0" borderId="5">
      <alignment vertical="center"/>
      <protection/>
    </xf>
    <xf numFmtId="199" fontId="42" fillId="0" borderId="0">
      <alignment vertical="center"/>
      <protection/>
    </xf>
    <xf numFmtId="200" fontId="37" fillId="0" borderId="0">
      <alignment horizontal="left" vertical="center"/>
      <protection/>
    </xf>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01" fontId="36" fillId="0" borderId="0">
      <alignment/>
      <protection/>
    </xf>
    <xf numFmtId="202" fontId="44" fillId="0" borderId="0">
      <alignment horizontal="left"/>
      <protection/>
    </xf>
    <xf numFmtId="0" fontId="68" fillId="0" borderId="0" applyNumberFormat="0" applyFill="0" applyBorder="0" applyAlignment="0" applyProtection="0"/>
    <xf numFmtId="0" fontId="81" fillId="0" borderId="0" applyNumberFormat="0" applyFill="0" applyBorder="0" applyAlignment="0" applyProtection="0"/>
    <xf numFmtId="203" fontId="1" fillId="0" borderId="0" applyFont="0" applyBorder="0">
      <alignment vertical="center"/>
      <protection/>
    </xf>
    <xf numFmtId="204" fontId="1" fillId="0" borderId="0" applyFont="0" applyBorder="0">
      <alignment vertical="center"/>
      <protection/>
    </xf>
    <xf numFmtId="205" fontId="1" fillId="0" borderId="6" applyFont="0" applyBorder="0">
      <alignment vertical="center"/>
      <protection/>
    </xf>
    <xf numFmtId="206" fontId="1" fillId="0" borderId="0" applyFont="0" applyBorder="0">
      <alignment horizontal="right"/>
      <protection locked="0"/>
    </xf>
    <xf numFmtId="0" fontId="69" fillId="4" borderId="0" applyNumberFormat="0" applyBorder="0" applyAlignment="0" applyProtection="0"/>
    <xf numFmtId="37" fontId="45" fillId="24" borderId="7" applyBorder="0">
      <alignment horizontal="left" vertical="center" indent="1"/>
      <protection/>
    </xf>
    <xf numFmtId="202" fontId="44" fillId="0" borderId="0">
      <alignment horizontal="left"/>
      <protection/>
    </xf>
    <xf numFmtId="37" fontId="46" fillId="22" borderId="8" applyFill="0">
      <alignment vertical="center"/>
      <protection/>
    </xf>
    <xf numFmtId="0" fontId="46" fillId="25" borderId="6" applyNumberFormat="0">
      <alignment horizontal="left" vertical="top" indent="1"/>
      <protection/>
    </xf>
    <xf numFmtId="0" fontId="46" fillId="20" borderId="0" applyBorder="0">
      <alignment horizontal="left" vertical="center" indent="1"/>
      <protection/>
    </xf>
    <xf numFmtId="0" fontId="46" fillId="0" borderId="6" applyNumberFormat="0" applyFill="0">
      <alignment horizontal="centerContinuous" vertical="top"/>
      <protection/>
    </xf>
    <xf numFmtId="0" fontId="47" fillId="20" borderId="9" applyNumberFormat="0" applyBorder="0">
      <alignment horizontal="left" vertical="center" indent="1"/>
      <protection/>
    </xf>
    <xf numFmtId="0" fontId="48" fillId="0" borderId="0">
      <alignment/>
      <protection/>
    </xf>
    <xf numFmtId="0" fontId="70" fillId="0" borderId="10" applyNumberFormat="0" applyFill="0" applyAlignment="0" applyProtection="0"/>
    <xf numFmtId="0" fontId="71" fillId="0" borderId="11" applyNumberFormat="0" applyFill="0" applyAlignment="0" applyProtection="0"/>
    <xf numFmtId="0" fontId="72" fillId="0" borderId="12" applyNumberFormat="0" applyFill="0" applyAlignment="0" applyProtection="0"/>
    <xf numFmtId="0" fontId="72" fillId="0" borderId="0" applyNumberFormat="0" applyFill="0" applyBorder="0" applyAlignment="0" applyProtection="0"/>
    <xf numFmtId="0" fontId="8" fillId="0" borderId="0" applyNumberFormat="0" applyFill="0" applyBorder="0" applyAlignment="0" applyProtection="0"/>
    <xf numFmtId="0" fontId="73" fillId="7" borderId="3" applyNumberFormat="0" applyAlignment="0" applyProtection="0"/>
    <xf numFmtId="0" fontId="74" fillId="0" borderId="13" applyNumberFormat="0" applyFill="0" applyAlignment="0" applyProtection="0"/>
    <xf numFmtId="0" fontId="75" fillId="26" borderId="0" applyNumberFormat="0" applyBorder="0" applyAlignment="0" applyProtection="0"/>
    <xf numFmtId="0" fontId="49" fillId="22" borderId="0">
      <alignment horizontal="left" indent="1"/>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1" fillId="0" borderId="0">
      <alignment/>
      <protection/>
    </xf>
    <xf numFmtId="0" fontId="7" fillId="0" borderId="0">
      <alignment/>
      <protection/>
    </xf>
    <xf numFmtId="0" fontId="35" fillId="0" borderId="0">
      <alignment/>
      <protection/>
    </xf>
    <xf numFmtId="0" fontId="0" fillId="27" borderId="14" applyNumberFormat="0" applyFont="0" applyAlignment="0" applyProtection="0"/>
    <xf numFmtId="0" fontId="76" fillId="22" borderId="15" applyNumberFormat="0" applyAlignment="0" applyProtection="0"/>
    <xf numFmtId="9" fontId="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40" fillId="0" borderId="0" applyFont="0" applyFill="0" applyBorder="0" applyAlignment="0" applyProtection="0"/>
    <xf numFmtId="210" fontId="40" fillId="0" borderId="0" applyFont="0" applyFill="0" applyBorder="0" applyAlignment="0" applyProtection="0"/>
    <xf numFmtId="49" fontId="37" fillId="0" borderId="0">
      <alignment vertical="center"/>
      <protection/>
    </xf>
    <xf numFmtId="211" fontId="37" fillId="0" borderId="0">
      <alignment vertical="center"/>
      <protection/>
    </xf>
    <xf numFmtId="212" fontId="37" fillId="0" borderId="0">
      <alignment horizontal="left" vertical="center"/>
      <protection/>
    </xf>
    <xf numFmtId="9" fontId="0" fillId="0" borderId="0" applyFont="0" applyFill="0" applyBorder="0" applyAlignment="0" applyProtection="0"/>
    <xf numFmtId="9" fontId="1" fillId="0" borderId="0" applyFont="0" applyFill="0" applyBorder="0" applyAlignment="0" applyProtection="0"/>
    <xf numFmtId="213" fontId="37" fillId="0" borderId="0">
      <alignment vertical="center"/>
      <protection/>
    </xf>
    <xf numFmtId="0" fontId="50" fillId="21" borderId="0">
      <alignment horizontal="left" indent="1"/>
      <protection/>
    </xf>
    <xf numFmtId="0" fontId="3" fillId="0" borderId="16">
      <alignment horizontal="center" vertical="center"/>
      <protection/>
    </xf>
    <xf numFmtId="0" fontId="51" fillId="21" borderId="0" applyBorder="0">
      <alignment horizontal="left" vertical="center" indent="1"/>
      <protection/>
    </xf>
    <xf numFmtId="0" fontId="36" fillId="0" borderId="6" applyNumberFormat="0">
      <alignment/>
      <protection/>
    </xf>
    <xf numFmtId="0" fontId="36" fillId="0" borderId="1" applyNumberFormat="0">
      <alignment/>
      <protection/>
    </xf>
    <xf numFmtId="0" fontId="77" fillId="0" borderId="0" applyNumberFormat="0" applyFill="0" applyBorder="0" applyAlignment="0" applyProtection="0"/>
    <xf numFmtId="0" fontId="78" fillId="0" borderId="17" applyNumberFormat="0" applyFill="0" applyAlignment="0" applyProtection="0"/>
    <xf numFmtId="0" fontId="18" fillId="0" borderId="0" applyNumberFormat="0" applyFill="0" applyBorder="0" applyAlignment="0" applyProtection="0"/>
    <xf numFmtId="0" fontId="79" fillId="0" borderId="0" applyNumberFormat="0" applyFill="0" applyBorder="0" applyAlignment="0" applyProtection="0"/>
    <xf numFmtId="214" fontId="37" fillId="0" borderId="1">
      <alignment horizontal="right"/>
      <protection/>
    </xf>
    <xf numFmtId="215" fontId="52" fillId="0" borderId="5" applyFont="0" applyBorder="0">
      <alignment vertical="center"/>
      <protection/>
    </xf>
    <xf numFmtId="216" fontId="53" fillId="0" borderId="0">
      <alignment/>
      <protection/>
    </xf>
    <xf numFmtId="177" fontId="37" fillId="0" borderId="0">
      <alignment/>
      <protection/>
    </xf>
    <xf numFmtId="178" fontId="37" fillId="0" borderId="0">
      <alignment/>
      <protection/>
    </xf>
  </cellStyleXfs>
  <cellXfs count="1138">
    <xf numFmtId="0" fontId="0" fillId="0" borderId="0" xfId="0" applyAlignment="1">
      <alignment/>
    </xf>
    <xf numFmtId="0" fontId="1" fillId="0" borderId="0" xfId="121">
      <alignment/>
      <protection/>
    </xf>
    <xf numFmtId="0" fontId="2" fillId="0" borderId="0" xfId="121" applyFont="1">
      <alignment/>
      <protection/>
    </xf>
    <xf numFmtId="0" fontId="1" fillId="4" borderId="0" xfId="121" applyFill="1">
      <alignment/>
      <protection/>
    </xf>
    <xf numFmtId="16" fontId="1" fillId="4" borderId="0" xfId="121" applyNumberFormat="1" applyFill="1" applyAlignment="1" quotePrefix="1">
      <alignment horizontal="left"/>
      <protection/>
    </xf>
    <xf numFmtId="0" fontId="1" fillId="4" borderId="0" xfId="121" applyFill="1" quotePrefix="1">
      <alignment/>
      <protection/>
    </xf>
    <xf numFmtId="164" fontId="1" fillId="4" borderId="0" xfId="121" applyNumberFormat="1" applyFill="1">
      <alignment/>
      <protection/>
    </xf>
    <xf numFmtId="0" fontId="2" fillId="4" borderId="18" xfId="121" applyFont="1" applyFill="1" applyBorder="1" applyAlignment="1">
      <alignment horizontal="center"/>
      <protection/>
    </xf>
    <xf numFmtId="0" fontId="2" fillId="0" borderId="18" xfId="121" applyFont="1" applyFill="1" applyBorder="1" applyAlignment="1">
      <alignment horizontal="center"/>
      <protection/>
    </xf>
    <xf numFmtId="0" fontId="2" fillId="0" borderId="18" xfId="121" applyFont="1" applyBorder="1" applyAlignment="1">
      <alignment horizontal="center"/>
      <protection/>
    </xf>
    <xf numFmtId="0" fontId="2" fillId="0" borderId="19" xfId="121" applyFont="1" applyBorder="1" applyAlignment="1">
      <alignment horizontal="center"/>
      <protection/>
    </xf>
    <xf numFmtId="0" fontId="2" fillId="0" borderId="20" xfId="121" applyFont="1" applyBorder="1" applyAlignment="1">
      <alignment horizontal="center" wrapText="1"/>
      <protection/>
    </xf>
    <xf numFmtId="0" fontId="2" fillId="0" borderId="20" xfId="121" applyFont="1" applyBorder="1" applyAlignment="1">
      <alignment horizontal="center" vertical="center" wrapText="1"/>
      <protection/>
    </xf>
    <xf numFmtId="0" fontId="2" fillId="0" borderId="21" xfId="121" applyFont="1" applyBorder="1" applyAlignment="1">
      <alignment horizontal="center" vertical="center" wrapText="1"/>
      <protection/>
    </xf>
    <xf numFmtId="166" fontId="0" fillId="4" borderId="20" xfId="88" applyNumberFormat="1" applyFont="1" applyFill="1" applyBorder="1" applyAlignment="1">
      <alignment/>
    </xf>
    <xf numFmtId="166" fontId="0" fillId="0" borderId="20" xfId="88" applyNumberFormat="1" applyFont="1" applyBorder="1" applyAlignment="1">
      <alignment/>
    </xf>
    <xf numFmtId="10" fontId="0" fillId="0" borderId="21" xfId="145" applyNumberFormat="1" applyFont="1" applyBorder="1" applyAlignment="1">
      <alignment/>
    </xf>
    <xf numFmtId="166" fontId="0" fillId="4" borderId="22" xfId="88" applyNumberFormat="1" applyFont="1" applyFill="1" applyBorder="1" applyAlignment="1">
      <alignment/>
    </xf>
    <xf numFmtId="166" fontId="0" fillId="4" borderId="23" xfId="88" applyNumberFormat="1" applyFont="1" applyFill="1" applyBorder="1" applyAlignment="1">
      <alignment/>
    </xf>
    <xf numFmtId="166" fontId="0" fillId="0" borderId="23" xfId="88" applyNumberFormat="1" applyFont="1" applyBorder="1" applyAlignment="1">
      <alignment/>
    </xf>
    <xf numFmtId="10" fontId="0" fillId="0" borderId="24" xfId="145" applyNumberFormat="1" applyFont="1" applyBorder="1" applyAlignment="1">
      <alignment/>
    </xf>
    <xf numFmtId="166" fontId="0" fillId="0" borderId="25" xfId="88" applyNumberFormat="1" applyFont="1" applyBorder="1" applyAlignment="1">
      <alignment/>
    </xf>
    <xf numFmtId="166" fontId="0" fillId="0" borderId="26" xfId="88" applyNumberFormat="1" applyFont="1" applyBorder="1" applyAlignment="1">
      <alignment/>
    </xf>
    <xf numFmtId="10" fontId="0" fillId="0" borderId="27" xfId="145" applyNumberFormat="1" applyFont="1" applyBorder="1" applyAlignment="1">
      <alignment/>
    </xf>
    <xf numFmtId="10" fontId="0" fillId="4" borderId="28" xfId="145" applyNumberFormat="1" applyFont="1" applyFill="1" applyBorder="1" applyAlignment="1">
      <alignment/>
    </xf>
    <xf numFmtId="0" fontId="1" fillId="0" borderId="0" xfId="121" applyAlignment="1">
      <alignment horizontal="left"/>
      <protection/>
    </xf>
    <xf numFmtId="166" fontId="0" fillId="0" borderId="0" xfId="88" applyNumberFormat="1" applyFont="1" applyAlignment="1">
      <alignment/>
    </xf>
    <xf numFmtId="10" fontId="0" fillId="0" borderId="0" xfId="145" applyNumberFormat="1" applyFont="1" applyAlignment="1">
      <alignment/>
    </xf>
    <xf numFmtId="0" fontId="2" fillId="0" borderId="20" xfId="121" applyFont="1" applyBorder="1" applyAlignment="1">
      <alignment horizontal="center"/>
      <protection/>
    </xf>
    <xf numFmtId="0" fontId="2" fillId="0" borderId="21" xfId="121" applyFont="1" applyBorder="1" applyAlignment="1">
      <alignment horizontal="center"/>
      <protection/>
    </xf>
    <xf numFmtId="166" fontId="0" fillId="0" borderId="20" xfId="88" applyNumberFormat="1" applyFont="1" applyFill="1" applyBorder="1" applyAlignment="1">
      <alignment/>
    </xf>
    <xf numFmtId="166" fontId="0" fillId="0" borderId="22" xfId="88" applyNumberFormat="1" applyFont="1" applyFill="1" applyBorder="1" applyAlignment="1">
      <alignment/>
    </xf>
    <xf numFmtId="0" fontId="4" fillId="0" borderId="0" xfId="121" applyFont="1">
      <alignment/>
      <protection/>
    </xf>
    <xf numFmtId="0" fontId="2" fillId="0" borderId="29" xfId="121" applyFont="1" applyBorder="1" applyAlignment="1">
      <alignment horizontal="center"/>
      <protection/>
    </xf>
    <xf numFmtId="0" fontId="2" fillId="0" borderId="30" xfId="121" applyFont="1" applyBorder="1" applyAlignment="1">
      <alignment horizontal="center"/>
      <protection/>
    </xf>
    <xf numFmtId="0" fontId="2" fillId="0" borderId="31" xfId="121" applyFont="1" applyBorder="1" applyAlignment="1">
      <alignment horizontal="center"/>
      <protection/>
    </xf>
    <xf numFmtId="0" fontId="2" fillId="0" borderId="32" xfId="121" applyFont="1" applyBorder="1" applyAlignment="1">
      <alignment horizontal="center"/>
      <protection/>
    </xf>
    <xf numFmtId="166" fontId="1" fillId="0" borderId="20" xfId="121" applyNumberFormat="1" applyBorder="1" applyAlignment="1">
      <alignment horizontal="center"/>
      <protection/>
    </xf>
    <xf numFmtId="10" fontId="0" fillId="0" borderId="21" xfId="145" applyNumberFormat="1" applyFont="1" applyBorder="1" applyAlignment="1">
      <alignment horizontal="center"/>
    </xf>
    <xf numFmtId="0" fontId="2" fillId="0" borderId="22" xfId="121" applyNumberFormat="1" applyFont="1" applyBorder="1" applyAlignment="1">
      <alignment horizontal="center"/>
      <protection/>
    </xf>
    <xf numFmtId="0" fontId="2" fillId="0" borderId="22" xfId="121" applyFont="1" applyBorder="1" applyAlignment="1">
      <alignment horizontal="center"/>
      <protection/>
    </xf>
    <xf numFmtId="0" fontId="2" fillId="0" borderId="24" xfId="121" applyFont="1" applyBorder="1" applyAlignment="1">
      <alignment horizontal="center"/>
      <protection/>
    </xf>
    <xf numFmtId="166" fontId="2" fillId="0" borderId="31" xfId="121" applyNumberFormat="1" applyFont="1" applyBorder="1" applyAlignment="1">
      <alignment horizontal="center"/>
      <protection/>
    </xf>
    <xf numFmtId="166" fontId="1" fillId="0" borderId="20" xfId="121" applyNumberFormat="1" applyBorder="1">
      <alignment/>
      <protection/>
    </xf>
    <xf numFmtId="0" fontId="1" fillId="0" borderId="20" xfId="121" applyBorder="1">
      <alignment/>
      <protection/>
    </xf>
    <xf numFmtId="10" fontId="1" fillId="0" borderId="21" xfId="121" applyNumberFormat="1" applyBorder="1">
      <alignment/>
      <protection/>
    </xf>
    <xf numFmtId="0" fontId="1" fillId="0" borderId="33" xfId="121" applyBorder="1">
      <alignment/>
      <protection/>
    </xf>
    <xf numFmtId="9" fontId="1" fillId="0" borderId="34" xfId="145" applyFont="1" applyBorder="1" applyAlignment="1">
      <alignment/>
    </xf>
    <xf numFmtId="0" fontId="1" fillId="0" borderId="0" xfId="121" applyAlignment="1">
      <alignment horizontal="left" vertical="top" wrapText="1"/>
      <protection/>
    </xf>
    <xf numFmtId="0" fontId="1" fillId="0" borderId="0" xfId="121" applyAlignment="1">
      <alignment vertical="top" wrapText="1"/>
      <protection/>
    </xf>
    <xf numFmtId="0" fontId="6" fillId="0" borderId="0" xfId="121" applyFont="1">
      <alignment/>
      <protection/>
    </xf>
    <xf numFmtId="0" fontId="7" fillId="0" borderId="0" xfId="121" applyFont="1" applyAlignment="1">
      <alignment horizontal="center"/>
      <protection/>
    </xf>
    <xf numFmtId="0" fontId="7" fillId="0" borderId="0" xfId="121" applyFont="1">
      <alignment/>
      <protection/>
    </xf>
    <xf numFmtId="0" fontId="7" fillId="0" borderId="0" xfId="121" applyFont="1" applyBorder="1">
      <alignment/>
      <protection/>
    </xf>
    <xf numFmtId="0" fontId="1" fillId="4" borderId="0" xfId="121" applyFill="1" applyAlignment="1">
      <alignment horizontal="left"/>
      <protection/>
    </xf>
    <xf numFmtId="0" fontId="8" fillId="0" borderId="0" xfId="116" applyAlignment="1" applyProtection="1">
      <alignment/>
      <protection/>
    </xf>
    <xf numFmtId="0" fontId="7" fillId="0" borderId="0" xfId="121" applyFont="1" applyAlignment="1" applyProtection="1">
      <alignment horizontal="center"/>
      <protection/>
    </xf>
    <xf numFmtId="164" fontId="1" fillId="4" borderId="0" xfId="121" applyNumberFormat="1" applyFill="1" applyAlignment="1">
      <alignment horizontal="left"/>
      <protection/>
    </xf>
    <xf numFmtId="0" fontId="6" fillId="0" borderId="0" xfId="121" applyFont="1" applyAlignment="1">
      <alignment wrapText="1"/>
      <protection/>
    </xf>
    <xf numFmtId="0" fontId="7" fillId="0" borderId="0" xfId="121" applyFont="1" applyAlignment="1">
      <alignment wrapText="1"/>
      <protection/>
    </xf>
    <xf numFmtId="0" fontId="9" fillId="0" borderId="0" xfId="121" applyFont="1" applyFill="1" applyAlignment="1">
      <alignment horizontal="center" wrapText="1"/>
      <protection/>
    </xf>
    <xf numFmtId="0" fontId="9" fillId="0" borderId="0" xfId="121" applyFont="1" applyFill="1" applyAlignment="1">
      <alignment horizontal="centerContinuous" wrapText="1"/>
      <protection/>
    </xf>
    <xf numFmtId="0" fontId="7" fillId="0" borderId="0" xfId="121" applyFont="1" applyAlignment="1">
      <alignment horizontal="centerContinuous" wrapText="1"/>
      <protection/>
    </xf>
    <xf numFmtId="0" fontId="10" fillId="0" borderId="0" xfId="121" applyFont="1" applyAlignment="1">
      <alignment horizontal="centerContinuous" wrapText="1"/>
      <protection/>
    </xf>
    <xf numFmtId="0" fontId="6" fillId="0" borderId="0" xfId="121" applyFont="1" applyAlignment="1">
      <alignment horizontal="center"/>
      <protection/>
    </xf>
    <xf numFmtId="0" fontId="11" fillId="0" borderId="0" xfId="121" applyFont="1">
      <alignment/>
      <protection/>
    </xf>
    <xf numFmtId="37" fontId="11" fillId="0" borderId="35" xfId="121" applyNumberFormat="1" applyFont="1" applyFill="1" applyBorder="1" applyAlignment="1" applyProtection="1">
      <alignment horizontal="centerContinuous" vertical="center" wrapText="1"/>
      <protection/>
    </xf>
    <xf numFmtId="37" fontId="11" fillId="0" borderId="36" xfId="121" applyNumberFormat="1" applyFont="1" applyFill="1" applyBorder="1" applyAlignment="1" applyProtection="1">
      <alignment horizontal="centerContinuous" vertical="center" wrapText="1"/>
      <protection/>
    </xf>
    <xf numFmtId="37" fontId="11" fillId="28" borderId="0" xfId="121" applyNumberFormat="1" applyFont="1" applyFill="1" applyBorder="1" applyAlignment="1" applyProtection="1" quotePrefix="1">
      <alignment horizontal="centerContinuous" vertical="center" wrapText="1"/>
      <protection/>
    </xf>
    <xf numFmtId="37" fontId="11" fillId="0" borderId="8" xfId="121" applyNumberFormat="1" applyFont="1" applyFill="1" applyBorder="1" applyAlignment="1" applyProtection="1">
      <alignment horizontal="centerContinuous" vertical="center" wrapText="1"/>
      <protection/>
    </xf>
    <xf numFmtId="37" fontId="11" fillId="0" borderId="37" xfId="121" applyNumberFormat="1" applyFont="1" applyFill="1" applyBorder="1" applyAlignment="1" applyProtection="1">
      <alignment horizontal="centerContinuous" vertical="center" wrapText="1"/>
      <protection/>
    </xf>
    <xf numFmtId="37" fontId="11" fillId="0" borderId="38" xfId="121" applyNumberFormat="1" applyFont="1" applyFill="1" applyBorder="1" applyAlignment="1" applyProtection="1">
      <alignment horizontal="center" vertical="center" wrapText="1"/>
      <protection/>
    </xf>
    <xf numFmtId="37" fontId="11" fillId="0" borderId="36" xfId="121" applyNumberFormat="1" applyFont="1" applyFill="1" applyBorder="1" applyAlignment="1" applyProtection="1">
      <alignment horizontal="center" vertical="center" wrapText="1"/>
      <protection/>
    </xf>
    <xf numFmtId="0" fontId="11" fillId="0" borderId="31" xfId="121" applyNumberFormat="1" applyFont="1" applyFill="1" applyBorder="1" applyAlignment="1" applyProtection="1">
      <alignment horizontal="center" vertical="center" wrapText="1"/>
      <protection/>
    </xf>
    <xf numFmtId="0" fontId="11" fillId="28" borderId="0" xfId="121" applyNumberFormat="1" applyFont="1" applyFill="1" applyBorder="1" applyAlignment="1" applyProtection="1">
      <alignment horizontal="center" vertical="center" wrapText="1"/>
      <protection/>
    </xf>
    <xf numFmtId="0" fontId="11" fillId="0" borderId="39" xfId="121" applyNumberFormat="1" applyFont="1" applyFill="1" applyBorder="1" applyAlignment="1" applyProtection="1">
      <alignment horizontal="center" vertical="center" wrapText="1"/>
      <protection/>
    </xf>
    <xf numFmtId="0" fontId="12" fillId="0" borderId="0" xfId="121" applyFont="1">
      <alignment/>
      <protection/>
    </xf>
    <xf numFmtId="0" fontId="12" fillId="0" borderId="0" xfId="121" applyFont="1" applyAlignment="1">
      <alignment horizontal="center"/>
      <protection/>
    </xf>
    <xf numFmtId="0" fontId="13" fillId="0" borderId="0" xfId="121" applyFont="1" applyAlignment="1" applyProtection="1">
      <alignment horizontal="center"/>
      <protection/>
    </xf>
    <xf numFmtId="0" fontId="13" fillId="28" borderId="0" xfId="121" applyFont="1" applyFill="1" applyBorder="1" applyAlignment="1" applyProtection="1">
      <alignment horizontal="center"/>
      <protection/>
    </xf>
    <xf numFmtId="0" fontId="12" fillId="0" borderId="0" xfId="121" applyFont="1" applyBorder="1">
      <alignment/>
      <protection/>
    </xf>
    <xf numFmtId="0" fontId="7" fillId="0" borderId="0" xfId="121" applyFont="1" applyAlignment="1">
      <alignment vertical="center"/>
      <protection/>
    </xf>
    <xf numFmtId="0" fontId="7" fillId="0" borderId="40" xfId="121" applyNumberFormat="1" applyFont="1" applyFill="1" applyBorder="1" applyAlignment="1" applyProtection="1">
      <alignment horizontal="center" vertical="center"/>
      <protection/>
    </xf>
    <xf numFmtId="0" fontId="7" fillId="0" borderId="40" xfId="121" applyFont="1" applyBorder="1" applyAlignment="1">
      <alignment horizontal="left" vertical="center"/>
      <protection/>
    </xf>
    <xf numFmtId="167" fontId="7" fillId="0" borderId="40" xfId="66" applyNumberFormat="1" applyFont="1" applyBorder="1" applyAlignment="1">
      <alignment horizontal="center" vertical="center"/>
    </xf>
    <xf numFmtId="167" fontId="7" fillId="28" borderId="0" xfId="66" applyNumberFormat="1" applyFont="1" applyFill="1" applyBorder="1" applyAlignment="1">
      <alignment horizontal="center" vertical="center"/>
    </xf>
    <xf numFmtId="0" fontId="7" fillId="0" borderId="0" xfId="121" applyFont="1" applyBorder="1" applyAlignment="1">
      <alignment vertical="center"/>
      <protection/>
    </xf>
    <xf numFmtId="0" fontId="7" fillId="0" borderId="0" xfId="121" applyNumberFormat="1" applyFont="1" applyFill="1" applyBorder="1" applyAlignment="1" applyProtection="1">
      <alignment horizontal="center" vertical="center"/>
      <protection/>
    </xf>
    <xf numFmtId="0" fontId="7" fillId="0" borderId="0" xfId="121" applyFont="1" applyAlignment="1">
      <alignment horizontal="left" vertical="center"/>
      <protection/>
    </xf>
    <xf numFmtId="167" fontId="7" fillId="0" borderId="0" xfId="66" applyNumberFormat="1" applyFont="1" applyBorder="1" applyAlignment="1">
      <alignment horizontal="center" vertical="center"/>
    </xf>
    <xf numFmtId="167" fontId="7" fillId="0" borderId="0" xfId="66" applyNumberFormat="1" applyFont="1" applyAlignment="1">
      <alignment horizontal="center" vertical="center"/>
    </xf>
    <xf numFmtId="0" fontId="7" fillId="22" borderId="0" xfId="121" applyNumberFormat="1" applyFont="1" applyFill="1" applyBorder="1" applyAlignment="1" applyProtection="1">
      <alignment horizontal="center" vertical="center"/>
      <protection/>
    </xf>
    <xf numFmtId="0" fontId="7" fillId="22" borderId="0" xfId="121" applyFont="1" applyFill="1" applyAlignment="1">
      <alignment horizontal="left" vertical="center"/>
      <protection/>
    </xf>
    <xf numFmtId="167" fontId="7" fillId="22" borderId="0" xfId="66" applyNumberFormat="1" applyFont="1" applyFill="1" applyBorder="1" applyAlignment="1">
      <alignment horizontal="center" vertical="center"/>
    </xf>
    <xf numFmtId="0" fontId="7" fillId="0" borderId="1" xfId="121" applyNumberFormat="1" applyFont="1" applyFill="1" applyBorder="1" applyAlignment="1" applyProtection="1">
      <alignment horizontal="center" vertical="center"/>
      <protection/>
    </xf>
    <xf numFmtId="0" fontId="7" fillId="0" borderId="1" xfId="121" applyFont="1" applyBorder="1" applyAlignment="1">
      <alignment horizontal="left" vertical="center"/>
      <protection/>
    </xf>
    <xf numFmtId="167" fontId="7" fillId="0" borderId="1" xfId="66" applyNumberFormat="1" applyFont="1" applyBorder="1" applyAlignment="1">
      <alignment horizontal="center" vertical="center"/>
    </xf>
    <xf numFmtId="0" fontId="7" fillId="0" borderId="0" xfId="121" applyFont="1" applyFill="1" applyAlignment="1">
      <alignment horizontal="left" vertical="center"/>
      <protection/>
    </xf>
    <xf numFmtId="0" fontId="7" fillId="0" borderId="0" xfId="121" applyFont="1" applyAlignment="1">
      <alignment horizontal="center" vertical="center"/>
      <protection/>
    </xf>
    <xf numFmtId="0" fontId="7" fillId="28" borderId="0" xfId="121" applyNumberFormat="1" applyFont="1" applyFill="1" applyBorder="1" applyAlignment="1" applyProtection="1">
      <alignment horizontal="center" vertical="center"/>
      <protection/>
    </xf>
    <xf numFmtId="0" fontId="7" fillId="28" borderId="0" xfId="121" applyFont="1" applyFill="1" applyAlignment="1">
      <alignment horizontal="left" vertical="center"/>
      <protection/>
    </xf>
    <xf numFmtId="167" fontId="7" fillId="28" borderId="0" xfId="66" applyNumberFormat="1" applyFont="1" applyFill="1" applyAlignment="1">
      <alignment horizontal="center" vertical="center"/>
    </xf>
    <xf numFmtId="0" fontId="7" fillId="0" borderId="0" xfId="121" applyFont="1" applyFill="1" applyBorder="1" applyAlignment="1">
      <alignment horizontal="left" vertical="center"/>
      <protection/>
    </xf>
    <xf numFmtId="37" fontId="7" fillId="0" borderId="0" xfId="121" applyNumberFormat="1" applyFont="1" applyAlignment="1">
      <alignment horizontal="right" vertical="center"/>
      <protection/>
    </xf>
    <xf numFmtId="37" fontId="7" fillId="28" borderId="0" xfId="121" applyNumberFormat="1" applyFont="1" applyFill="1" applyBorder="1" applyAlignment="1">
      <alignment horizontal="right" vertical="center"/>
      <protection/>
    </xf>
    <xf numFmtId="0" fontId="10" fillId="0" borderId="0" xfId="121" applyFont="1">
      <alignment/>
      <protection/>
    </xf>
    <xf numFmtId="0" fontId="11" fillId="0" borderId="40" xfId="121" applyFont="1" applyFill="1" applyBorder="1" applyAlignment="1">
      <alignment/>
      <protection/>
    </xf>
    <xf numFmtId="0" fontId="11" fillId="0" borderId="40" xfId="121" applyFont="1" applyBorder="1" applyAlignment="1">
      <alignment/>
      <protection/>
    </xf>
    <xf numFmtId="37" fontId="11" fillId="0" borderId="40" xfId="121" applyNumberFormat="1" applyFont="1" applyBorder="1" applyAlignment="1">
      <alignment horizontal="right" vertical="center"/>
      <protection/>
    </xf>
    <xf numFmtId="37" fontId="11" fillId="0" borderId="40" xfId="121" applyNumberFormat="1" applyFont="1" applyFill="1" applyBorder="1" applyAlignment="1">
      <alignment horizontal="right" vertical="center"/>
      <protection/>
    </xf>
    <xf numFmtId="37" fontId="11" fillId="28" borderId="0" xfId="121" applyNumberFormat="1" applyFont="1" applyFill="1" applyBorder="1" applyAlignment="1">
      <alignment horizontal="right" vertical="center"/>
      <protection/>
    </xf>
    <xf numFmtId="0" fontId="7" fillId="28" borderId="0" xfId="121" applyFont="1" applyFill="1" applyBorder="1">
      <alignment/>
      <protection/>
    </xf>
    <xf numFmtId="0" fontId="10" fillId="0" borderId="0" xfId="121" applyFont="1" applyFill="1" applyBorder="1" applyAlignment="1">
      <alignment horizontal="left"/>
      <protection/>
    </xf>
    <xf numFmtId="0" fontId="10" fillId="0" borderId="0" xfId="121" applyFont="1" applyFill="1" applyBorder="1" applyAlignment="1">
      <alignment horizontal="left" vertical="center"/>
      <protection/>
    </xf>
    <xf numFmtId="37" fontId="10" fillId="0" borderId="0" xfId="121" applyNumberFormat="1" applyFont="1">
      <alignment/>
      <protection/>
    </xf>
    <xf numFmtId="37" fontId="10" fillId="28" borderId="0" xfId="121" applyNumberFormat="1" applyFont="1" applyFill="1" applyBorder="1">
      <alignment/>
      <protection/>
    </xf>
    <xf numFmtId="0" fontId="10" fillId="0" borderId="40" xfId="121" applyFont="1" applyBorder="1" applyAlignment="1">
      <alignment horizontal="center"/>
      <protection/>
    </xf>
    <xf numFmtId="0" fontId="10" fillId="0" borderId="40" xfId="121" applyFont="1" applyBorder="1">
      <alignment/>
      <protection/>
    </xf>
    <xf numFmtId="37" fontId="10" fillId="0" borderId="40" xfId="121" applyNumberFormat="1" applyFont="1" applyBorder="1">
      <alignment/>
      <protection/>
    </xf>
    <xf numFmtId="0" fontId="15" fillId="0" borderId="0" xfId="121" applyFont="1">
      <alignment/>
      <protection/>
    </xf>
    <xf numFmtId="0" fontId="16" fillId="0" borderId="0" xfId="121" applyFont="1" applyAlignment="1">
      <alignment horizontal="left"/>
      <protection/>
    </xf>
    <xf numFmtId="43" fontId="10" fillId="0" borderId="0" xfId="66" applyFont="1" applyAlignment="1">
      <alignment/>
    </xf>
    <xf numFmtId="43" fontId="10" fillId="28" borderId="0" xfId="66" applyFont="1" applyFill="1" applyBorder="1" applyAlignment="1">
      <alignment/>
    </xf>
    <xf numFmtId="43" fontId="15" fillId="0" borderId="0" xfId="66" applyFont="1" applyAlignment="1">
      <alignment/>
    </xf>
    <xf numFmtId="0" fontId="17" fillId="22" borderId="0" xfId="121" applyFont="1" applyFill="1" applyAlignment="1">
      <alignment horizontal="left"/>
      <protection/>
    </xf>
    <xf numFmtId="0" fontId="10" fillId="22" borderId="0" xfId="121" applyFont="1" applyFill="1">
      <alignment/>
      <protection/>
    </xf>
    <xf numFmtId="0" fontId="10" fillId="22" borderId="0" xfId="121" applyFont="1" applyFill="1" applyAlignment="1">
      <alignment horizontal="center"/>
      <protection/>
    </xf>
    <xf numFmtId="0" fontId="10" fillId="22" borderId="0" xfId="121" applyFont="1" applyFill="1" applyAlignment="1">
      <alignment horizontal="left" vertical="center"/>
      <protection/>
    </xf>
    <xf numFmtId="167" fontId="10" fillId="22" borderId="0" xfId="66" applyNumberFormat="1" applyFont="1" applyFill="1" applyBorder="1" applyAlignment="1">
      <alignment horizontal="center" vertical="center"/>
    </xf>
    <xf numFmtId="167" fontId="18" fillId="22" borderId="0" xfId="66" applyNumberFormat="1" applyFont="1" applyFill="1" applyBorder="1" applyAlignment="1">
      <alignment horizontal="center" vertical="center"/>
    </xf>
    <xf numFmtId="0" fontId="10" fillId="26" borderId="0" xfId="121" applyFont="1" applyFill="1" applyAlignment="1">
      <alignment horizontal="center"/>
      <protection/>
    </xf>
    <xf numFmtId="0" fontId="10" fillId="26" borderId="0" xfId="121" applyFont="1" applyFill="1" applyAlignment="1">
      <alignment horizontal="left" vertical="center"/>
      <protection/>
    </xf>
    <xf numFmtId="0" fontId="7" fillId="22" borderId="40" xfId="121" applyFont="1" applyFill="1" applyBorder="1" applyAlignment="1">
      <alignment horizontal="center"/>
      <protection/>
    </xf>
    <xf numFmtId="0" fontId="7" fillId="22" borderId="40" xfId="121" applyFont="1" applyFill="1" applyBorder="1">
      <alignment/>
      <protection/>
    </xf>
    <xf numFmtId="167" fontId="7" fillId="22" borderId="40" xfId="121" applyNumberFormat="1" applyFont="1" applyFill="1" applyBorder="1">
      <alignment/>
      <protection/>
    </xf>
    <xf numFmtId="167" fontId="7" fillId="22" borderId="40" xfId="66" applyNumberFormat="1" applyFont="1" applyFill="1" applyBorder="1" applyAlignment="1">
      <alignment horizontal="center" vertical="center"/>
    </xf>
    <xf numFmtId="167" fontId="18" fillId="22" borderId="40" xfId="121" applyNumberFormat="1" applyFont="1" applyFill="1" applyBorder="1">
      <alignment/>
      <protection/>
    </xf>
    <xf numFmtId="0" fontId="3" fillId="0" borderId="0" xfId="121" applyFont="1" applyAlignment="1">
      <alignment horizontal="left"/>
      <protection/>
    </xf>
    <xf numFmtId="0" fontId="11" fillId="28" borderId="0" xfId="121" applyFont="1" applyFill="1" applyBorder="1">
      <alignment/>
      <protection/>
    </xf>
    <xf numFmtId="0" fontId="11" fillId="0" borderId="0" xfId="121" applyFont="1" applyAlignment="1">
      <alignment horizontal="center"/>
      <protection/>
    </xf>
    <xf numFmtId="0" fontId="11" fillId="0" borderId="0" xfId="121" applyFont="1" applyFill="1" applyBorder="1" applyAlignment="1">
      <alignment horizontal="left" vertical="center"/>
      <protection/>
    </xf>
    <xf numFmtId="37" fontId="11" fillId="0" borderId="0" xfId="121" applyNumberFormat="1" applyFont="1" applyAlignment="1">
      <alignment horizontal="right" vertical="center"/>
      <protection/>
    </xf>
    <xf numFmtId="0" fontId="19" fillId="0" borderId="0" xfId="121" applyFont="1" applyAlignment="1">
      <alignment horizontal="left"/>
      <protection/>
    </xf>
    <xf numFmtId="0" fontId="3" fillId="0" borderId="0" xfId="121" applyFont="1" applyAlignment="1">
      <alignment horizontal="centerContinuous"/>
      <protection/>
    </xf>
    <xf numFmtId="0" fontId="1" fillId="0" borderId="0" xfId="121" applyAlignment="1">
      <alignment horizontal="centerContinuous"/>
      <protection/>
    </xf>
    <xf numFmtId="0" fontId="9" fillId="0" borderId="0" xfId="121" applyFont="1" applyFill="1" applyAlignment="1" applyProtection="1">
      <alignment horizontal="left"/>
      <protection/>
    </xf>
    <xf numFmtId="0" fontId="11" fillId="0" borderId="0" xfId="121" applyFont="1" applyAlignment="1">
      <alignment horizontal="center" vertical="center"/>
      <protection/>
    </xf>
    <xf numFmtId="0" fontId="11" fillId="0" borderId="0" xfId="121" applyFont="1" applyFill="1" applyAlignment="1">
      <alignment horizontal="left" vertical="center"/>
      <protection/>
    </xf>
    <xf numFmtId="0" fontId="7" fillId="0" borderId="0" xfId="121" applyFont="1" applyFill="1" applyAlignment="1">
      <alignment horizontal="right" vertical="center"/>
      <protection/>
    </xf>
    <xf numFmtId="167" fontId="7" fillId="0" borderId="0" xfId="66" applyNumberFormat="1" applyFont="1" applyAlignment="1">
      <alignment/>
    </xf>
    <xf numFmtId="167" fontId="7" fillId="0" borderId="0" xfId="66" applyNumberFormat="1" applyFont="1" applyFill="1" applyAlignment="1">
      <alignment/>
    </xf>
    <xf numFmtId="0" fontId="7" fillId="0" borderId="40" xfId="121" applyFont="1" applyFill="1" applyBorder="1" applyAlignment="1">
      <alignment horizontal="right" vertical="center"/>
      <protection/>
    </xf>
    <xf numFmtId="167" fontId="7" fillId="0" borderId="40" xfId="66" applyNumberFormat="1" applyFont="1" applyFill="1" applyBorder="1" applyAlignment="1">
      <alignment horizontal="right" vertical="center"/>
    </xf>
    <xf numFmtId="0" fontId="7" fillId="0" borderId="0" xfId="121" applyFont="1" applyFill="1" applyBorder="1" applyAlignment="1">
      <alignment horizontal="right" vertical="center"/>
      <protection/>
    </xf>
    <xf numFmtId="167" fontId="7" fillId="0" borderId="0" xfId="66" applyNumberFormat="1" applyFont="1" applyFill="1" applyBorder="1" applyAlignment="1">
      <alignment horizontal="right" vertical="center"/>
    </xf>
    <xf numFmtId="0" fontId="11" fillId="0" borderId="40" xfId="121" applyFont="1" applyFill="1" applyBorder="1" applyAlignment="1">
      <alignment horizontal="right" vertical="center"/>
      <protection/>
    </xf>
    <xf numFmtId="167" fontId="11" fillId="0" borderId="40" xfId="66" applyNumberFormat="1" applyFont="1" applyFill="1" applyBorder="1" applyAlignment="1">
      <alignment horizontal="right" vertical="center"/>
    </xf>
    <xf numFmtId="167" fontId="10" fillId="0" borderId="0" xfId="66" applyNumberFormat="1" applyFont="1" applyAlignment="1">
      <alignment/>
    </xf>
    <xf numFmtId="0" fontId="21" fillId="0" borderId="0" xfId="121" applyFont="1">
      <alignment/>
      <protection/>
    </xf>
    <xf numFmtId="167" fontId="1" fillId="0" borderId="0" xfId="121" applyNumberFormat="1">
      <alignment/>
      <protection/>
    </xf>
    <xf numFmtId="43" fontId="0" fillId="0" borderId="0" xfId="66" applyFont="1" applyAlignment="1">
      <alignment/>
    </xf>
    <xf numFmtId="167" fontId="7" fillId="0" borderId="40" xfId="66" applyNumberFormat="1" applyFont="1" applyBorder="1" applyAlignment="1">
      <alignment/>
    </xf>
    <xf numFmtId="0" fontId="22" fillId="0" borderId="0" xfId="121" applyFont="1">
      <alignment/>
      <protection/>
    </xf>
    <xf numFmtId="0" fontId="2" fillId="0" borderId="41" xfId="121" applyFont="1" applyBorder="1">
      <alignment/>
      <protection/>
    </xf>
    <xf numFmtId="0" fontId="2" fillId="0" borderId="42" xfId="121" applyFont="1" applyBorder="1">
      <alignment/>
      <protection/>
    </xf>
    <xf numFmtId="0" fontId="2" fillId="4" borderId="18" xfId="121" applyFont="1" applyFill="1" applyBorder="1" applyAlignment="1">
      <alignment horizontal="center" wrapText="1"/>
      <protection/>
    </xf>
    <xf numFmtId="0" fontId="2" fillId="4" borderId="43" xfId="121" applyFont="1" applyFill="1" applyBorder="1" applyAlignment="1">
      <alignment horizontal="center" wrapText="1"/>
      <protection/>
    </xf>
    <xf numFmtId="0" fontId="1" fillId="0" borderId="44" xfId="121" applyBorder="1">
      <alignment/>
      <protection/>
    </xf>
    <xf numFmtId="0" fontId="1" fillId="0" borderId="39" xfId="121" applyBorder="1">
      <alignment/>
      <protection/>
    </xf>
    <xf numFmtId="166" fontId="0" fillId="4" borderId="31" xfId="88" applyNumberFormat="1" applyFont="1" applyFill="1" applyBorder="1" applyAlignment="1">
      <alignment/>
    </xf>
    <xf numFmtId="0" fontId="1" fillId="0" borderId="45" xfId="121" applyBorder="1">
      <alignment/>
      <protection/>
    </xf>
    <xf numFmtId="0" fontId="1" fillId="0" borderId="46" xfId="121" applyBorder="1">
      <alignment/>
      <protection/>
    </xf>
    <xf numFmtId="0" fontId="1" fillId="0" borderId="47" xfId="121" applyBorder="1">
      <alignment/>
      <protection/>
    </xf>
    <xf numFmtId="0" fontId="1" fillId="0" borderId="48" xfId="121" applyBorder="1">
      <alignment/>
      <protection/>
    </xf>
    <xf numFmtId="0" fontId="1" fillId="0" borderId="49" xfId="121" applyBorder="1">
      <alignment/>
      <protection/>
    </xf>
    <xf numFmtId="0" fontId="1" fillId="0" borderId="50" xfId="121" applyBorder="1">
      <alignment/>
      <protection/>
    </xf>
    <xf numFmtId="0" fontId="2" fillId="0" borderId="18" xfId="121" applyFont="1" applyFill="1" applyBorder="1" applyAlignment="1">
      <alignment horizontal="center" wrapText="1"/>
      <protection/>
    </xf>
    <xf numFmtId="0" fontId="2" fillId="0" borderId="43" xfId="121" applyFont="1" applyFill="1" applyBorder="1" applyAlignment="1">
      <alignment horizontal="center" wrapText="1"/>
      <protection/>
    </xf>
    <xf numFmtId="0" fontId="1" fillId="0" borderId="51" xfId="121" applyBorder="1">
      <alignment/>
      <protection/>
    </xf>
    <xf numFmtId="166" fontId="0" fillId="0" borderId="27" xfId="88" applyNumberFormat="1" applyFont="1" applyBorder="1" applyAlignment="1">
      <alignment/>
    </xf>
    <xf numFmtId="0" fontId="2" fillId="0" borderId="52" xfId="121" applyFont="1" applyBorder="1">
      <alignment/>
      <protection/>
    </xf>
    <xf numFmtId="0" fontId="1" fillId="0" borderId="53" xfId="121" applyBorder="1">
      <alignment/>
      <protection/>
    </xf>
    <xf numFmtId="166" fontId="0" fillId="0" borderId="54" xfId="88" applyNumberFormat="1" applyFont="1" applyBorder="1" applyAlignment="1">
      <alignment/>
    </xf>
    <xf numFmtId="0" fontId="2" fillId="0" borderId="19" xfId="121" applyFont="1" applyFill="1" applyBorder="1" applyAlignment="1">
      <alignment horizontal="center" wrapText="1"/>
      <protection/>
    </xf>
    <xf numFmtId="166" fontId="1" fillId="2" borderId="31" xfId="88" applyNumberFormat="1" applyFont="1" applyFill="1" applyBorder="1" applyAlignment="1">
      <alignment/>
    </xf>
    <xf numFmtId="0" fontId="2" fillId="0" borderId="55" xfId="121" applyFont="1" applyBorder="1">
      <alignment/>
      <protection/>
    </xf>
    <xf numFmtId="166" fontId="0" fillId="22" borderId="56" xfId="88" applyNumberFormat="1" applyFont="1" applyFill="1" applyBorder="1" applyAlignment="1">
      <alignment/>
    </xf>
    <xf numFmtId="166" fontId="0" fillId="22" borderId="57" xfId="88" applyNumberFormat="1" applyFont="1" applyFill="1" applyBorder="1" applyAlignment="1">
      <alignment/>
    </xf>
    <xf numFmtId="166" fontId="0" fillId="22" borderId="8" xfId="88" applyNumberFormat="1" applyFont="1" applyFill="1" applyBorder="1" applyAlignment="1">
      <alignment/>
    </xf>
    <xf numFmtId="166" fontId="0" fillId="22" borderId="58" xfId="88" applyNumberFormat="1" applyFont="1" applyFill="1" applyBorder="1" applyAlignment="1">
      <alignment/>
    </xf>
    <xf numFmtId="0" fontId="2" fillId="0" borderId="0" xfId="121" applyFont="1" applyAlignment="1">
      <alignment vertical="top"/>
      <protection/>
    </xf>
    <xf numFmtId="0" fontId="25" fillId="7" borderId="0" xfId="121" applyFont="1" applyFill="1">
      <alignment/>
      <protection/>
    </xf>
    <xf numFmtId="166" fontId="25" fillId="7" borderId="0" xfId="121" applyNumberFormat="1" applyFont="1" applyFill="1">
      <alignment/>
      <protection/>
    </xf>
    <xf numFmtId="0" fontId="1" fillId="0" borderId="0" xfId="121" applyFill="1">
      <alignment/>
      <protection/>
    </xf>
    <xf numFmtId="0" fontId="2" fillId="0" borderId="59" xfId="121" applyFont="1" applyBorder="1">
      <alignment/>
      <protection/>
    </xf>
    <xf numFmtId="0" fontId="2" fillId="4" borderId="18" xfId="121" applyFont="1" applyFill="1" applyBorder="1" applyAlignment="1">
      <alignment horizontal="center" vertical="center" wrapText="1"/>
      <protection/>
    </xf>
    <xf numFmtId="0" fontId="2" fillId="4" borderId="19" xfId="121" applyFont="1" applyFill="1" applyBorder="1" applyAlignment="1">
      <alignment horizontal="center" vertical="center" wrapText="1"/>
      <protection/>
    </xf>
    <xf numFmtId="0" fontId="2" fillId="0" borderId="60" xfId="121" applyFont="1" applyBorder="1">
      <alignment/>
      <protection/>
    </xf>
    <xf numFmtId="166" fontId="0" fillId="0" borderId="21" xfId="88" applyNumberFormat="1" applyFont="1" applyBorder="1" applyAlignment="1">
      <alignment/>
    </xf>
    <xf numFmtId="0" fontId="1" fillId="0" borderId="60" xfId="121" applyBorder="1">
      <alignment/>
      <protection/>
    </xf>
    <xf numFmtId="166" fontId="0" fillId="4" borderId="21" xfId="88" applyNumberFormat="1" applyFont="1" applyFill="1" applyBorder="1" applyAlignment="1">
      <alignment/>
    </xf>
    <xf numFmtId="0" fontId="1" fillId="0" borderId="61" xfId="121" applyBorder="1">
      <alignment/>
      <protection/>
    </xf>
    <xf numFmtId="0" fontId="1" fillId="0" borderId="62" xfId="121" applyBorder="1">
      <alignment/>
      <protection/>
    </xf>
    <xf numFmtId="166" fontId="0" fillId="4" borderId="63" xfId="88" applyNumberFormat="1" applyFont="1" applyFill="1" applyBorder="1" applyAlignment="1">
      <alignment/>
    </xf>
    <xf numFmtId="0" fontId="2" fillId="0" borderId="64" xfId="121" applyFont="1" applyBorder="1">
      <alignment/>
      <protection/>
    </xf>
    <xf numFmtId="166" fontId="0" fillId="0" borderId="28" xfId="88" applyNumberFormat="1" applyFont="1" applyBorder="1" applyAlignment="1">
      <alignment/>
    </xf>
    <xf numFmtId="0" fontId="2" fillId="0" borderId="0" xfId="121" applyFont="1" applyAlignment="1">
      <alignment horizontal="center"/>
      <protection/>
    </xf>
    <xf numFmtId="0" fontId="21" fillId="11" borderId="0" xfId="121" applyFont="1" applyFill="1" applyAlignment="1">
      <alignment horizontal="center"/>
      <protection/>
    </xf>
    <xf numFmtId="167" fontId="21" fillId="11" borderId="0" xfId="51" applyNumberFormat="1" applyFont="1" applyFill="1" applyAlignment="1">
      <alignment/>
    </xf>
    <xf numFmtId="166" fontId="1" fillId="0" borderId="0" xfId="121" applyNumberFormat="1">
      <alignment/>
      <protection/>
    </xf>
    <xf numFmtId="0" fontId="26" fillId="0" borderId="0" xfId="121" applyFont="1">
      <alignment/>
      <protection/>
    </xf>
    <xf numFmtId="0" fontId="27" fillId="0" borderId="0" xfId="121" applyFont="1">
      <alignment/>
      <protection/>
    </xf>
    <xf numFmtId="0" fontId="2" fillId="0" borderId="18" xfId="121" applyFont="1" applyBorder="1" applyAlignment="1">
      <alignment horizontal="center" wrapText="1"/>
      <protection/>
    </xf>
    <xf numFmtId="0" fontId="2" fillId="0" borderId="19" xfId="121" applyFont="1" applyBorder="1" applyAlignment="1">
      <alignment horizontal="center" wrapText="1"/>
      <protection/>
    </xf>
    <xf numFmtId="0" fontId="1" fillId="0" borderId="20" xfId="121" applyBorder="1" applyAlignment="1" quotePrefix="1">
      <alignment horizontal="center"/>
      <protection/>
    </xf>
    <xf numFmtId="0" fontId="1" fillId="0" borderId="21" xfId="121" applyBorder="1" applyAlignment="1" quotePrefix="1">
      <alignment horizontal="center"/>
      <protection/>
    </xf>
    <xf numFmtId="0" fontId="2" fillId="0" borderId="60" xfId="121" applyFont="1" applyBorder="1" applyAlignment="1">
      <alignment horizontal="center" vertical="top"/>
      <protection/>
    </xf>
    <xf numFmtId="0" fontId="1" fillId="0" borderId="20" xfId="121" applyBorder="1" applyAlignment="1">
      <alignment vertical="top" wrapText="1"/>
      <protection/>
    </xf>
    <xf numFmtId="0" fontId="1" fillId="4" borderId="20" xfId="121" applyFill="1" applyBorder="1" applyAlignment="1">
      <alignment vertical="top"/>
      <protection/>
    </xf>
    <xf numFmtId="166" fontId="1" fillId="4" borderId="20" xfId="88" applyNumberFormat="1" applyFill="1" applyBorder="1" applyAlignment="1">
      <alignment vertical="top"/>
    </xf>
    <xf numFmtId="0" fontId="1" fillId="29" borderId="20" xfId="121" applyFill="1" applyBorder="1" applyAlignment="1">
      <alignment vertical="top"/>
      <protection/>
    </xf>
    <xf numFmtId="10" fontId="1" fillId="0" borderId="20" xfId="145" applyNumberFormat="1" applyBorder="1" applyAlignment="1">
      <alignment vertical="top"/>
    </xf>
    <xf numFmtId="10" fontId="1" fillId="0" borderId="21" xfId="145" applyNumberFormat="1" applyBorder="1" applyAlignment="1">
      <alignment vertical="top"/>
    </xf>
    <xf numFmtId="0" fontId="1" fillId="0" borderId="0" xfId="121" applyAlignment="1">
      <alignment vertical="top"/>
      <protection/>
    </xf>
    <xf numFmtId="166" fontId="1" fillId="4" borderId="20" xfId="88" applyNumberFormat="1" applyFont="1" applyFill="1" applyBorder="1" applyAlignment="1">
      <alignment vertical="top"/>
    </xf>
    <xf numFmtId="0" fontId="1" fillId="0" borderId="20" xfId="121" applyFont="1" applyBorder="1" applyAlignment="1">
      <alignment vertical="top" wrapText="1"/>
      <protection/>
    </xf>
    <xf numFmtId="0" fontId="1" fillId="4" borderId="20" xfId="121" applyFill="1" applyBorder="1" applyAlignment="1">
      <alignment vertical="top" wrapText="1"/>
      <protection/>
    </xf>
    <xf numFmtId="0" fontId="2" fillId="0" borderId="65" xfId="121" applyFont="1" applyBorder="1" applyAlignment="1">
      <alignment horizontal="center" vertical="top"/>
      <protection/>
    </xf>
    <xf numFmtId="0" fontId="1" fillId="0" borderId="33" xfId="121" applyBorder="1" applyAlignment="1">
      <alignment vertical="top" wrapText="1"/>
      <protection/>
    </xf>
    <xf numFmtId="0" fontId="1" fillId="4" borderId="33" xfId="121" applyFill="1" applyBorder="1" applyAlignment="1">
      <alignment vertical="top"/>
      <protection/>
    </xf>
    <xf numFmtId="166" fontId="1" fillId="4" borderId="33" xfId="88" applyNumberFormat="1" applyFill="1" applyBorder="1" applyAlignment="1">
      <alignment vertical="top"/>
    </xf>
    <xf numFmtId="0" fontId="1" fillId="29" borderId="33" xfId="121" applyFill="1" applyBorder="1" applyAlignment="1">
      <alignment vertical="top"/>
      <protection/>
    </xf>
    <xf numFmtId="10" fontId="1" fillId="0" borderId="33" xfId="145" applyNumberFormat="1" applyBorder="1" applyAlignment="1">
      <alignment vertical="top"/>
    </xf>
    <xf numFmtId="10" fontId="1" fillId="0" borderId="34" xfId="145" applyNumberFormat="1" applyBorder="1" applyAlignment="1">
      <alignment vertical="top"/>
    </xf>
    <xf numFmtId="0" fontId="2" fillId="0" borderId="66" xfId="121" applyFont="1" applyBorder="1" applyAlignment="1">
      <alignment horizontal="center" vertical="top"/>
      <protection/>
    </xf>
    <xf numFmtId="0" fontId="1" fillId="0" borderId="31" xfId="121" applyBorder="1" applyAlignment="1">
      <alignment vertical="top" wrapText="1"/>
      <protection/>
    </xf>
    <xf numFmtId="0" fontId="1" fillId="24" borderId="31" xfId="121" applyFill="1" applyBorder="1" applyAlignment="1">
      <alignment vertical="top"/>
      <protection/>
    </xf>
    <xf numFmtId="166" fontId="1" fillId="0" borderId="31" xfId="88" applyNumberFormat="1" applyBorder="1" applyAlignment="1">
      <alignment vertical="top"/>
    </xf>
    <xf numFmtId="0" fontId="1" fillId="24" borderId="23" xfId="121" applyFill="1" applyBorder="1" applyAlignment="1">
      <alignment vertical="top"/>
      <protection/>
    </xf>
    <xf numFmtId="10" fontId="1" fillId="0" borderId="31" xfId="145" applyNumberFormat="1" applyBorder="1" applyAlignment="1">
      <alignment vertical="top"/>
    </xf>
    <xf numFmtId="10" fontId="1" fillId="0" borderId="32" xfId="145" applyNumberFormat="1" applyBorder="1" applyAlignment="1">
      <alignment vertical="top"/>
    </xf>
    <xf numFmtId="0" fontId="2" fillId="0" borderId="62" xfId="121" applyFont="1" applyBorder="1" applyAlignment="1">
      <alignment horizontal="center" vertical="top"/>
      <protection/>
    </xf>
    <xf numFmtId="0" fontId="1" fillId="0" borderId="23" xfId="121" applyBorder="1" applyAlignment="1">
      <alignment vertical="top" wrapText="1"/>
      <protection/>
    </xf>
    <xf numFmtId="166" fontId="1" fillId="0" borderId="23" xfId="88" applyNumberFormat="1" applyBorder="1" applyAlignment="1">
      <alignment vertical="top"/>
    </xf>
    <xf numFmtId="10" fontId="1" fillId="0" borderId="23" xfId="145" applyNumberFormat="1" applyBorder="1" applyAlignment="1">
      <alignment vertical="top"/>
    </xf>
    <xf numFmtId="10" fontId="1" fillId="0" borderId="63" xfId="145" applyNumberFormat="1" applyBorder="1" applyAlignment="1">
      <alignment vertical="top"/>
    </xf>
    <xf numFmtId="0" fontId="2" fillId="0" borderId="64" xfId="121" applyFont="1" applyBorder="1" applyAlignment="1">
      <alignment horizontal="center" vertical="top"/>
      <protection/>
    </xf>
    <xf numFmtId="0" fontId="1" fillId="0" borderId="26" xfId="121" applyBorder="1" applyAlignment="1">
      <alignment vertical="top" wrapText="1"/>
      <protection/>
    </xf>
    <xf numFmtId="0" fontId="1" fillId="24" borderId="26" xfId="121" applyFill="1" applyBorder="1" applyAlignment="1">
      <alignment vertical="top"/>
      <protection/>
    </xf>
    <xf numFmtId="166" fontId="1" fillId="0" borderId="26" xfId="88" applyNumberFormat="1" applyBorder="1" applyAlignment="1">
      <alignment vertical="top"/>
    </xf>
    <xf numFmtId="10" fontId="1" fillId="0" borderId="26" xfId="145" applyNumberFormat="1" applyBorder="1" applyAlignment="1">
      <alignment vertical="top"/>
    </xf>
    <xf numFmtId="10" fontId="1" fillId="0" borderId="28" xfId="145" applyNumberFormat="1" applyBorder="1" applyAlignment="1">
      <alignment vertical="top"/>
    </xf>
    <xf numFmtId="0" fontId="80" fillId="0" borderId="0" xfId="121" applyFont="1" quotePrefix="1">
      <alignment/>
      <protection/>
    </xf>
    <xf numFmtId="0" fontId="61" fillId="0" borderId="0" xfId="121" applyFont="1">
      <alignment/>
      <protection/>
    </xf>
    <xf numFmtId="0" fontId="14" fillId="0" borderId="0" xfId="121" applyFont="1">
      <alignment/>
      <protection/>
    </xf>
    <xf numFmtId="0" fontId="29" fillId="20" borderId="0" xfId="116" applyFont="1" applyFill="1" applyAlignment="1" applyProtection="1">
      <alignment/>
      <protection/>
    </xf>
    <xf numFmtId="0" fontId="1" fillId="20" borderId="0" xfId="121" applyFill="1" applyProtection="1">
      <alignment/>
      <protection/>
    </xf>
    <xf numFmtId="0" fontId="30" fillId="20" borderId="0" xfId="121" applyFont="1" applyFill="1" applyProtection="1">
      <alignment/>
      <protection/>
    </xf>
    <xf numFmtId="0" fontId="1" fillId="0" borderId="0" xfId="121" applyFill="1" applyProtection="1">
      <alignment/>
      <protection/>
    </xf>
    <xf numFmtId="0" fontId="1" fillId="0" borderId="0" xfId="121" applyFill="1" applyBorder="1" applyProtection="1">
      <alignment/>
      <protection/>
    </xf>
    <xf numFmtId="0" fontId="8" fillId="20" borderId="0" xfId="116" applyFill="1" applyAlignment="1" applyProtection="1">
      <alignment/>
      <protection/>
    </xf>
    <xf numFmtId="0" fontId="9" fillId="20" borderId="0" xfId="121" applyFont="1" applyFill="1" applyProtection="1">
      <alignment/>
      <protection/>
    </xf>
    <xf numFmtId="37" fontId="31" fillId="20" borderId="0" xfId="121" applyNumberFormat="1" applyFont="1" applyFill="1" applyBorder="1" applyProtection="1">
      <alignment/>
      <protection/>
    </xf>
    <xf numFmtId="37" fontId="32" fillId="20" borderId="0" xfId="121" applyNumberFormat="1" applyFont="1" applyFill="1" applyBorder="1" applyProtection="1">
      <alignment/>
      <protection/>
    </xf>
    <xf numFmtId="0" fontId="32" fillId="20" borderId="0" xfId="121" applyFont="1" applyFill="1" applyBorder="1" applyAlignment="1" applyProtection="1">
      <alignment horizontal="left"/>
      <protection/>
    </xf>
    <xf numFmtId="0" fontId="32" fillId="0" borderId="0" xfId="121" applyFont="1" applyFill="1" applyBorder="1" applyAlignment="1" applyProtection="1">
      <alignment horizontal="left"/>
      <protection/>
    </xf>
    <xf numFmtId="0" fontId="30" fillId="0" borderId="0" xfId="121" applyFont="1" applyFill="1" applyProtection="1">
      <alignment/>
      <protection/>
    </xf>
    <xf numFmtId="37" fontId="32" fillId="0" borderId="0" xfId="121" applyNumberFormat="1" applyFont="1" applyFill="1" applyBorder="1" applyProtection="1">
      <alignment/>
      <protection/>
    </xf>
    <xf numFmtId="37" fontId="1" fillId="0" borderId="0" xfId="121" applyNumberFormat="1" applyFont="1" applyFill="1" applyBorder="1" applyProtection="1">
      <alignment/>
      <protection/>
    </xf>
    <xf numFmtId="0" fontId="1" fillId="20" borderId="0" xfId="121" applyFill="1">
      <alignment/>
      <protection/>
    </xf>
    <xf numFmtId="0" fontId="2" fillId="20" borderId="0" xfId="121" applyFont="1" applyFill="1">
      <alignment/>
      <protection/>
    </xf>
    <xf numFmtId="0" fontId="3" fillId="20" borderId="0" xfId="121" applyFont="1" applyFill="1" applyAlignment="1">
      <alignment horizontal="center"/>
      <protection/>
    </xf>
    <xf numFmtId="0" fontId="33" fillId="20" borderId="0" xfId="121" applyFont="1" applyFill="1" applyAlignment="1" quotePrefix="1">
      <alignment horizontal="left"/>
      <protection/>
    </xf>
    <xf numFmtId="0" fontId="1" fillId="20" borderId="67" xfId="121" applyFill="1" applyBorder="1" applyAlignment="1">
      <alignment/>
      <protection/>
    </xf>
    <xf numFmtId="0" fontId="1" fillId="20" borderId="68" xfId="121" applyFill="1" applyBorder="1" applyAlignment="1">
      <alignment/>
      <protection/>
    </xf>
    <xf numFmtId="0" fontId="2" fillId="4" borderId="56" xfId="121" applyFont="1" applyFill="1" applyBorder="1" applyAlignment="1">
      <alignment horizontal="centerContinuous" vertical="center" wrapText="1"/>
      <protection/>
    </xf>
    <xf numFmtId="0" fontId="2" fillId="4" borderId="8" xfId="121" applyFont="1" applyFill="1" applyBorder="1" applyAlignment="1">
      <alignment horizontal="centerContinuous" vertical="center" wrapText="1"/>
      <protection/>
    </xf>
    <xf numFmtId="0" fontId="2" fillId="4" borderId="69" xfId="121" applyFont="1" applyFill="1" applyBorder="1" applyAlignment="1">
      <alignment horizontal="centerContinuous" vertical="center" wrapText="1"/>
      <protection/>
    </xf>
    <xf numFmtId="0" fontId="2" fillId="20" borderId="67" xfId="121" applyFont="1" applyFill="1" applyBorder="1" applyAlignment="1">
      <alignment/>
      <protection/>
    </xf>
    <xf numFmtId="0" fontId="2" fillId="20" borderId="47" xfId="121" applyFont="1" applyFill="1" applyBorder="1" applyAlignment="1">
      <alignment/>
      <protection/>
    </xf>
    <xf numFmtId="0" fontId="1" fillId="20" borderId="70" xfId="121" applyFill="1" applyBorder="1" applyAlignment="1">
      <alignment/>
      <protection/>
    </xf>
    <xf numFmtId="0" fontId="2" fillId="4" borderId="45" xfId="121" applyFont="1" applyFill="1" applyBorder="1" applyAlignment="1">
      <alignment horizontal="centerContinuous" vertical="center" wrapText="1"/>
      <protection/>
    </xf>
    <xf numFmtId="0" fontId="2" fillId="4" borderId="46" xfId="121" applyFont="1" applyFill="1" applyBorder="1" applyAlignment="1">
      <alignment horizontal="centerContinuous" vertical="center" wrapText="1"/>
      <protection/>
    </xf>
    <xf numFmtId="0" fontId="2" fillId="4" borderId="2" xfId="121" applyFont="1" applyFill="1" applyBorder="1" applyAlignment="1">
      <alignment horizontal="centerContinuous" vertical="center" wrapText="1"/>
      <protection/>
    </xf>
    <xf numFmtId="0" fontId="2" fillId="4" borderId="40" xfId="121" applyFont="1" applyFill="1" applyBorder="1" applyAlignment="1">
      <alignment horizontal="centerContinuous" vertical="center" wrapText="1"/>
      <protection/>
    </xf>
    <xf numFmtId="0" fontId="2" fillId="4" borderId="39" xfId="121" applyFont="1" applyFill="1" applyBorder="1" applyAlignment="1">
      <alignment horizontal="centerContinuous" vertical="center" wrapText="1"/>
      <protection/>
    </xf>
    <xf numFmtId="0" fontId="2" fillId="4" borderId="71" xfId="121" applyFont="1" applyFill="1" applyBorder="1" applyAlignment="1">
      <alignment horizontal="centerContinuous" vertical="center" wrapText="1"/>
      <protection/>
    </xf>
    <xf numFmtId="0" fontId="1" fillId="20" borderId="55" xfId="121" applyFill="1" applyBorder="1" applyAlignment="1">
      <alignment/>
      <protection/>
    </xf>
    <xf numFmtId="0" fontId="1" fillId="20" borderId="54" xfId="121" applyFill="1" applyBorder="1" applyAlignment="1">
      <alignment/>
      <protection/>
    </xf>
    <xf numFmtId="0" fontId="2" fillId="20" borderId="45" xfId="121" applyFont="1" applyFill="1" applyBorder="1" applyAlignment="1">
      <alignment horizontal="center"/>
      <protection/>
    </xf>
    <xf numFmtId="0" fontId="2" fillId="20" borderId="40" xfId="121" applyFont="1" applyFill="1" applyBorder="1" applyAlignment="1">
      <alignment horizontal="center"/>
      <protection/>
    </xf>
    <xf numFmtId="0" fontId="2" fillId="20" borderId="40" xfId="121" applyFont="1" applyFill="1" applyBorder="1">
      <alignment/>
      <protection/>
    </xf>
    <xf numFmtId="0" fontId="2" fillId="20" borderId="72" xfId="121" applyFont="1" applyFill="1" applyBorder="1">
      <alignment/>
      <protection/>
    </xf>
    <xf numFmtId="168" fontId="2" fillId="4" borderId="20" xfId="66" applyNumberFormat="1" applyFont="1" applyFill="1" applyBorder="1" applyAlignment="1">
      <alignment/>
    </xf>
    <xf numFmtId="168" fontId="2" fillId="4" borderId="21" xfId="66" applyNumberFormat="1" applyFont="1" applyFill="1" applyBorder="1" applyAlignment="1">
      <alignment/>
    </xf>
    <xf numFmtId="166" fontId="2" fillId="4" borderId="20" xfId="90" applyNumberFormat="1" applyFont="1" applyFill="1" applyBorder="1" applyAlignment="1">
      <alignment/>
    </xf>
    <xf numFmtId="166" fontId="2" fillId="4" borderId="21" xfId="90" applyNumberFormat="1" applyFont="1" applyFill="1" applyBorder="1" applyAlignment="1">
      <alignment/>
    </xf>
    <xf numFmtId="169" fontId="2" fillId="0" borderId="20" xfId="90" applyNumberFormat="1" applyFont="1" applyBorder="1" applyAlignment="1">
      <alignment/>
    </xf>
    <xf numFmtId="170" fontId="2" fillId="0" borderId="20" xfId="90" applyNumberFormat="1" applyFont="1" applyBorder="1" applyAlignment="1">
      <alignment/>
    </xf>
    <xf numFmtId="170" fontId="2" fillId="0" borderId="21" xfId="90" applyNumberFormat="1" applyFont="1" applyBorder="1" applyAlignment="1">
      <alignment/>
    </xf>
    <xf numFmtId="0" fontId="5" fillId="4" borderId="20" xfId="121" applyFont="1" applyFill="1" applyBorder="1">
      <alignment/>
      <protection/>
    </xf>
    <xf numFmtId="1" fontId="5" fillId="4" borderId="20" xfId="121" applyNumberFormat="1" applyFont="1" applyFill="1" applyBorder="1">
      <alignment/>
      <protection/>
    </xf>
    <xf numFmtId="1" fontId="5" fillId="4" borderId="21" xfId="121" applyNumberFormat="1" applyFont="1" applyFill="1" applyBorder="1">
      <alignment/>
      <protection/>
    </xf>
    <xf numFmtId="167" fontId="2" fillId="0" borderId="20" xfId="66" applyNumberFormat="1" applyFont="1" applyBorder="1" applyAlignment="1">
      <alignment/>
    </xf>
    <xf numFmtId="167" fontId="2" fillId="0" borderId="21" xfId="66" applyNumberFormat="1" applyFont="1" applyBorder="1" applyAlignment="1">
      <alignment/>
    </xf>
    <xf numFmtId="171" fontId="2" fillId="0" borderId="33" xfId="90" applyNumberFormat="1" applyFont="1" applyBorder="1" applyAlignment="1">
      <alignment/>
    </xf>
    <xf numFmtId="171" fontId="2" fillId="0" borderId="34" xfId="90" applyNumberFormat="1" applyFont="1" applyBorder="1" applyAlignment="1">
      <alignment/>
    </xf>
    <xf numFmtId="0" fontId="2" fillId="20" borderId="0" xfId="121" applyFont="1" applyFill="1" applyBorder="1">
      <alignment/>
      <protection/>
    </xf>
    <xf numFmtId="0" fontId="2" fillId="20" borderId="0" xfId="121" applyFont="1" applyFill="1" applyAlignment="1" quotePrefix="1">
      <alignment horizontal="center"/>
      <protection/>
    </xf>
    <xf numFmtId="0" fontId="1" fillId="20" borderId="0" xfId="121" applyFill="1" applyAlignment="1">
      <alignment horizontal="left" vertical="top" wrapText="1"/>
      <protection/>
    </xf>
    <xf numFmtId="0" fontId="1" fillId="20" borderId="0" xfId="121" applyFill="1" applyAlignment="1">
      <alignment horizontal="center"/>
      <protection/>
    </xf>
    <xf numFmtId="0" fontId="2" fillId="20" borderId="1" xfId="121" applyFont="1" applyFill="1" applyBorder="1" applyAlignment="1">
      <alignment horizontal="center" wrapText="1"/>
      <protection/>
    </xf>
    <xf numFmtId="0" fontId="2" fillId="20" borderId="45" xfId="121" applyFont="1" applyFill="1" applyBorder="1" applyAlignment="1">
      <alignment horizontal="center" wrapText="1"/>
      <protection/>
    </xf>
    <xf numFmtId="0" fontId="2" fillId="20" borderId="71" xfId="121" applyFont="1" applyFill="1" applyBorder="1" applyAlignment="1">
      <alignment horizontal="center" wrapText="1"/>
      <protection/>
    </xf>
    <xf numFmtId="166" fontId="1" fillId="4" borderId="31" xfId="88" applyNumberFormat="1" applyFill="1" applyBorder="1" applyAlignment="1">
      <alignment/>
    </xf>
    <xf numFmtId="166" fontId="1" fillId="0" borderId="39" xfId="88" applyNumberFormat="1" applyFill="1" applyBorder="1" applyAlignment="1">
      <alignment/>
    </xf>
    <xf numFmtId="10" fontId="1" fillId="0" borderId="21" xfId="145" applyNumberFormat="1" applyFill="1" applyBorder="1" applyAlignment="1">
      <alignment/>
    </xf>
    <xf numFmtId="10" fontId="1" fillId="0" borderId="71" xfId="145" applyNumberFormat="1" applyFill="1" applyBorder="1" applyAlignment="1">
      <alignment/>
    </xf>
    <xf numFmtId="166" fontId="1" fillId="0" borderId="46" xfId="88" applyNumberFormat="1" applyFill="1" applyBorder="1" applyAlignment="1">
      <alignment/>
    </xf>
    <xf numFmtId="10" fontId="1" fillId="0" borderId="72" xfId="145" applyNumberFormat="1" applyFill="1" applyBorder="1" applyAlignment="1">
      <alignment/>
    </xf>
    <xf numFmtId="166" fontId="1" fillId="0" borderId="48" xfId="88" applyNumberFormat="1" applyFill="1" applyBorder="1" applyAlignment="1">
      <alignment/>
    </xf>
    <xf numFmtId="10" fontId="1" fillId="0" borderId="73" xfId="145" applyNumberFormat="1" applyFill="1" applyBorder="1" applyAlignment="1">
      <alignment/>
    </xf>
    <xf numFmtId="10" fontId="1" fillId="0" borderId="70" xfId="145" applyNumberFormat="1" applyFill="1" applyBorder="1" applyAlignment="1">
      <alignment/>
    </xf>
    <xf numFmtId="166" fontId="1" fillId="0" borderId="50" xfId="88" applyNumberFormat="1" applyFill="1" applyBorder="1" applyAlignment="1">
      <alignment/>
    </xf>
    <xf numFmtId="10" fontId="1" fillId="0" borderId="74" xfId="145" applyNumberFormat="1" applyFill="1" applyBorder="1" applyAlignment="1">
      <alignment/>
    </xf>
    <xf numFmtId="10" fontId="1" fillId="0" borderId="75" xfId="145" applyNumberFormat="1" applyFill="1" applyBorder="1" applyAlignment="1">
      <alignment/>
    </xf>
    <xf numFmtId="166" fontId="2" fillId="0" borderId="53" xfId="121" applyNumberFormat="1" applyFont="1" applyBorder="1" applyAlignment="1">
      <alignment horizontal="left"/>
      <protection/>
    </xf>
    <xf numFmtId="166" fontId="2" fillId="0" borderId="25" xfId="88" applyNumberFormat="1" applyFont="1" applyBorder="1" applyAlignment="1">
      <alignment/>
    </xf>
    <xf numFmtId="166" fontId="2" fillId="0" borderId="6" xfId="88" applyNumberFormat="1" applyFont="1" applyBorder="1" applyAlignment="1">
      <alignment/>
    </xf>
    <xf numFmtId="166" fontId="2" fillId="0" borderId="27" xfId="88" applyNumberFormat="1" applyFont="1" applyBorder="1" applyAlignment="1">
      <alignment/>
    </xf>
    <xf numFmtId="166" fontId="2" fillId="0" borderId="53" xfId="88" applyNumberFormat="1" applyFont="1" applyFill="1" applyBorder="1" applyAlignment="1">
      <alignment/>
    </xf>
    <xf numFmtId="10" fontId="2" fillId="0" borderId="27" xfId="145" applyNumberFormat="1" applyFont="1" applyFill="1" applyBorder="1" applyAlignment="1">
      <alignment/>
    </xf>
    <xf numFmtId="10" fontId="2" fillId="0" borderId="54" xfId="145" applyNumberFormat="1" applyFont="1" applyFill="1" applyBorder="1" applyAlignment="1">
      <alignment/>
    </xf>
    <xf numFmtId="10" fontId="2" fillId="0" borderId="25" xfId="145" applyNumberFormat="1" applyFont="1" applyFill="1" applyBorder="1" applyAlignment="1">
      <alignment/>
    </xf>
    <xf numFmtId="10" fontId="1" fillId="0" borderId="76" xfId="145" applyNumberFormat="1" applyFill="1" applyBorder="1" applyAlignment="1">
      <alignment/>
    </xf>
    <xf numFmtId="10" fontId="1" fillId="0" borderId="63" xfId="145" applyNumberFormat="1" applyFill="1" applyBorder="1" applyAlignment="1">
      <alignment/>
    </xf>
    <xf numFmtId="166" fontId="2" fillId="0" borderId="53" xfId="121" applyNumberFormat="1" applyFont="1" applyBorder="1">
      <alignment/>
      <protection/>
    </xf>
    <xf numFmtId="0" fontId="1" fillId="0" borderId="51" xfId="121" applyBorder="1" applyAlignment="1">
      <alignment horizontal="right"/>
      <protection/>
    </xf>
    <xf numFmtId="166" fontId="1" fillId="4" borderId="48" xfId="88" applyNumberFormat="1" applyFill="1" applyBorder="1" applyAlignment="1">
      <alignment/>
    </xf>
    <xf numFmtId="166" fontId="1" fillId="4" borderId="77" xfId="88" applyNumberFormat="1" applyFill="1" applyBorder="1" applyAlignment="1">
      <alignment/>
    </xf>
    <xf numFmtId="166" fontId="1" fillId="4" borderId="31" xfId="88" applyNumberFormat="1" applyFill="1" applyBorder="1" applyAlignment="1">
      <alignment/>
    </xf>
    <xf numFmtId="166" fontId="2" fillId="0" borderId="8" xfId="88" applyNumberFormat="1" applyFont="1" applyBorder="1" applyAlignment="1">
      <alignment/>
    </xf>
    <xf numFmtId="10" fontId="2" fillId="0" borderId="58" xfId="145" applyNumberFormat="1" applyFont="1" applyFill="1" applyBorder="1" applyAlignment="1">
      <alignment/>
    </xf>
    <xf numFmtId="0" fontId="26" fillId="0" borderId="0" xfId="121" applyFont="1">
      <alignment/>
      <protection/>
    </xf>
    <xf numFmtId="166" fontId="26" fillId="0" borderId="0" xfId="121" applyNumberFormat="1" applyFont="1">
      <alignment/>
      <protection/>
    </xf>
    <xf numFmtId="166" fontId="61" fillId="0" borderId="0" xfId="121" applyNumberFormat="1" applyFont="1">
      <alignment/>
      <protection/>
    </xf>
    <xf numFmtId="0" fontId="2" fillId="0" borderId="0" xfId="121" applyFont="1" applyAlignment="1">
      <alignment vertical="center"/>
      <protection/>
    </xf>
    <xf numFmtId="0" fontId="34" fillId="0" borderId="0" xfId="121" applyFont="1">
      <alignment/>
      <protection/>
    </xf>
    <xf numFmtId="171" fontId="21" fillId="0" borderId="0" xfId="90" applyNumberFormat="1" applyFont="1" applyAlignment="1">
      <alignment/>
    </xf>
    <xf numFmtId="171" fontId="21" fillId="0" borderId="78" xfId="90" applyNumberFormat="1" applyFont="1" applyBorder="1" applyAlignment="1">
      <alignment/>
    </xf>
    <xf numFmtId="0" fontId="1" fillId="4" borderId="0" xfId="121" applyFill="1" applyAlignment="1">
      <alignment horizontal="center"/>
      <protection/>
    </xf>
    <xf numFmtId="0" fontId="1" fillId="0" borderId="0" xfId="121" applyFont="1" applyBorder="1">
      <alignment/>
      <protection/>
    </xf>
    <xf numFmtId="0" fontId="2" fillId="0" borderId="20" xfId="121" applyFont="1" applyBorder="1" applyAlignment="1">
      <alignment horizontal="centerContinuous" vertical="center"/>
      <protection/>
    </xf>
    <xf numFmtId="0" fontId="2" fillId="0" borderId="20" xfId="121" applyFont="1" applyFill="1" applyBorder="1" applyAlignment="1">
      <alignment horizontal="centerContinuous" vertical="center"/>
      <protection/>
    </xf>
    <xf numFmtId="0" fontId="2" fillId="4" borderId="22" xfId="121" applyFont="1" applyFill="1" applyBorder="1" applyAlignment="1">
      <alignment horizontal="center" vertical="center" wrapText="1"/>
      <protection/>
    </xf>
    <xf numFmtId="0" fontId="2" fillId="22" borderId="2" xfId="121" applyFont="1" applyFill="1" applyBorder="1" applyAlignment="1">
      <alignment/>
      <protection/>
    </xf>
    <xf numFmtId="0" fontId="2" fillId="22" borderId="40" xfId="121" applyFont="1" applyFill="1" applyBorder="1" applyAlignment="1">
      <alignment/>
      <protection/>
    </xf>
    <xf numFmtId="0" fontId="2" fillId="22" borderId="46" xfId="121" applyFont="1" applyFill="1" applyBorder="1" applyAlignment="1">
      <alignment/>
      <protection/>
    </xf>
    <xf numFmtId="0" fontId="1" fillId="0" borderId="20" xfId="121" applyFont="1" applyBorder="1">
      <alignment/>
      <protection/>
    </xf>
    <xf numFmtId="167" fontId="2" fillId="4" borderId="20" xfId="66" applyNumberFormat="1" applyFont="1" applyFill="1" applyBorder="1" applyAlignment="1">
      <alignment/>
    </xf>
    <xf numFmtId="167" fontId="2" fillId="4" borderId="20" xfId="66" applyNumberFormat="1" applyFont="1" applyFill="1" applyBorder="1" applyAlignment="1">
      <alignment horizontal="center" vertical="center"/>
    </xf>
    <xf numFmtId="167" fontId="1" fillId="4" borderId="20" xfId="66" applyNumberFormat="1" applyFont="1" applyFill="1" applyBorder="1" applyAlignment="1">
      <alignment/>
    </xf>
    <xf numFmtId="167" fontId="1" fillId="4" borderId="20" xfId="66" applyNumberFormat="1" applyFont="1" applyFill="1" applyBorder="1" applyAlignment="1">
      <alignment horizontal="center"/>
    </xf>
    <xf numFmtId="0" fontId="2" fillId="0" borderId="20" xfId="121" applyFont="1" applyFill="1" applyBorder="1">
      <alignment/>
      <protection/>
    </xf>
    <xf numFmtId="167" fontId="2" fillId="4" borderId="20" xfId="66" applyNumberFormat="1" applyFont="1" applyFill="1" applyBorder="1" applyAlignment="1">
      <alignment horizontal="center"/>
    </xf>
    <xf numFmtId="167" fontId="2" fillId="4" borderId="20" xfId="66" applyNumberFormat="1" applyFont="1" applyFill="1" applyBorder="1" applyAlignment="1">
      <alignment/>
    </xf>
    <xf numFmtId="167" fontId="2" fillId="22" borderId="40" xfId="66" applyNumberFormat="1" applyFont="1" applyFill="1" applyBorder="1" applyAlignment="1">
      <alignment/>
    </xf>
    <xf numFmtId="167" fontId="2" fillId="22" borderId="46" xfId="66" applyNumberFormat="1" applyFont="1" applyFill="1" applyBorder="1" applyAlignment="1">
      <alignment/>
    </xf>
    <xf numFmtId="167" fontId="1" fillId="4" borderId="20" xfId="66" applyNumberFormat="1" applyFont="1" applyFill="1" applyBorder="1" applyAlignment="1">
      <alignment/>
    </xf>
    <xf numFmtId="43" fontId="1" fillId="4" borderId="20" xfId="66" applyNumberFormat="1" applyFont="1" applyFill="1" applyBorder="1" applyAlignment="1">
      <alignment/>
    </xf>
    <xf numFmtId="166" fontId="2" fillId="4" borderId="20" xfId="92" applyNumberFormat="1" applyFont="1" applyFill="1" applyBorder="1" applyAlignment="1">
      <alignment/>
    </xf>
    <xf numFmtId="166" fontId="1" fillId="4" borderId="20" xfId="92" applyNumberFormat="1" applyFont="1" applyFill="1" applyBorder="1" applyAlignment="1">
      <alignment/>
    </xf>
    <xf numFmtId="0" fontId="2" fillId="0" borderId="20" xfId="121" applyFont="1" applyBorder="1">
      <alignment/>
      <protection/>
    </xf>
    <xf numFmtId="0" fontId="2" fillId="4" borderId="20" xfId="121" applyFont="1" applyFill="1" applyBorder="1">
      <alignment/>
      <protection/>
    </xf>
    <xf numFmtId="171" fontId="2" fillId="4" borderId="20" xfId="90" applyNumberFormat="1" applyFont="1" applyFill="1" applyBorder="1" applyAlignment="1">
      <alignment/>
    </xf>
    <xf numFmtId="0" fontId="2" fillId="30" borderId="2" xfId="121" applyFont="1" applyFill="1" applyBorder="1" applyAlignment="1">
      <alignment/>
      <protection/>
    </xf>
    <xf numFmtId="0" fontId="2" fillId="30" borderId="40" xfId="121" applyFont="1" applyFill="1" applyBorder="1" applyAlignment="1">
      <alignment/>
      <protection/>
    </xf>
    <xf numFmtId="0" fontId="2" fillId="30" borderId="46" xfId="121" applyFont="1" applyFill="1" applyBorder="1" applyAlignment="1">
      <alignment/>
      <protection/>
    </xf>
    <xf numFmtId="0" fontId="1" fillId="0" borderId="20" xfId="121" applyFont="1" applyFill="1" applyBorder="1">
      <alignment/>
      <protection/>
    </xf>
    <xf numFmtId="166" fontId="2" fillId="31" borderId="20" xfId="92" applyNumberFormat="1" applyFont="1" applyFill="1" applyBorder="1" applyAlignment="1">
      <alignment/>
    </xf>
    <xf numFmtId="166" fontId="1" fillId="31" borderId="20" xfId="92" applyNumberFormat="1" applyFont="1" applyFill="1" applyBorder="1" applyAlignment="1">
      <alignment/>
    </xf>
    <xf numFmtId="165" fontId="2" fillId="4" borderId="20" xfId="92" applyFont="1" applyFill="1" applyBorder="1" applyAlignment="1">
      <alignment/>
    </xf>
    <xf numFmtId="165" fontId="1" fillId="4" borderId="20" xfId="92" applyFont="1" applyFill="1" applyBorder="1" applyAlignment="1">
      <alignment horizontal="center"/>
    </xf>
    <xf numFmtId="166" fontId="1" fillId="4" borderId="20" xfId="92" applyNumberFormat="1" applyFont="1" applyFill="1" applyBorder="1" applyAlignment="1">
      <alignment horizontal="center"/>
    </xf>
    <xf numFmtId="165" fontId="1" fillId="4" borderId="20" xfId="92" applyFont="1" applyFill="1" applyBorder="1" applyAlignment="1">
      <alignment/>
    </xf>
    <xf numFmtId="0" fontId="1" fillId="22" borderId="2" xfId="121" applyFont="1" applyFill="1" applyBorder="1" applyAlignment="1">
      <alignment/>
      <protection/>
    </xf>
    <xf numFmtId="0" fontId="1" fillId="22" borderId="40" xfId="121" applyFont="1" applyFill="1" applyBorder="1" applyAlignment="1">
      <alignment/>
      <protection/>
    </xf>
    <xf numFmtId="0" fontId="1" fillId="22" borderId="46" xfId="121" applyFont="1" applyFill="1" applyBorder="1" applyAlignment="1">
      <alignment/>
      <protection/>
    </xf>
    <xf numFmtId="166" fontId="2" fillId="0" borderId="20" xfId="92" applyNumberFormat="1" applyFont="1" applyBorder="1" applyAlignment="1">
      <alignment/>
    </xf>
    <xf numFmtId="9" fontId="2" fillId="0" borderId="20" xfId="145" applyFont="1" applyBorder="1" applyAlignment="1">
      <alignment/>
    </xf>
    <xf numFmtId="0" fontId="2" fillId="0" borderId="0" xfId="121" applyFont="1" applyFill="1" applyBorder="1">
      <alignment/>
      <protection/>
    </xf>
    <xf numFmtId="0" fontId="2" fillId="0" borderId="0" xfId="121" applyFont="1" applyBorder="1">
      <alignment/>
      <protection/>
    </xf>
    <xf numFmtId="9" fontId="1" fillId="0" borderId="0" xfId="145" applyBorder="1" applyAlignment="1">
      <alignment/>
    </xf>
    <xf numFmtId="167" fontId="1" fillId="0" borderId="0" xfId="66" applyNumberFormat="1" applyAlignment="1">
      <alignment/>
    </xf>
    <xf numFmtId="15" fontId="1" fillId="0" borderId="0" xfId="121" applyNumberFormat="1">
      <alignment/>
      <protection/>
    </xf>
    <xf numFmtId="0" fontId="1" fillId="0" borderId="0" xfId="121" applyProtection="1">
      <alignment/>
      <protection/>
    </xf>
    <xf numFmtId="0" fontId="1" fillId="0" borderId="0" xfId="121" applyBorder="1" applyProtection="1">
      <alignment/>
      <protection/>
    </xf>
    <xf numFmtId="0" fontId="2" fillId="0" borderId="1" xfId="121" applyFont="1" applyBorder="1" applyAlignment="1" applyProtection="1">
      <alignment horizontal="center" vertical="center"/>
      <protection/>
    </xf>
    <xf numFmtId="0" fontId="2" fillId="0" borderId="0" xfId="121" applyFont="1" applyBorder="1" applyAlignment="1" applyProtection="1">
      <alignment vertical="center"/>
      <protection/>
    </xf>
    <xf numFmtId="0" fontId="2" fillId="0" borderId="0" xfId="121" applyFont="1" applyBorder="1" applyAlignment="1" applyProtection="1">
      <alignment horizontal="center" vertical="center"/>
      <protection/>
    </xf>
    <xf numFmtId="0" fontId="2" fillId="0" borderId="0" xfId="121" applyFont="1" applyProtection="1">
      <alignment/>
      <protection/>
    </xf>
    <xf numFmtId="0" fontId="1" fillId="0" borderId="0" xfId="121" applyBorder="1" applyAlignment="1" applyProtection="1">
      <alignment horizontal="center"/>
      <protection/>
    </xf>
    <xf numFmtId="0" fontId="2" fillId="0" borderId="79" xfId="121" applyFont="1" applyBorder="1" applyProtection="1">
      <alignment/>
      <protection/>
    </xf>
    <xf numFmtId="0" fontId="1" fillId="0" borderId="80" xfId="121" applyBorder="1" applyProtection="1">
      <alignment/>
      <protection/>
    </xf>
    <xf numFmtId="0" fontId="1" fillId="0" borderId="80" xfId="121" applyBorder="1" applyAlignment="1" applyProtection="1">
      <alignment horizontal="center"/>
      <protection/>
    </xf>
    <xf numFmtId="0" fontId="1" fillId="0" borderId="81" xfId="121" applyBorder="1">
      <alignment/>
      <protection/>
    </xf>
    <xf numFmtId="0" fontId="2" fillId="0" borderId="7" xfId="121" applyFont="1" applyBorder="1" applyProtection="1">
      <alignment/>
      <protection/>
    </xf>
    <xf numFmtId="49" fontId="1" fillId="0" borderId="0" xfId="121" applyNumberFormat="1" applyBorder="1" applyProtection="1">
      <alignment/>
      <protection/>
    </xf>
    <xf numFmtId="0" fontId="1" fillId="0" borderId="0" xfId="121" applyBorder="1" applyAlignment="1" applyProtection="1" quotePrefix="1">
      <alignment horizontal="center"/>
      <protection/>
    </xf>
    <xf numFmtId="0" fontId="1" fillId="0" borderId="0" xfId="121" applyBorder="1" applyAlignment="1" applyProtection="1" quotePrefix="1">
      <alignment horizontal="right"/>
      <protection/>
    </xf>
    <xf numFmtId="0" fontId="54" fillId="0" borderId="1" xfId="121" applyFont="1" applyBorder="1" applyProtection="1">
      <alignment/>
      <protection/>
    </xf>
    <xf numFmtId="0" fontId="1" fillId="0" borderId="0" xfId="121" applyBorder="1" applyProtection="1" quotePrefix="1">
      <alignment/>
      <protection/>
    </xf>
    <xf numFmtId="217" fontId="1" fillId="4" borderId="0" xfId="145" applyNumberFormat="1" applyFont="1" applyFill="1" applyBorder="1" applyAlignment="1" applyProtection="1">
      <alignment/>
      <protection/>
    </xf>
    <xf numFmtId="10" fontId="1" fillId="0" borderId="0" xfId="145" applyNumberFormat="1" applyFont="1" applyFill="1" applyBorder="1" applyAlignment="1" applyProtection="1">
      <alignment/>
      <protection/>
    </xf>
    <xf numFmtId="218" fontId="1" fillId="4" borderId="0" xfId="121" applyNumberFormat="1" applyFill="1" applyBorder="1" applyProtection="1">
      <alignment/>
      <protection locked="0"/>
    </xf>
    <xf numFmtId="218" fontId="1" fillId="0" borderId="0" xfId="121" applyNumberFormat="1" applyFill="1" applyBorder="1" applyProtection="1">
      <alignment/>
      <protection locked="0"/>
    </xf>
    <xf numFmtId="219" fontId="1" fillId="0" borderId="0" xfId="93" applyNumberFormat="1" applyFont="1" applyBorder="1" applyAlignment="1" applyProtection="1">
      <alignment/>
      <protection/>
    </xf>
    <xf numFmtId="10" fontId="1" fillId="4" borderId="0" xfId="145" applyNumberFormat="1" applyFont="1" applyFill="1" applyBorder="1" applyAlignment="1" applyProtection="1">
      <alignment/>
      <protection/>
    </xf>
    <xf numFmtId="217" fontId="1" fillId="4" borderId="1" xfId="145" applyNumberFormat="1" applyFont="1" applyFill="1" applyBorder="1" applyAlignment="1" applyProtection="1">
      <alignment/>
      <protection/>
    </xf>
    <xf numFmtId="218" fontId="1" fillId="0" borderId="0" xfId="121" applyNumberFormat="1" applyFill="1" applyBorder="1" applyProtection="1" quotePrefix="1">
      <alignment/>
      <protection locked="0"/>
    </xf>
    <xf numFmtId="219" fontId="1" fillId="0" borderId="1" xfId="93" applyNumberFormat="1" applyFont="1" applyBorder="1" applyAlignment="1" applyProtection="1">
      <alignment/>
      <protection/>
    </xf>
    <xf numFmtId="10" fontId="1" fillId="4" borderId="1" xfId="145" applyNumberFormat="1" applyFont="1" applyFill="1" applyBorder="1" applyAlignment="1" applyProtection="1">
      <alignment/>
      <protection/>
    </xf>
    <xf numFmtId="0" fontId="54" fillId="0" borderId="0" xfId="121" applyFont="1" applyBorder="1" applyProtection="1">
      <alignment/>
      <protection/>
    </xf>
    <xf numFmtId="217" fontId="1" fillId="0" borderId="78" xfId="145" applyNumberFormat="1" applyFont="1" applyBorder="1" applyAlignment="1" applyProtection="1">
      <alignment/>
      <protection/>
    </xf>
    <xf numFmtId="217" fontId="1" fillId="0" borderId="78" xfId="145" applyNumberFormat="1" applyFont="1" applyFill="1" applyBorder="1" applyAlignment="1" applyProtection="1">
      <alignment/>
      <protection/>
    </xf>
    <xf numFmtId="219" fontId="1" fillId="0" borderId="78" xfId="93" applyNumberFormat="1" applyFont="1" applyBorder="1" applyAlignment="1" applyProtection="1">
      <alignment/>
      <protection/>
    </xf>
    <xf numFmtId="10" fontId="1" fillId="0" borderId="78" xfId="145" applyNumberFormat="1" applyFont="1" applyBorder="1" applyAlignment="1" applyProtection="1">
      <alignment/>
      <protection/>
    </xf>
    <xf numFmtId="217" fontId="1" fillId="0" borderId="0" xfId="145" applyNumberFormat="1" applyFont="1" applyBorder="1" applyAlignment="1" applyProtection="1">
      <alignment/>
      <protection/>
    </xf>
    <xf numFmtId="217" fontId="1" fillId="0" borderId="0" xfId="145" applyNumberFormat="1" applyFont="1" applyFill="1" applyBorder="1" applyAlignment="1" applyProtection="1">
      <alignment/>
      <protection/>
    </xf>
    <xf numFmtId="219" fontId="1" fillId="0" borderId="0" xfId="121" applyNumberFormat="1" applyBorder="1" applyProtection="1">
      <alignment/>
      <protection/>
    </xf>
    <xf numFmtId="10" fontId="1" fillId="0" borderId="0" xfId="145" applyNumberFormat="1" applyFont="1" applyBorder="1" applyAlignment="1" applyProtection="1">
      <alignment/>
      <protection/>
    </xf>
    <xf numFmtId="0" fontId="2" fillId="0" borderId="7" xfId="121" applyFont="1" applyBorder="1" applyAlignment="1" applyProtection="1">
      <alignment/>
      <protection/>
    </xf>
    <xf numFmtId="0" fontId="1" fillId="0" borderId="0" xfId="121" applyBorder="1" applyAlignment="1" applyProtection="1">
      <alignment/>
      <protection/>
    </xf>
    <xf numFmtId="0" fontId="1" fillId="0" borderId="0" xfId="121" applyBorder="1" applyAlignment="1" applyProtection="1" quotePrefix="1">
      <alignment/>
      <protection/>
    </xf>
    <xf numFmtId="217" fontId="1" fillId="4" borderId="0" xfId="145" applyNumberFormat="1" applyFont="1" applyFill="1" applyBorder="1" applyAlignment="1" applyProtection="1">
      <alignment/>
      <protection/>
    </xf>
    <xf numFmtId="10" fontId="1" fillId="0" borderId="0" xfId="145" applyNumberFormat="1" applyFont="1" applyFill="1" applyBorder="1" applyAlignment="1" applyProtection="1">
      <alignment/>
      <protection/>
    </xf>
    <xf numFmtId="219" fontId="1" fillId="0" borderId="0" xfId="93" applyNumberFormat="1" applyFont="1" applyBorder="1" applyAlignment="1" applyProtection="1">
      <alignment/>
      <protection/>
    </xf>
    <xf numFmtId="10" fontId="1" fillId="4" borderId="0" xfId="145" applyNumberFormat="1" applyFont="1" applyFill="1" applyBorder="1" applyAlignment="1" applyProtection="1">
      <alignment/>
      <protection/>
    </xf>
    <xf numFmtId="217" fontId="1" fillId="4" borderId="1" xfId="145" applyNumberFormat="1" applyFont="1" applyFill="1" applyBorder="1" applyAlignment="1" applyProtection="1">
      <alignment/>
      <protection/>
    </xf>
    <xf numFmtId="219" fontId="1" fillId="0" borderId="1" xfId="93" applyNumberFormat="1" applyFont="1" applyBorder="1" applyAlignment="1" applyProtection="1">
      <alignment/>
      <protection/>
    </xf>
    <xf numFmtId="10" fontId="1" fillId="4" borderId="1" xfId="145" applyNumberFormat="1" applyFont="1" applyFill="1" applyBorder="1" applyAlignment="1" applyProtection="1">
      <alignment/>
      <protection/>
    </xf>
    <xf numFmtId="217" fontId="1" fillId="0" borderId="82" xfId="121" applyNumberFormat="1" applyBorder="1" applyProtection="1">
      <alignment/>
      <protection/>
    </xf>
    <xf numFmtId="9" fontId="1" fillId="0" borderId="82" xfId="121" applyNumberFormat="1" applyBorder="1" applyProtection="1">
      <alignment/>
      <protection/>
    </xf>
    <xf numFmtId="219" fontId="1" fillId="4" borderId="82" xfId="93" applyNumberFormat="1" applyFont="1" applyFill="1" applyBorder="1" applyAlignment="1" applyProtection="1">
      <alignment/>
      <protection/>
    </xf>
    <xf numFmtId="10" fontId="1" fillId="0" borderId="82" xfId="145" applyNumberFormat="1" applyFont="1" applyBorder="1" applyAlignment="1" applyProtection="1">
      <alignment/>
      <protection/>
    </xf>
    <xf numFmtId="219" fontId="1" fillId="0" borderId="82" xfId="93" applyNumberFormat="1" applyFont="1" applyBorder="1" applyAlignment="1" applyProtection="1">
      <alignment/>
      <protection/>
    </xf>
    <xf numFmtId="0" fontId="2" fillId="0" borderId="83" xfId="121" applyFont="1" applyBorder="1" applyProtection="1">
      <alignment/>
      <protection/>
    </xf>
    <xf numFmtId="0" fontId="1" fillId="0" borderId="1" xfId="121" applyBorder="1" applyProtection="1">
      <alignment/>
      <protection/>
    </xf>
    <xf numFmtId="0" fontId="2" fillId="0" borderId="0" xfId="121" applyFont="1" applyBorder="1" applyProtection="1">
      <alignment/>
      <protection/>
    </xf>
    <xf numFmtId="0" fontId="1" fillId="0" borderId="0" xfId="121" applyBorder="1">
      <alignment/>
      <protection/>
    </xf>
    <xf numFmtId="43" fontId="0" fillId="0" borderId="1" xfId="66" applyFont="1" applyBorder="1" applyAlignment="1" applyProtection="1">
      <alignment/>
      <protection/>
    </xf>
    <xf numFmtId="0" fontId="1" fillId="4" borderId="0" xfId="121" applyFont="1" applyFill="1">
      <alignment/>
      <protection/>
    </xf>
    <xf numFmtId="0" fontId="8" fillId="0" borderId="0" xfId="116" applyFill="1" applyAlignment="1" applyProtection="1">
      <alignment/>
      <protection/>
    </xf>
    <xf numFmtId="0" fontId="9" fillId="0" borderId="0" xfId="121" applyFont="1" applyFill="1" applyProtection="1">
      <alignment/>
      <protection/>
    </xf>
    <xf numFmtId="0" fontId="1" fillId="4" borderId="0" xfId="121" applyFont="1" applyFill="1" applyAlignment="1">
      <alignment horizontal="left"/>
      <protection/>
    </xf>
    <xf numFmtId="0" fontId="2" fillId="0" borderId="18" xfId="121" applyFont="1" applyFill="1" applyBorder="1" applyAlignment="1">
      <alignment horizontal="center" vertical="center" wrapText="1"/>
      <protection/>
    </xf>
    <xf numFmtId="0" fontId="1" fillId="0" borderId="19" xfId="121" applyFill="1" applyBorder="1" applyAlignment="1">
      <alignment horizontal="center" vertical="center" wrapText="1"/>
      <protection/>
    </xf>
    <xf numFmtId="166" fontId="0" fillId="4" borderId="20" xfId="90" applyNumberFormat="1" applyFont="1" applyFill="1" applyBorder="1" applyAlignment="1">
      <alignment/>
    </xf>
    <xf numFmtId="10" fontId="0" fillId="0" borderId="20" xfId="145" applyNumberFormat="1" applyFont="1" applyBorder="1" applyAlignment="1">
      <alignment/>
    </xf>
    <xf numFmtId="166" fontId="0" fillId="0" borderId="33" xfId="90" applyNumberFormat="1" applyFont="1" applyBorder="1" applyAlignment="1">
      <alignment/>
    </xf>
    <xf numFmtId="10" fontId="1" fillId="0" borderId="33" xfId="121" applyNumberFormat="1" applyBorder="1">
      <alignment/>
      <protection/>
    </xf>
    <xf numFmtId="10" fontId="1" fillId="0" borderId="34" xfId="121" applyNumberFormat="1" applyBorder="1">
      <alignment/>
      <protection/>
    </xf>
    <xf numFmtId="0" fontId="2" fillId="0" borderId="0" xfId="121" applyFont="1" applyFill="1">
      <alignment/>
      <protection/>
    </xf>
    <xf numFmtId="0" fontId="1" fillId="0" borderId="0" xfId="121" applyFont="1">
      <alignment/>
      <protection/>
    </xf>
    <xf numFmtId="0" fontId="2" fillId="0" borderId="0" xfId="121" applyFont="1" applyAlignment="1">
      <alignment wrapText="1"/>
      <protection/>
    </xf>
    <xf numFmtId="0" fontId="2" fillId="0" borderId="19" xfId="121" applyFont="1" applyFill="1" applyBorder="1" applyAlignment="1">
      <alignment horizontal="center"/>
      <protection/>
    </xf>
    <xf numFmtId="166" fontId="1" fillId="4" borderId="20" xfId="90" applyNumberFormat="1" applyFont="1" applyFill="1" applyBorder="1" applyAlignment="1">
      <alignment/>
    </xf>
    <xf numFmtId="166" fontId="0" fillId="4" borderId="21" xfId="90" applyNumberFormat="1" applyFont="1" applyFill="1" applyBorder="1" applyAlignment="1">
      <alignment/>
    </xf>
    <xf numFmtId="166" fontId="0" fillId="0" borderId="26" xfId="90" applyNumberFormat="1" applyFont="1" applyBorder="1" applyAlignment="1">
      <alignment/>
    </xf>
    <xf numFmtId="166" fontId="1" fillId="0" borderId="26" xfId="90" applyNumberFormat="1" applyFont="1" applyBorder="1" applyAlignment="1">
      <alignment/>
    </xf>
    <xf numFmtId="44" fontId="0" fillId="0" borderId="28" xfId="90" applyFont="1" applyBorder="1" applyAlignment="1">
      <alignment/>
    </xf>
    <xf numFmtId="0" fontId="55" fillId="0" borderId="0" xfId="121" applyFont="1" applyAlignment="1">
      <alignment horizontal="center"/>
      <protection/>
    </xf>
    <xf numFmtId="0" fontId="56" fillId="0" borderId="0" xfId="121" applyFont="1">
      <alignment/>
      <protection/>
    </xf>
    <xf numFmtId="0" fontId="2" fillId="0" borderId="84" xfId="121" applyFont="1" applyBorder="1" applyAlignment="1">
      <alignment horizontal="centerContinuous" vertical="center" wrapText="1"/>
      <protection/>
    </xf>
    <xf numFmtId="0" fontId="2" fillId="0" borderId="42" xfId="121" applyFont="1" applyBorder="1" applyAlignment="1">
      <alignment horizontal="centerContinuous" vertical="center" wrapText="1"/>
      <protection/>
    </xf>
    <xf numFmtId="0" fontId="2" fillId="0" borderId="18" xfId="121" applyFont="1" applyBorder="1" applyAlignment="1">
      <alignment horizontal="center" vertical="center" wrapText="1"/>
      <protection/>
    </xf>
    <xf numFmtId="0" fontId="2" fillId="4" borderId="20" xfId="121" applyFont="1" applyFill="1" applyBorder="1" applyAlignment="1">
      <alignment horizontal="center" vertical="center"/>
      <protection/>
    </xf>
    <xf numFmtId="0" fontId="1" fillId="0" borderId="20" xfId="121" applyFont="1" applyBorder="1" applyAlignment="1">
      <alignment horizontal="center" vertical="center"/>
      <protection/>
    </xf>
    <xf numFmtId="0" fontId="1" fillId="0" borderId="20" xfId="121" applyBorder="1" applyAlignment="1">
      <alignment horizontal="center" vertical="center"/>
      <protection/>
    </xf>
    <xf numFmtId="0" fontId="1" fillId="0" borderId="21" xfId="121" applyBorder="1" applyAlignment="1">
      <alignment horizontal="center" vertical="center"/>
      <protection/>
    </xf>
    <xf numFmtId="221" fontId="1" fillId="4" borderId="31" xfId="66" applyNumberFormat="1" applyFont="1" applyFill="1" applyBorder="1" applyAlignment="1">
      <alignment horizontal="center" vertical="center"/>
    </xf>
    <xf numFmtId="221" fontId="0" fillId="0" borderId="20" xfId="66" applyNumberFormat="1" applyFont="1" applyBorder="1" applyAlignment="1">
      <alignment vertical="center"/>
    </xf>
    <xf numFmtId="0" fontId="1" fillId="0" borderId="21" xfId="121" applyBorder="1" applyAlignment="1">
      <alignment vertical="center"/>
      <protection/>
    </xf>
    <xf numFmtId="221" fontId="1" fillId="4" borderId="33" xfId="66" applyNumberFormat="1" applyFont="1" applyFill="1" applyBorder="1" applyAlignment="1">
      <alignment horizontal="center" vertical="center"/>
    </xf>
    <xf numFmtId="221" fontId="0" fillId="0" borderId="33" xfId="66" applyNumberFormat="1" applyFont="1" applyBorder="1" applyAlignment="1">
      <alignment vertical="center"/>
    </xf>
    <xf numFmtId="0" fontId="1" fillId="0" borderId="34" xfId="121" applyBorder="1" applyAlignment="1">
      <alignment vertical="center"/>
      <protection/>
    </xf>
    <xf numFmtId="0" fontId="2" fillId="0" borderId="20" xfId="121" applyFont="1" applyBorder="1" applyAlignment="1">
      <alignment horizontal="center" vertical="center"/>
      <protection/>
    </xf>
    <xf numFmtId="0" fontId="1" fillId="0" borderId="20" xfId="121" applyBorder="1" applyAlignment="1">
      <alignment horizontal="center"/>
      <protection/>
    </xf>
    <xf numFmtId="0" fontId="1" fillId="0" borderId="21" xfId="121" applyBorder="1" applyAlignment="1">
      <alignment horizontal="center"/>
      <protection/>
    </xf>
    <xf numFmtId="43" fontId="0" fillId="0" borderId="20" xfId="66" applyFont="1" applyBorder="1" applyAlignment="1">
      <alignment/>
    </xf>
    <xf numFmtId="221" fontId="61" fillId="4" borderId="31" xfId="66" applyNumberFormat="1" applyFont="1" applyFill="1" applyBorder="1" applyAlignment="1">
      <alignment horizontal="center" vertical="center"/>
    </xf>
    <xf numFmtId="0" fontId="1" fillId="0" borderId="21" xfId="121" applyBorder="1">
      <alignment/>
      <protection/>
    </xf>
    <xf numFmtId="0" fontId="1" fillId="0" borderId="33" xfId="121" applyFill="1" applyBorder="1">
      <alignment/>
      <protection/>
    </xf>
    <xf numFmtId="0" fontId="1" fillId="0" borderId="34" xfId="121" applyFill="1" applyBorder="1">
      <alignment/>
      <protection/>
    </xf>
    <xf numFmtId="0" fontId="2" fillId="0" borderId="84" xfId="121" applyFont="1" applyFill="1" applyBorder="1" applyAlignment="1">
      <alignment/>
      <protection/>
    </xf>
    <xf numFmtId="0" fontId="2" fillId="0" borderId="85" xfId="121" applyFont="1" applyFill="1" applyBorder="1" applyAlignment="1">
      <alignment/>
      <protection/>
    </xf>
    <xf numFmtId="0" fontId="2" fillId="0" borderId="42" xfId="121" applyFont="1" applyFill="1" applyBorder="1" applyAlignment="1">
      <alignment/>
      <protection/>
    </xf>
    <xf numFmtId="0" fontId="1" fillId="0" borderId="60" xfId="121" applyFill="1" applyBorder="1">
      <alignment/>
      <protection/>
    </xf>
    <xf numFmtId="0" fontId="4" fillId="22" borderId="2" xfId="121" applyFont="1" applyFill="1" applyBorder="1" applyAlignment="1">
      <alignment/>
      <protection/>
    </xf>
    <xf numFmtId="0" fontId="4" fillId="22" borderId="40" xfId="121" applyFont="1" applyFill="1" applyBorder="1" applyAlignment="1">
      <alignment/>
      <protection/>
    </xf>
    <xf numFmtId="0" fontId="4" fillId="22" borderId="72" xfId="121" applyFont="1" applyFill="1" applyBorder="1" applyAlignment="1">
      <alignment/>
      <protection/>
    </xf>
    <xf numFmtId="0" fontId="2" fillId="0" borderId="60" xfId="121" applyFont="1" applyBorder="1" applyAlignment="1">
      <alignment vertical="top"/>
      <protection/>
    </xf>
    <xf numFmtId="0" fontId="1" fillId="0" borderId="21" xfId="121" applyBorder="1" applyAlignment="1">
      <alignment vertical="top"/>
      <protection/>
    </xf>
    <xf numFmtId="168" fontId="0" fillId="4" borderId="20" xfId="67" applyNumberFormat="1" applyFont="1" applyFill="1" applyBorder="1" applyAlignment="1">
      <alignment vertical="top"/>
    </xf>
    <xf numFmtId="168" fontId="0" fillId="0" borderId="21" xfId="67" applyNumberFormat="1" applyFont="1" applyBorder="1" applyAlignment="1">
      <alignment vertical="top"/>
    </xf>
    <xf numFmtId="168" fontId="0" fillId="0" borderId="20" xfId="67" applyNumberFormat="1" applyFont="1" applyFill="1" applyBorder="1" applyAlignment="1">
      <alignment vertical="top"/>
    </xf>
    <xf numFmtId="168" fontId="0" fillId="0" borderId="21" xfId="67" applyNumberFormat="1" applyFont="1" applyFill="1" applyBorder="1" applyAlignment="1">
      <alignment vertical="top"/>
    </xf>
    <xf numFmtId="222" fontId="0" fillId="0" borderId="20" xfId="67" applyNumberFormat="1" applyFont="1" applyFill="1" applyBorder="1" applyAlignment="1">
      <alignment vertical="top"/>
    </xf>
    <xf numFmtId="222" fontId="0" fillId="0" borderId="21" xfId="67" applyNumberFormat="1" applyFont="1" applyFill="1" applyBorder="1" applyAlignment="1">
      <alignment vertical="top"/>
    </xf>
    <xf numFmtId="0" fontId="1" fillId="0" borderId="60" xfId="121" applyFill="1" applyBorder="1" applyAlignment="1">
      <alignment vertical="top"/>
      <protection/>
    </xf>
    <xf numFmtId="0" fontId="4" fillId="22" borderId="2" xfId="121" applyFont="1" applyFill="1" applyBorder="1" applyAlignment="1">
      <alignment vertical="top" wrapText="1"/>
      <protection/>
    </xf>
    <xf numFmtId="0" fontId="4" fillId="22" borderId="40" xfId="121" applyFont="1" applyFill="1" applyBorder="1" applyAlignment="1">
      <alignment vertical="top" wrapText="1"/>
      <protection/>
    </xf>
    <xf numFmtId="222" fontId="4" fillId="22" borderId="72" xfId="121" applyNumberFormat="1" applyFont="1" applyFill="1" applyBorder="1" applyAlignment="1">
      <alignment vertical="top" wrapText="1"/>
      <protection/>
    </xf>
    <xf numFmtId="222" fontId="1" fillId="0" borderId="21" xfId="121" applyNumberFormat="1" applyBorder="1" applyAlignment="1">
      <alignment vertical="top"/>
      <protection/>
    </xf>
    <xf numFmtId="0" fontId="1" fillId="0" borderId="65" xfId="121" applyBorder="1" applyAlignment="1">
      <alignment vertical="top"/>
      <protection/>
    </xf>
    <xf numFmtId="222" fontId="0" fillId="0" borderId="33" xfId="67" applyNumberFormat="1" applyFont="1" applyBorder="1" applyAlignment="1">
      <alignment vertical="top"/>
    </xf>
    <xf numFmtId="222" fontId="0" fillId="0" borderId="34" xfId="67" applyNumberFormat="1" applyFont="1" applyBorder="1" applyAlignment="1">
      <alignment vertical="top"/>
    </xf>
    <xf numFmtId="0" fontId="1" fillId="0" borderId="0" xfId="121" applyFont="1" applyAlignment="1">
      <alignment horizontal="center"/>
      <protection/>
    </xf>
    <xf numFmtId="0" fontId="2" fillId="0" borderId="67" xfId="121" applyFont="1" applyFill="1" applyBorder="1" applyAlignment="1">
      <alignment horizontal="center" vertical="center"/>
      <protection/>
    </xf>
    <xf numFmtId="0" fontId="2" fillId="24" borderId="86" xfId="121" applyFont="1" applyFill="1" applyBorder="1">
      <alignment/>
      <protection/>
    </xf>
    <xf numFmtId="0" fontId="2" fillId="0" borderId="55" xfId="121" applyFont="1" applyFill="1" applyBorder="1" applyAlignment="1">
      <alignment horizontal="center" vertical="center"/>
      <protection/>
    </xf>
    <xf numFmtId="0" fontId="2" fillId="0" borderId="87" xfId="121" applyFont="1" applyFill="1" applyBorder="1" applyAlignment="1">
      <alignment horizontal="center" vertical="center" wrapText="1"/>
      <protection/>
    </xf>
    <xf numFmtId="0" fontId="2" fillId="0" borderId="87" xfId="121" applyFont="1" applyFill="1" applyBorder="1" applyAlignment="1">
      <alignment horizontal="center" vertical="center"/>
      <protection/>
    </xf>
    <xf numFmtId="0" fontId="2" fillId="0" borderId="54" xfId="121" applyFont="1" applyFill="1" applyBorder="1" applyAlignment="1">
      <alignment horizontal="center" vertical="center"/>
      <protection/>
    </xf>
    <xf numFmtId="0" fontId="2" fillId="24" borderId="88" xfId="121" applyFont="1" applyFill="1" applyBorder="1">
      <alignment/>
      <protection/>
    </xf>
    <xf numFmtId="0" fontId="1" fillId="0" borderId="88" xfId="121" applyBorder="1">
      <alignment/>
      <protection/>
    </xf>
    <xf numFmtId="0" fontId="1" fillId="0" borderId="70" xfId="121" applyBorder="1">
      <alignment/>
      <protection/>
    </xf>
    <xf numFmtId="0" fontId="1" fillId="0" borderId="86" xfId="121" applyBorder="1" applyAlignment="1">
      <alignment horizontal="center"/>
      <protection/>
    </xf>
    <xf numFmtId="0" fontId="1" fillId="0" borderId="86" xfId="121" applyBorder="1">
      <alignment/>
      <protection/>
    </xf>
    <xf numFmtId="0" fontId="1" fillId="24" borderId="88" xfId="121" applyFill="1" applyBorder="1">
      <alignment/>
      <protection/>
    </xf>
    <xf numFmtId="0" fontId="1" fillId="4" borderId="88" xfId="121" applyFill="1" applyBorder="1">
      <alignment/>
      <protection/>
    </xf>
    <xf numFmtId="0" fontId="1" fillId="29" borderId="88" xfId="121" applyFill="1" applyBorder="1">
      <alignment/>
      <protection/>
    </xf>
    <xf numFmtId="168" fontId="1" fillId="4" borderId="88" xfId="67" applyNumberFormat="1" applyFill="1" applyBorder="1" applyAlignment="1">
      <alignment/>
    </xf>
    <xf numFmtId="168" fontId="1" fillId="0" borderId="88" xfId="67" applyNumberFormat="1" applyBorder="1" applyAlignment="1">
      <alignment/>
    </xf>
    <xf numFmtId="168" fontId="1" fillId="4" borderId="70" xfId="67" applyNumberFormat="1" applyFill="1" applyBorder="1" applyAlignment="1">
      <alignment/>
    </xf>
    <xf numFmtId="165" fontId="1" fillId="4" borderId="88" xfId="88" applyFill="1" applyBorder="1" applyAlignment="1">
      <alignment/>
    </xf>
    <xf numFmtId="223" fontId="1" fillId="4" borderId="88" xfId="88" applyNumberFormat="1" applyFill="1" applyBorder="1" applyAlignment="1">
      <alignment/>
    </xf>
    <xf numFmtId="166" fontId="1" fillId="0" borderId="88" xfId="88" applyNumberFormat="1" applyBorder="1" applyAlignment="1">
      <alignment/>
    </xf>
    <xf numFmtId="166" fontId="1" fillId="4" borderId="88" xfId="88" applyNumberFormat="1" applyFill="1" applyBorder="1" applyAlignment="1">
      <alignment/>
    </xf>
    <xf numFmtId="166" fontId="1" fillId="0" borderId="70" xfId="88" applyNumberFormat="1" applyBorder="1" applyAlignment="1">
      <alignment/>
    </xf>
    <xf numFmtId="166" fontId="1" fillId="0" borderId="89" xfId="88" applyNumberFormat="1" applyBorder="1" applyAlignment="1">
      <alignment/>
    </xf>
    <xf numFmtId="166" fontId="1" fillId="0" borderId="88" xfId="121" applyNumberFormat="1" applyBorder="1">
      <alignment/>
      <protection/>
    </xf>
    <xf numFmtId="0" fontId="1" fillId="0" borderId="90" xfId="121" applyBorder="1">
      <alignment/>
      <protection/>
    </xf>
    <xf numFmtId="0" fontId="2" fillId="0" borderId="87" xfId="121" applyFont="1" applyBorder="1">
      <alignment/>
      <protection/>
    </xf>
    <xf numFmtId="0" fontId="1" fillId="0" borderId="87" xfId="121" applyBorder="1">
      <alignment/>
      <protection/>
    </xf>
    <xf numFmtId="0" fontId="1" fillId="0" borderId="54" xfId="121" applyBorder="1">
      <alignment/>
      <protection/>
    </xf>
    <xf numFmtId="166" fontId="1" fillId="0" borderId="87" xfId="121" applyNumberFormat="1" applyBorder="1">
      <alignment/>
      <protection/>
    </xf>
    <xf numFmtId="0" fontId="1" fillId="24" borderId="87" xfId="121" applyFill="1" applyBorder="1">
      <alignment/>
      <protection/>
    </xf>
    <xf numFmtId="166" fontId="1" fillId="0" borderId="54" xfId="121" applyNumberFormat="1" applyBorder="1">
      <alignment/>
      <protection/>
    </xf>
    <xf numFmtId="0" fontId="1" fillId="20" borderId="0" xfId="121" applyFill="1" applyBorder="1" applyProtection="1">
      <alignment/>
      <protection/>
    </xf>
    <xf numFmtId="0" fontId="58" fillId="20" borderId="0" xfId="121" applyFont="1" applyFill="1" applyAlignment="1" applyProtection="1">
      <alignment vertical="top" wrapText="1"/>
      <protection/>
    </xf>
    <xf numFmtId="0" fontId="1" fillId="0" borderId="0" xfId="121" applyFont="1" applyFill="1" applyProtection="1">
      <alignment/>
      <protection/>
    </xf>
    <xf numFmtId="0" fontId="59" fillId="20" borderId="0" xfId="121" applyFont="1" applyFill="1" applyAlignment="1" applyProtection="1">
      <alignment vertical="top" wrapText="1"/>
      <protection/>
    </xf>
    <xf numFmtId="0" fontId="1" fillId="20" borderId="0" xfId="121" applyFill="1" applyBorder="1" applyAlignment="1" applyProtection="1">
      <alignment vertical="center"/>
      <protection/>
    </xf>
    <xf numFmtId="0" fontId="60" fillId="20" borderId="0" xfId="121" applyFont="1" applyFill="1" applyBorder="1" applyAlignment="1" applyProtection="1">
      <alignment/>
      <protection/>
    </xf>
    <xf numFmtId="0" fontId="3" fillId="0" borderId="0" xfId="121" applyFont="1" applyFill="1" applyProtection="1">
      <alignment/>
      <protection/>
    </xf>
    <xf numFmtId="0" fontId="1" fillId="20" borderId="0" xfId="121" applyFont="1" applyFill="1" applyBorder="1" applyAlignment="1" applyProtection="1">
      <alignment horizontal="left" indent="1"/>
      <protection/>
    </xf>
    <xf numFmtId="0" fontId="1" fillId="20" borderId="0" xfId="121" applyFont="1" applyFill="1" applyBorder="1" applyProtection="1">
      <alignment/>
      <protection/>
    </xf>
    <xf numFmtId="0" fontId="11" fillId="20" borderId="0" xfId="121" applyFont="1" applyFill="1" applyBorder="1" applyAlignment="1" applyProtection="1">
      <alignment/>
      <protection/>
    </xf>
    <xf numFmtId="15" fontId="1" fillId="0" borderId="0" xfId="121" applyNumberFormat="1" applyFont="1">
      <alignment/>
      <protection/>
    </xf>
    <xf numFmtId="0" fontId="1" fillId="0" borderId="0" xfId="121" applyAlignment="1" applyProtection="1">
      <alignment vertical="center"/>
      <protection/>
    </xf>
    <xf numFmtId="0" fontId="1" fillId="0" borderId="0" xfId="121" applyFont="1" applyProtection="1">
      <alignment/>
      <protection/>
    </xf>
    <xf numFmtId="0" fontId="26" fillId="0" borderId="0" xfId="121" applyFont="1" applyFill="1" applyProtection="1">
      <alignment/>
      <protection/>
    </xf>
    <xf numFmtId="0" fontId="2" fillId="0" borderId="0" xfId="121" applyFont="1" applyAlignment="1" applyProtection="1">
      <alignment horizontal="right"/>
      <protection/>
    </xf>
    <xf numFmtId="0" fontId="1" fillId="0" borderId="0" xfId="121" applyFont="1" applyAlignment="1" applyProtection="1">
      <alignment horizontal="right"/>
      <protection/>
    </xf>
    <xf numFmtId="0" fontId="11" fillId="0" borderId="0" xfId="121" applyFont="1" applyAlignment="1" applyProtection="1">
      <alignment horizontal="center"/>
      <protection/>
    </xf>
    <xf numFmtId="0" fontId="2" fillId="4" borderId="20" xfId="121" applyFont="1" applyFill="1" applyBorder="1" applyProtection="1">
      <alignment/>
      <protection locked="0"/>
    </xf>
    <xf numFmtId="0" fontId="26" fillId="0" borderId="0" xfId="121" applyFont="1" applyProtection="1">
      <alignment/>
      <protection/>
    </xf>
    <xf numFmtId="0" fontId="2" fillId="0" borderId="0" xfId="121" applyFont="1" applyAlignment="1" applyProtection="1">
      <alignment/>
      <protection/>
    </xf>
    <xf numFmtId="0" fontId="2" fillId="0" borderId="0" xfId="121" applyFont="1" applyAlignment="1" applyProtection="1">
      <alignment horizontal="center"/>
      <protection/>
    </xf>
    <xf numFmtId="0" fontId="2" fillId="0" borderId="22" xfId="121" applyFont="1" applyBorder="1" applyAlignment="1" applyProtection="1">
      <alignment horizontal="center"/>
      <protection/>
    </xf>
    <xf numFmtId="0" fontId="2" fillId="0" borderId="48" xfId="121" applyFont="1" applyBorder="1" applyAlignment="1" applyProtection="1">
      <alignment horizontal="center"/>
      <protection/>
    </xf>
    <xf numFmtId="0" fontId="2" fillId="0" borderId="81" xfId="121" applyFont="1" applyBorder="1" applyAlignment="1" applyProtection="1">
      <alignment horizontal="center"/>
      <protection/>
    </xf>
    <xf numFmtId="0" fontId="2" fillId="0" borderId="31" xfId="121" applyFont="1" applyBorder="1" applyAlignment="1" applyProtection="1" quotePrefix="1">
      <alignment horizontal="center"/>
      <protection/>
    </xf>
    <xf numFmtId="0" fontId="2" fillId="0" borderId="39" xfId="121" applyFont="1" applyBorder="1" applyAlignment="1" applyProtection="1" quotePrefix="1">
      <alignment horizontal="center"/>
      <protection/>
    </xf>
    <xf numFmtId="0" fontId="61" fillId="0" borderId="0" xfId="121" applyFont="1" applyAlignment="1" applyProtection="1">
      <alignment vertical="center"/>
      <protection/>
    </xf>
    <xf numFmtId="0" fontId="61" fillId="0" borderId="0" xfId="121" applyFont="1" applyProtection="1">
      <alignment/>
      <protection/>
    </xf>
    <xf numFmtId="0" fontId="1" fillId="0" borderId="0" xfId="121" applyFont="1" applyAlignment="1" applyProtection="1">
      <alignment vertical="top"/>
      <protection/>
    </xf>
    <xf numFmtId="0" fontId="1" fillId="26" borderId="0" xfId="121" applyFont="1" applyFill="1" applyAlignment="1" applyProtection="1">
      <alignment vertical="top"/>
      <protection locked="0"/>
    </xf>
    <xf numFmtId="0" fontId="1" fillId="0" borderId="0" xfId="121" applyFont="1" applyFill="1" applyAlignment="1" applyProtection="1">
      <alignment vertical="top"/>
      <protection/>
    </xf>
    <xf numFmtId="165" fontId="1" fillId="4" borderId="77" xfId="93" applyNumberFormat="1" applyFont="1" applyFill="1" applyBorder="1" applyAlignment="1" applyProtection="1">
      <alignment vertical="top"/>
      <protection locked="0"/>
    </xf>
    <xf numFmtId="167" fontId="1" fillId="0" borderId="77" xfId="66" applyNumberFormat="1" applyFont="1" applyFill="1" applyBorder="1" applyAlignment="1" applyProtection="1">
      <alignment vertical="top"/>
      <protection/>
    </xf>
    <xf numFmtId="165" fontId="1" fillId="0" borderId="48" xfId="93" applyFont="1" applyBorder="1" applyAlignment="1" applyProtection="1">
      <alignment vertical="top"/>
      <protection/>
    </xf>
    <xf numFmtId="167" fontId="1" fillId="0" borderId="48" xfId="66" applyNumberFormat="1" applyFont="1" applyFill="1" applyBorder="1" applyAlignment="1" applyProtection="1">
      <alignment vertical="top"/>
      <protection/>
    </xf>
    <xf numFmtId="165" fontId="1" fillId="0" borderId="77" xfId="121" applyNumberFormat="1" applyFont="1" applyBorder="1" applyAlignment="1" applyProtection="1">
      <alignment vertical="top"/>
      <protection/>
    </xf>
    <xf numFmtId="10" fontId="1" fillId="0" borderId="48" xfId="145" applyNumberFormat="1" applyFont="1" applyBorder="1" applyAlignment="1" applyProtection="1">
      <alignment vertical="top"/>
      <protection/>
    </xf>
    <xf numFmtId="0" fontId="62" fillId="0" borderId="7" xfId="121" applyFont="1" applyFill="1" applyBorder="1" applyAlignment="1" applyProtection="1">
      <alignment/>
      <protection/>
    </xf>
    <xf numFmtId="223" fontId="1" fillId="4" borderId="77" xfId="93" applyNumberFormat="1" applyFont="1" applyFill="1" applyBorder="1" applyAlignment="1" applyProtection="1">
      <alignment vertical="top"/>
      <protection locked="0"/>
    </xf>
    <xf numFmtId="0" fontId="61" fillId="0" borderId="0" xfId="121" applyFont="1" applyFill="1" applyAlignment="1" applyProtection="1">
      <alignment vertical="center"/>
      <protection/>
    </xf>
    <xf numFmtId="0" fontId="1" fillId="0" borderId="0" xfId="121" applyFont="1" applyAlignment="1" applyProtection="1">
      <alignment vertical="top" wrapText="1"/>
      <protection/>
    </xf>
    <xf numFmtId="0" fontId="1" fillId="4" borderId="0" xfId="121" applyFont="1" applyFill="1" applyAlignment="1" applyProtection="1">
      <alignment vertical="top"/>
      <protection locked="0"/>
    </xf>
    <xf numFmtId="0" fontId="1" fillId="4" borderId="77" xfId="121" applyFont="1" applyFill="1" applyBorder="1" applyAlignment="1" applyProtection="1">
      <alignment vertical="top"/>
      <protection locked="0"/>
    </xf>
    <xf numFmtId="0" fontId="1" fillId="4" borderId="48" xfId="121" applyFont="1" applyFill="1" applyBorder="1" applyAlignment="1" applyProtection="1">
      <alignment vertical="top"/>
      <protection locked="0"/>
    </xf>
    <xf numFmtId="0" fontId="1" fillId="0" borderId="38" xfId="121" applyFont="1" applyBorder="1" applyProtection="1">
      <alignment/>
      <protection/>
    </xf>
    <xf numFmtId="0" fontId="1" fillId="0" borderId="57" xfId="121" applyFont="1" applyBorder="1" applyProtection="1">
      <alignment/>
      <protection/>
    </xf>
    <xf numFmtId="165" fontId="2" fillId="0" borderId="69" xfId="121" applyNumberFormat="1" applyFont="1" applyBorder="1" applyProtection="1">
      <alignment/>
      <protection/>
    </xf>
    <xf numFmtId="0" fontId="1" fillId="0" borderId="37" xfId="121" applyFont="1" applyBorder="1" applyProtection="1">
      <alignment/>
      <protection/>
    </xf>
    <xf numFmtId="165" fontId="2" fillId="0" borderId="38" xfId="121" applyNumberFormat="1" applyFont="1" applyBorder="1" applyProtection="1">
      <alignment/>
      <protection/>
    </xf>
    <xf numFmtId="10" fontId="2" fillId="0" borderId="69" xfId="145" applyNumberFormat="1" applyFont="1" applyBorder="1" applyAlignment="1" applyProtection="1">
      <alignment/>
      <protection/>
    </xf>
    <xf numFmtId="0" fontId="1" fillId="0" borderId="0" xfId="121" applyFont="1" applyAlignment="1" applyProtection="1">
      <alignment vertical="center"/>
      <protection/>
    </xf>
    <xf numFmtId="0" fontId="1" fillId="26" borderId="0" xfId="121" applyFont="1" applyFill="1" applyAlignment="1" applyProtection="1">
      <alignment vertical="center"/>
      <protection locked="0"/>
    </xf>
    <xf numFmtId="0" fontId="1" fillId="0" borderId="0" xfId="121" applyFont="1" applyFill="1" applyAlignment="1" applyProtection="1">
      <alignment vertical="center"/>
      <protection/>
    </xf>
    <xf numFmtId="223" fontId="1" fillId="4" borderId="77" xfId="93" applyNumberFormat="1" applyFont="1" applyFill="1" applyBorder="1" applyAlignment="1" applyProtection="1">
      <alignment vertical="center"/>
      <protection locked="0"/>
    </xf>
    <xf numFmtId="1" fontId="1" fillId="0" borderId="77" xfId="121" applyNumberFormat="1" applyFont="1" applyFill="1" applyBorder="1" applyAlignment="1" applyProtection="1">
      <alignment vertical="center"/>
      <protection/>
    </xf>
    <xf numFmtId="165" fontId="1" fillId="0" borderId="48" xfId="93" applyFont="1" applyBorder="1" applyAlignment="1" applyProtection="1">
      <alignment vertical="center"/>
      <protection/>
    </xf>
    <xf numFmtId="1" fontId="1" fillId="0" borderId="48" xfId="121" applyNumberFormat="1" applyFont="1" applyFill="1" applyBorder="1" applyAlignment="1" applyProtection="1">
      <alignment vertical="center"/>
      <protection/>
    </xf>
    <xf numFmtId="165" fontId="1" fillId="0" borderId="77" xfId="121" applyNumberFormat="1" applyFont="1" applyBorder="1" applyAlignment="1" applyProtection="1">
      <alignment vertical="center"/>
      <protection/>
    </xf>
    <xf numFmtId="10" fontId="1" fillId="0" borderId="48" xfId="145" applyNumberFormat="1" applyFont="1" applyBorder="1" applyAlignment="1" applyProtection="1">
      <alignment vertical="center"/>
      <protection/>
    </xf>
    <xf numFmtId="0" fontId="1" fillId="0" borderId="0" xfId="121" applyFont="1" applyAlignment="1" applyProtection="1">
      <alignment vertical="center" wrapText="1"/>
      <protection/>
    </xf>
    <xf numFmtId="0" fontId="2" fillId="0" borderId="0" xfId="121" applyFont="1" applyAlignment="1" applyProtection="1">
      <alignment vertical="top" wrapText="1"/>
      <protection/>
    </xf>
    <xf numFmtId="0" fontId="1" fillId="0" borderId="38" xfId="121" applyFont="1" applyBorder="1" applyAlignment="1" applyProtection="1">
      <alignment vertical="top"/>
      <protection/>
    </xf>
    <xf numFmtId="0" fontId="1" fillId="0" borderId="57" xfId="121" applyFont="1" applyBorder="1" applyAlignment="1" applyProtection="1">
      <alignment vertical="top"/>
      <protection/>
    </xf>
    <xf numFmtId="165" fontId="2" fillId="0" borderId="69" xfId="121" applyNumberFormat="1" applyFont="1" applyBorder="1" applyAlignment="1" applyProtection="1">
      <alignment vertical="top"/>
      <protection/>
    </xf>
    <xf numFmtId="0" fontId="2" fillId="0" borderId="0" xfId="121" applyFont="1" applyAlignment="1" applyProtection="1">
      <alignment vertical="top"/>
      <protection/>
    </xf>
    <xf numFmtId="0" fontId="2" fillId="0" borderId="38" xfId="121" applyFont="1" applyBorder="1" applyAlignment="1" applyProtection="1">
      <alignment vertical="top"/>
      <protection/>
    </xf>
    <xf numFmtId="0" fontId="2" fillId="0" borderId="37" xfId="121" applyFont="1" applyBorder="1" applyAlignment="1" applyProtection="1">
      <alignment vertical="top"/>
      <protection/>
    </xf>
    <xf numFmtId="165" fontId="2" fillId="0" borderId="38" xfId="121" applyNumberFormat="1" applyFont="1" applyBorder="1" applyAlignment="1" applyProtection="1">
      <alignment vertical="top"/>
      <protection/>
    </xf>
    <xf numFmtId="10" fontId="2" fillId="0" borderId="69" xfId="145" applyNumberFormat="1" applyFont="1" applyBorder="1" applyAlignment="1" applyProtection="1">
      <alignment vertical="top"/>
      <protection/>
    </xf>
    <xf numFmtId="1" fontId="1" fillId="0" borderId="48" xfId="121" applyNumberFormat="1" applyFont="1" applyFill="1" applyBorder="1" applyAlignment="1" applyProtection="1">
      <alignment vertical="top"/>
      <protection/>
    </xf>
    <xf numFmtId="0" fontId="1" fillId="0" borderId="48" xfId="121" applyFont="1" applyFill="1" applyBorder="1" applyAlignment="1" applyProtection="1">
      <alignment vertical="top"/>
      <protection/>
    </xf>
    <xf numFmtId="167" fontId="1" fillId="0" borderId="48" xfId="121" applyNumberFormat="1" applyFont="1" applyFill="1" applyBorder="1" applyAlignment="1" applyProtection="1">
      <alignment vertical="top"/>
      <protection/>
    </xf>
    <xf numFmtId="167" fontId="1" fillId="4" borderId="77" xfId="66" applyNumberFormat="1" applyFont="1" applyFill="1" applyBorder="1" applyAlignment="1" applyProtection="1">
      <alignment vertical="top"/>
      <protection/>
    </xf>
    <xf numFmtId="167" fontId="1" fillId="4" borderId="48" xfId="121" applyNumberFormat="1" applyFont="1" applyFill="1" applyBorder="1" applyAlignment="1" applyProtection="1">
      <alignment vertical="top"/>
      <protection/>
    </xf>
    <xf numFmtId="0" fontId="2" fillId="0" borderId="0" xfId="121" applyFont="1" applyFill="1" applyAlignment="1" applyProtection="1">
      <alignment vertical="top"/>
      <protection/>
    </xf>
    <xf numFmtId="9" fontId="1" fillId="0" borderId="38" xfId="121" applyNumberFormat="1" applyFont="1" applyBorder="1" applyAlignment="1" applyProtection="1">
      <alignment vertical="top"/>
      <protection/>
    </xf>
    <xf numFmtId="9" fontId="1" fillId="0" borderId="57" xfId="121" applyNumberFormat="1" applyFont="1" applyBorder="1" applyAlignment="1" applyProtection="1">
      <alignment vertical="top"/>
      <protection/>
    </xf>
    <xf numFmtId="9" fontId="2" fillId="0" borderId="38" xfId="121" applyNumberFormat="1" applyFont="1" applyBorder="1" applyAlignment="1" applyProtection="1">
      <alignment vertical="top"/>
      <protection/>
    </xf>
    <xf numFmtId="9" fontId="2" fillId="0" borderId="37" xfId="121" applyNumberFormat="1" applyFont="1" applyBorder="1" applyAlignment="1" applyProtection="1">
      <alignment vertical="top"/>
      <protection/>
    </xf>
    <xf numFmtId="9" fontId="1" fillId="4" borderId="77" xfId="121" applyNumberFormat="1" applyFont="1" applyFill="1" applyBorder="1" applyAlignment="1" applyProtection="1">
      <alignment vertical="top"/>
      <protection locked="0"/>
    </xf>
    <xf numFmtId="0" fontId="1" fillId="0" borderId="77" xfId="121" applyFont="1" applyBorder="1" applyAlignment="1" applyProtection="1">
      <alignment vertical="top"/>
      <protection/>
    </xf>
    <xf numFmtId="165" fontId="1" fillId="0" borderId="48" xfId="121" applyNumberFormat="1" applyFont="1" applyBorder="1" applyAlignment="1" applyProtection="1">
      <alignment vertical="top"/>
      <protection/>
    </xf>
    <xf numFmtId="0" fontId="1" fillId="0" borderId="48" xfId="121" applyFont="1" applyBorder="1" applyAlignment="1" applyProtection="1">
      <alignment vertical="top"/>
      <protection/>
    </xf>
    <xf numFmtId="9" fontId="1" fillId="4" borderId="48" xfId="121" applyNumberFormat="1" applyFont="1" applyFill="1" applyBorder="1" applyAlignment="1" applyProtection="1">
      <alignment vertical="top"/>
      <protection locked="0"/>
    </xf>
    <xf numFmtId="165" fontId="1" fillId="0" borderId="0" xfId="121" applyNumberFormat="1" applyFont="1" applyBorder="1" applyAlignment="1" applyProtection="1">
      <alignment vertical="top"/>
      <protection/>
    </xf>
    <xf numFmtId="10" fontId="1" fillId="4" borderId="20" xfId="145" applyNumberFormat="1" applyFont="1" applyFill="1" applyBorder="1" applyAlignment="1" applyProtection="1">
      <alignment/>
      <protection locked="0"/>
    </xf>
    <xf numFmtId="223" fontId="1" fillId="0" borderId="0" xfId="121" applyNumberFormat="1" applyFont="1" applyProtection="1">
      <alignment/>
      <protection/>
    </xf>
    <xf numFmtId="43" fontId="1" fillId="0" borderId="0" xfId="121" applyNumberFormat="1" applyFont="1" applyProtection="1">
      <alignment/>
      <protection/>
    </xf>
    <xf numFmtId="0" fontId="2" fillId="0" borderId="0" xfId="121" applyFont="1" applyAlignment="1" applyProtection="1">
      <alignment horizontal="left"/>
      <protection/>
    </xf>
    <xf numFmtId="0" fontId="1" fillId="4" borderId="20" xfId="121" applyFont="1" applyFill="1" applyBorder="1" applyAlignment="1" applyProtection="1">
      <alignment horizontal="center"/>
      <protection/>
    </xf>
    <xf numFmtId="167" fontId="1" fillId="0" borderId="77" xfId="66" applyNumberFormat="1" applyFont="1" applyFill="1" applyBorder="1" applyAlignment="1" applyProtection="1">
      <alignment vertical="center"/>
      <protection/>
    </xf>
    <xf numFmtId="167" fontId="1" fillId="0" borderId="48" xfId="66" applyNumberFormat="1" applyFont="1" applyFill="1" applyBorder="1" applyAlignment="1" applyProtection="1">
      <alignment vertical="center"/>
      <protection/>
    </xf>
    <xf numFmtId="0" fontId="1" fillId="4" borderId="0" xfId="121" applyFont="1" applyFill="1" applyAlignment="1" applyProtection="1">
      <alignment vertical="top"/>
      <protection/>
    </xf>
    <xf numFmtId="167" fontId="1" fillId="4" borderId="48" xfId="66" applyNumberFormat="1" applyFont="1" applyFill="1" applyBorder="1" applyAlignment="1" applyProtection="1">
      <alignment vertical="top"/>
      <protection/>
    </xf>
    <xf numFmtId="167" fontId="2" fillId="4" borderId="20" xfId="66" applyNumberFormat="1" applyFont="1" applyFill="1" applyBorder="1" applyAlignment="1" applyProtection="1">
      <alignment/>
      <protection locked="0"/>
    </xf>
    <xf numFmtId="0" fontId="62" fillId="0" borderId="0" xfId="121" applyFont="1" applyFill="1" applyBorder="1" applyAlignment="1" applyProtection="1">
      <alignment/>
      <protection/>
    </xf>
    <xf numFmtId="0" fontId="1" fillId="11" borderId="0" xfId="121" applyFill="1" applyProtection="1">
      <alignment/>
      <protection/>
    </xf>
    <xf numFmtId="167" fontId="1" fillId="4" borderId="77" xfId="66" applyNumberFormat="1" applyFont="1" applyFill="1" applyBorder="1" applyAlignment="1" applyProtection="1">
      <alignment vertical="top"/>
      <protection locked="0"/>
    </xf>
    <xf numFmtId="167" fontId="1" fillId="4" borderId="48" xfId="66" applyNumberFormat="1" applyFont="1" applyFill="1" applyBorder="1" applyAlignment="1" applyProtection="1">
      <alignment vertical="top"/>
      <protection locked="0"/>
    </xf>
    <xf numFmtId="167" fontId="1" fillId="0" borderId="57" xfId="66" applyNumberFormat="1" applyFont="1" applyBorder="1" applyAlignment="1" applyProtection="1">
      <alignment/>
      <protection/>
    </xf>
    <xf numFmtId="167" fontId="1" fillId="0" borderId="37" xfId="66" applyNumberFormat="1" applyFont="1" applyBorder="1" applyAlignment="1" applyProtection="1">
      <alignment/>
      <protection/>
    </xf>
    <xf numFmtId="167" fontId="1" fillId="0" borderId="57" xfId="66" applyNumberFormat="1" applyFont="1" applyBorder="1" applyAlignment="1" applyProtection="1">
      <alignment vertical="top"/>
      <protection/>
    </xf>
    <xf numFmtId="167" fontId="2" fillId="0" borderId="37" xfId="66" applyNumberFormat="1" applyFont="1" applyBorder="1" applyAlignment="1" applyProtection="1">
      <alignment vertical="top"/>
      <protection/>
    </xf>
    <xf numFmtId="167" fontId="1" fillId="0" borderId="48" xfId="66" applyNumberFormat="1" applyFont="1" applyBorder="1" applyAlignment="1" applyProtection="1">
      <alignment vertical="top"/>
      <protection/>
    </xf>
    <xf numFmtId="43" fontId="1" fillId="0" borderId="0" xfId="121" applyNumberFormat="1" applyProtection="1">
      <alignment/>
      <protection/>
    </xf>
    <xf numFmtId="221" fontId="2" fillId="4" borderId="20" xfId="66" applyNumberFormat="1" applyFont="1" applyFill="1" applyBorder="1" applyAlignment="1" applyProtection="1">
      <alignment/>
      <protection locked="0"/>
    </xf>
    <xf numFmtId="221" fontId="1" fillId="0" borderId="77" xfId="66" applyNumberFormat="1" applyFont="1" applyFill="1" applyBorder="1" applyAlignment="1" applyProtection="1">
      <alignment vertical="top"/>
      <protection/>
    </xf>
    <xf numFmtId="221" fontId="1" fillId="0" borderId="48" xfId="66" applyNumberFormat="1" applyFont="1" applyFill="1" applyBorder="1" applyAlignment="1" applyProtection="1">
      <alignment vertical="top"/>
      <protection/>
    </xf>
    <xf numFmtId="0" fontId="14" fillId="0" borderId="0" xfId="121" applyFont="1" applyFill="1" applyProtection="1">
      <alignment/>
      <protection/>
    </xf>
    <xf numFmtId="221" fontId="1" fillId="0" borderId="77" xfId="66" applyNumberFormat="1" applyFont="1" applyFill="1" applyBorder="1" applyAlignment="1" applyProtection="1">
      <alignment vertical="center"/>
      <protection/>
    </xf>
    <xf numFmtId="221" fontId="1" fillId="0" borderId="48" xfId="66" applyNumberFormat="1" applyFont="1" applyFill="1" applyBorder="1" applyAlignment="1" applyProtection="1">
      <alignment vertical="center"/>
      <protection/>
    </xf>
    <xf numFmtId="43" fontId="2" fillId="4" borderId="20" xfId="66" applyNumberFormat="1" applyFont="1" applyFill="1" applyBorder="1" applyAlignment="1" applyProtection="1">
      <alignment/>
      <protection locked="0"/>
    </xf>
    <xf numFmtId="43" fontId="1" fillId="0" borderId="77" xfId="66" applyFont="1" applyFill="1" applyBorder="1" applyAlignment="1" applyProtection="1">
      <alignment vertical="top"/>
      <protection/>
    </xf>
    <xf numFmtId="43" fontId="1" fillId="0" borderId="48" xfId="66" applyFont="1" applyFill="1" applyBorder="1" applyAlignment="1" applyProtection="1">
      <alignment vertical="top"/>
      <protection/>
    </xf>
    <xf numFmtId="43" fontId="1" fillId="0" borderId="77" xfId="66" applyFont="1" applyFill="1" applyBorder="1" applyAlignment="1" applyProtection="1">
      <alignment vertical="center"/>
      <protection/>
    </xf>
    <xf numFmtId="43" fontId="1" fillId="0" borderId="48" xfId="66" applyFont="1" applyFill="1" applyBorder="1" applyAlignment="1" applyProtection="1">
      <alignment vertical="center"/>
      <protection/>
    </xf>
    <xf numFmtId="0" fontId="1" fillId="20" borderId="0" xfId="121" applyFont="1" applyFill="1" applyBorder="1" applyAlignment="1" applyProtection="1">
      <alignment vertical="center"/>
      <protection/>
    </xf>
    <xf numFmtId="0" fontId="1" fillId="20" borderId="0" xfId="121" applyFont="1" applyFill="1" applyProtection="1">
      <alignment/>
      <protection/>
    </xf>
    <xf numFmtId="0" fontId="1" fillId="0" borderId="0" xfId="121" applyFont="1" applyFill="1" applyAlignment="1" applyProtection="1">
      <alignment vertical="top"/>
      <protection locked="0"/>
    </xf>
    <xf numFmtId="0" fontId="63" fillId="20" borderId="0" xfId="121" applyFont="1" applyFill="1" applyProtection="1">
      <alignment/>
      <protection/>
    </xf>
    <xf numFmtId="0" fontId="63" fillId="0" borderId="0" xfId="121" applyFont="1" applyProtection="1">
      <alignment/>
      <protection/>
    </xf>
    <xf numFmtId="0" fontId="1" fillId="0" borderId="0" xfId="121" applyFont="1" applyFill="1" applyAlignment="1" applyProtection="1">
      <alignment vertical="center"/>
      <protection locked="0"/>
    </xf>
    <xf numFmtId="167" fontId="1" fillId="4" borderId="77" xfId="121" applyNumberFormat="1" applyFont="1" applyFill="1" applyBorder="1" applyAlignment="1" applyProtection="1">
      <alignment vertical="top"/>
      <protection locked="0"/>
    </xf>
    <xf numFmtId="0" fontId="1" fillId="11" borderId="0" xfId="121" applyFont="1" applyFill="1" applyProtection="1">
      <alignment/>
      <protection/>
    </xf>
    <xf numFmtId="167" fontId="1" fillId="20" borderId="48" xfId="66" applyNumberFormat="1" applyFont="1" applyFill="1" applyBorder="1" applyAlignment="1" applyProtection="1">
      <alignment vertical="top"/>
      <protection locked="0"/>
    </xf>
    <xf numFmtId="223" fontId="1" fillId="10" borderId="77" xfId="93" applyNumberFormat="1" applyFont="1" applyFill="1" applyBorder="1" applyAlignment="1" applyProtection="1">
      <alignment vertical="top"/>
      <protection locked="0"/>
    </xf>
    <xf numFmtId="0" fontId="0" fillId="0" borderId="0" xfId="0" applyAlignment="1">
      <alignment/>
    </xf>
    <xf numFmtId="0" fontId="2" fillId="0" borderId="0" xfId="0" applyFont="1" applyAlignment="1">
      <alignment horizontal="right"/>
    </xf>
    <xf numFmtId="0" fontId="0" fillId="4" borderId="0" xfId="0" applyFill="1" applyAlignment="1">
      <alignment/>
    </xf>
    <xf numFmtId="164" fontId="0" fillId="4" borderId="0" xfId="0" applyNumberFormat="1" applyFill="1" applyAlignment="1">
      <alignment/>
    </xf>
    <xf numFmtId="0" fontId="3" fillId="0" borderId="0" xfId="0" applyFont="1" applyAlignment="1">
      <alignment horizontal="center"/>
    </xf>
    <xf numFmtId="0" fontId="2" fillId="0" borderId="67" xfId="0" applyFont="1" applyFill="1" applyBorder="1" applyAlignment="1">
      <alignment vertical="center" wrapText="1"/>
    </xf>
    <xf numFmtId="0" fontId="1" fillId="0" borderId="5" xfId="0" applyFont="1" applyFill="1" applyBorder="1" applyAlignment="1">
      <alignment vertical="center" wrapText="1"/>
    </xf>
    <xf numFmtId="0" fontId="1" fillId="0" borderId="91" xfId="0" applyFont="1" applyFill="1" applyBorder="1" applyAlignment="1">
      <alignment vertical="center" wrapText="1"/>
    </xf>
    <xf numFmtId="0" fontId="2" fillId="0" borderId="18" xfId="0" applyFont="1" applyFill="1" applyBorder="1" applyAlignment="1">
      <alignment horizontal="center"/>
    </xf>
    <xf numFmtId="0" fontId="1" fillId="0" borderId="55" xfId="0" applyFont="1" applyFill="1" applyBorder="1" applyAlignment="1">
      <alignment vertical="center" wrapText="1"/>
    </xf>
    <xf numFmtId="0" fontId="1" fillId="0" borderId="6" xfId="0" applyFont="1" applyFill="1" applyBorder="1" applyAlignment="1">
      <alignment vertical="center" wrapText="1"/>
    </xf>
    <xf numFmtId="0" fontId="1" fillId="0" borderId="92" xfId="0" applyFont="1" applyFill="1" applyBorder="1" applyAlignment="1">
      <alignment vertical="center" wrapText="1"/>
    </xf>
    <xf numFmtId="0" fontId="2" fillId="0" borderId="33" xfId="0" applyFont="1" applyFill="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0" xfId="0" applyFont="1" applyFill="1" applyBorder="1" applyAlignment="1">
      <alignment horizontal="center"/>
    </xf>
    <xf numFmtId="171" fontId="0" fillId="4" borderId="31" xfId="72" applyNumberFormat="1" applyFont="1" applyFill="1" applyBorder="1" applyAlignment="1">
      <alignment/>
    </xf>
    <xf numFmtId="171" fontId="0" fillId="4" borderId="31" xfId="72" applyNumberFormat="1" applyFill="1" applyBorder="1" applyAlignment="1">
      <alignment/>
    </xf>
    <xf numFmtId="171" fontId="0" fillId="0" borderId="32" xfId="72" applyNumberFormat="1" applyBorder="1" applyAlignment="1">
      <alignment/>
    </xf>
    <xf numFmtId="0" fontId="0" fillId="0" borderId="0" xfId="0" applyAlignment="1" quotePrefix="1">
      <alignment horizontal="center"/>
    </xf>
    <xf numFmtId="171" fontId="0" fillId="4" borderId="20" xfId="72" applyNumberFormat="1" applyFont="1" applyFill="1" applyBorder="1" applyAlignment="1">
      <alignment/>
    </xf>
    <xf numFmtId="0" fontId="0" fillId="0" borderId="0" xfId="0" applyAlignment="1">
      <alignment horizontal="center"/>
    </xf>
    <xf numFmtId="171" fontId="0" fillId="0" borderId="57" xfId="72" applyNumberFormat="1" applyFont="1" applyBorder="1"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center" vertical="center"/>
    </xf>
    <xf numFmtId="0" fontId="1" fillId="0" borderId="0" xfId="0" applyFont="1" applyAlignment="1">
      <alignment horizontal="left" wrapText="1"/>
    </xf>
    <xf numFmtId="0" fontId="2" fillId="0" borderId="0" xfId="0" applyFont="1" applyFill="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left" vertical="center" wrapText="1"/>
    </xf>
    <xf numFmtId="0" fontId="1"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vertical="top"/>
    </xf>
    <xf numFmtId="0" fontId="0" fillId="0" borderId="0" xfId="0" applyAlignment="1">
      <alignment horizontal="left"/>
    </xf>
    <xf numFmtId="0" fontId="0" fillId="0" borderId="0" xfId="0" applyBorder="1" applyAlignment="1">
      <alignment/>
    </xf>
    <xf numFmtId="0" fontId="1" fillId="4" borderId="0" xfId="121" applyFont="1" applyFill="1" applyAlignment="1">
      <alignment horizontal="center"/>
      <protection/>
    </xf>
    <xf numFmtId="0" fontId="0" fillId="4" borderId="0" xfId="0" applyFill="1" applyAlignment="1">
      <alignment horizontal="left"/>
    </xf>
    <xf numFmtId="0" fontId="2" fillId="0" borderId="59" xfId="0" applyFont="1" applyFill="1" applyBorder="1" applyAlignment="1">
      <alignment horizontal="center"/>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2" fillId="0" borderId="60" xfId="0" applyFont="1" applyFill="1" applyBorder="1" applyAlignment="1">
      <alignment horizontal="center"/>
    </xf>
    <xf numFmtId="0" fontId="2" fillId="0" borderId="20" xfId="0" applyFont="1" applyFill="1" applyBorder="1" applyAlignment="1">
      <alignment horizontal="center"/>
    </xf>
    <xf numFmtId="0" fontId="2" fillId="0" borderId="20" xfId="0" applyFont="1" applyFill="1" applyBorder="1" applyAlignment="1" quotePrefix="1">
      <alignment horizontal="center"/>
    </xf>
    <xf numFmtId="0" fontId="2" fillId="0" borderId="21" xfId="0" applyFont="1" applyFill="1" applyBorder="1" applyAlignment="1" quotePrefix="1">
      <alignment horizontal="center"/>
    </xf>
    <xf numFmtId="0" fontId="0" fillId="0" borderId="60" xfId="0" applyBorder="1" applyAlignment="1">
      <alignment horizontal="center"/>
    </xf>
    <xf numFmtId="0" fontId="0" fillId="0" borderId="2" xfId="0" applyBorder="1" applyAlignment="1">
      <alignment horizontal="center"/>
    </xf>
    <xf numFmtId="166" fontId="37" fillId="4" borderId="20" xfId="51" applyNumberFormat="1" applyFont="1" applyFill="1" applyBorder="1" applyAlignment="1">
      <alignment/>
    </xf>
    <xf numFmtId="166" fontId="83" fillId="4" borderId="20" xfId="51" applyNumberFormat="1" applyFont="1" applyFill="1" applyBorder="1" applyAlignment="1">
      <alignment/>
    </xf>
    <xf numFmtId="166" fontId="1" fillId="4" borderId="20" xfId="94" applyNumberFormat="1" applyFill="1" applyBorder="1" applyAlignment="1">
      <alignment/>
    </xf>
    <xf numFmtId="166" fontId="1" fillId="0" borderId="20" xfId="94" applyNumberFormat="1" applyBorder="1" applyAlignment="1">
      <alignment/>
    </xf>
    <xf numFmtId="166" fontId="1" fillId="0" borderId="21" xfId="94" applyNumberFormat="1" applyBorder="1" applyAlignment="1">
      <alignment/>
    </xf>
    <xf numFmtId="0" fontId="0" fillId="0" borderId="20" xfId="0" applyBorder="1" applyAlignment="1">
      <alignment horizontal="center"/>
    </xf>
    <xf numFmtId="166" fontId="37" fillId="4" borderId="20" xfId="131" applyNumberFormat="1" applyFont="1" applyFill="1" applyBorder="1">
      <alignment/>
      <protection/>
    </xf>
    <xf numFmtId="166" fontId="1" fillId="4" borderId="20" xfId="94" applyNumberFormat="1" applyFont="1" applyFill="1" applyBorder="1" applyAlignment="1">
      <alignment/>
    </xf>
    <xf numFmtId="0" fontId="0" fillId="0" borderId="65" xfId="0" applyBorder="1" applyAlignment="1">
      <alignment horizontal="center"/>
    </xf>
    <xf numFmtId="0" fontId="0" fillId="0" borderId="33" xfId="0" applyBorder="1" applyAlignment="1" quotePrefix="1">
      <alignment horizontal="center"/>
    </xf>
    <xf numFmtId="166" fontId="1" fillId="4" borderId="33" xfId="94" applyNumberFormat="1" applyFill="1" applyBorder="1" applyAlignment="1">
      <alignment/>
    </xf>
    <xf numFmtId="166" fontId="1" fillId="0" borderId="33" xfId="94" applyNumberFormat="1" applyBorder="1" applyAlignment="1">
      <alignment/>
    </xf>
    <xf numFmtId="166" fontId="1" fillId="0" borderId="34" xfId="94" applyNumberFormat="1" applyBorder="1" applyAlignment="1">
      <alignment/>
    </xf>
    <xf numFmtId="0" fontId="0" fillId="0" borderId="0" xfId="0" applyAlignment="1" quotePrefix="1">
      <alignment/>
    </xf>
    <xf numFmtId="0" fontId="57" fillId="0" borderId="0" xfId="0" applyFont="1" applyAlignment="1">
      <alignment/>
    </xf>
    <xf numFmtId="0" fontId="2" fillId="0" borderId="0" xfId="0" applyFont="1" applyAlignment="1">
      <alignment vertical="top" wrapText="1"/>
    </xf>
    <xf numFmtId="0" fontId="4" fillId="0" borderId="0" xfId="0" applyFont="1" applyAlignment="1">
      <alignment vertical="top"/>
    </xf>
    <xf numFmtId="0" fontId="57" fillId="0" borderId="0" xfId="0" applyFont="1" applyAlignment="1">
      <alignment vertical="top"/>
    </xf>
    <xf numFmtId="0" fontId="3" fillId="0" borderId="0" xfId="0" applyFont="1" applyAlignment="1">
      <alignment horizontal="left"/>
    </xf>
    <xf numFmtId="0" fontId="2" fillId="0" borderId="0" xfId="0" applyFont="1" applyAlignment="1">
      <alignment horizontal="center"/>
    </xf>
    <xf numFmtId="0" fontId="2" fillId="4" borderId="0" xfId="0" applyFont="1" applyFill="1" applyAlignment="1">
      <alignment horizontal="center"/>
    </xf>
    <xf numFmtId="0" fontId="85" fillId="0" borderId="0" xfId="0" applyFont="1" applyAlignment="1">
      <alignment horizontal="center"/>
    </xf>
    <xf numFmtId="0" fontId="2" fillId="7" borderId="29" xfId="0" applyFont="1" applyFill="1" applyBorder="1" applyAlignment="1">
      <alignment vertical="center" wrapText="1"/>
    </xf>
    <xf numFmtId="0" fontId="2" fillId="7"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7" borderId="31" xfId="0" applyFont="1" applyFill="1" applyBorder="1" applyAlignment="1" quotePrefix="1">
      <alignment horizontal="center"/>
    </xf>
    <xf numFmtId="0" fontId="2" fillId="0" borderId="31" xfId="0" applyFont="1" applyFill="1" applyBorder="1" applyAlignment="1" quotePrefix="1">
      <alignment horizontal="center"/>
    </xf>
    <xf numFmtId="0" fontId="2" fillId="0" borderId="31" xfId="0" applyFont="1" applyFill="1" applyBorder="1" applyAlignment="1">
      <alignment horizontal="center" wrapText="1"/>
    </xf>
    <xf numFmtId="0" fontId="2" fillId="0" borderId="31" xfId="0" applyFont="1" applyFill="1" applyBorder="1" applyAlignment="1" quotePrefix="1">
      <alignment horizontal="center" wrapText="1"/>
    </xf>
    <xf numFmtId="0" fontId="2" fillId="0" borderId="32" xfId="0" applyFont="1" applyFill="1" applyBorder="1" applyAlignment="1">
      <alignment horizontal="center"/>
    </xf>
    <xf numFmtId="0" fontId="2" fillId="0" borderId="71" xfId="0" applyFont="1" applyFill="1" applyBorder="1" applyAlignment="1">
      <alignment horizontal="center"/>
    </xf>
    <xf numFmtId="0" fontId="0" fillId="0" borderId="20" xfId="0" applyBorder="1" applyAlignment="1">
      <alignment/>
    </xf>
    <xf numFmtId="165" fontId="1" fillId="7" borderId="20" xfId="94" applyFill="1" applyBorder="1" applyAlignment="1">
      <alignment/>
    </xf>
    <xf numFmtId="42" fontId="1" fillId="0" borderId="20" xfId="94" applyNumberFormat="1" applyFill="1" applyBorder="1" applyAlignment="1">
      <alignment/>
    </xf>
    <xf numFmtId="0" fontId="1" fillId="0" borderId="20" xfId="68" applyNumberFormat="1" applyFill="1" applyBorder="1" applyAlignment="1">
      <alignment horizontal="center"/>
    </xf>
    <xf numFmtId="10" fontId="1" fillId="0" borderId="20" xfId="136" applyNumberFormat="1" applyFill="1" applyBorder="1" applyAlignment="1">
      <alignment/>
    </xf>
    <xf numFmtId="42" fontId="1" fillId="0" borderId="21" xfId="94" applyNumberFormat="1" applyFill="1" applyBorder="1" applyAlignment="1">
      <alignment/>
    </xf>
    <xf numFmtId="165" fontId="1" fillId="29" borderId="21" xfId="94" applyFont="1" applyFill="1" applyBorder="1" applyAlignment="1">
      <alignment horizontal="center"/>
    </xf>
    <xf numFmtId="0" fontId="0" fillId="0" borderId="60" xfId="0" applyFill="1" applyBorder="1" applyAlignment="1">
      <alignment horizontal="center"/>
    </xf>
    <xf numFmtId="0" fontId="1" fillId="0" borderId="20" xfId="0" applyFont="1" applyFill="1" applyBorder="1" applyAlignment="1">
      <alignment/>
    </xf>
    <xf numFmtId="165" fontId="1" fillId="7" borderId="40" xfId="130" applyNumberFormat="1" applyFont="1" applyFill="1" applyBorder="1">
      <alignment/>
      <protection/>
    </xf>
    <xf numFmtId="42" fontId="35" fillId="0" borderId="21" xfId="0" applyNumberFormat="1" applyFont="1" applyFill="1" applyBorder="1" applyAlignment="1" applyProtection="1">
      <alignment/>
      <protection/>
    </xf>
    <xf numFmtId="165" fontId="1" fillId="29" borderId="21" xfId="94" applyFill="1" applyBorder="1" applyAlignment="1">
      <alignment horizontal="center"/>
    </xf>
    <xf numFmtId="224" fontId="1" fillId="7" borderId="20" xfId="94" applyNumberFormat="1" applyFill="1" applyBorder="1" applyAlignment="1">
      <alignment/>
    </xf>
    <xf numFmtId="42" fontId="1" fillId="0" borderId="21" xfId="72" applyNumberFormat="1" applyFill="1" applyBorder="1" applyAlignment="1">
      <alignment/>
    </xf>
    <xf numFmtId="42" fontId="35" fillId="0" borderId="21" xfId="133" applyNumberFormat="1" applyFont="1" applyFill="1" applyBorder="1">
      <alignment/>
      <protection/>
    </xf>
    <xf numFmtId="0" fontId="1" fillId="0" borderId="60" xfId="0" applyFont="1" applyBorder="1" applyAlignment="1">
      <alignment horizontal="center"/>
    </xf>
    <xf numFmtId="0" fontId="1" fillId="0" borderId="20" xfId="0" applyFont="1" applyBorder="1" applyAlignment="1">
      <alignment/>
    </xf>
    <xf numFmtId="224" fontId="87" fillId="7" borderId="20" xfId="130" applyNumberFormat="1" applyFont="1" applyFill="1" applyBorder="1">
      <alignment/>
      <protection/>
    </xf>
    <xf numFmtId="0" fontId="1" fillId="0" borderId="20" xfId="0" applyFont="1" applyBorder="1" applyAlignment="1">
      <alignment/>
    </xf>
    <xf numFmtId="0" fontId="1" fillId="0" borderId="20" xfId="0" applyFont="1" applyFill="1" applyBorder="1" applyAlignment="1">
      <alignment/>
    </xf>
    <xf numFmtId="0" fontId="1" fillId="0" borderId="60" xfId="0" applyFont="1" applyFill="1" applyBorder="1" applyAlignment="1">
      <alignment horizontal="center"/>
    </xf>
    <xf numFmtId="0" fontId="1" fillId="0" borderId="20" xfId="0" applyFont="1" applyFill="1" applyBorder="1" applyAlignment="1" quotePrefix="1">
      <alignment horizontal="left"/>
    </xf>
    <xf numFmtId="0" fontId="1" fillId="0" borderId="20" xfId="0" applyFont="1" applyFill="1" applyBorder="1" applyAlignment="1">
      <alignment/>
    </xf>
    <xf numFmtId="0" fontId="1" fillId="0" borderId="20" xfId="0" applyFont="1" applyBorder="1" applyAlignment="1" quotePrefix="1">
      <alignment horizontal="left"/>
    </xf>
    <xf numFmtId="224" fontId="1" fillId="7" borderId="20" xfId="94" applyNumberFormat="1" applyFont="1" applyFill="1" applyBorder="1" applyAlignment="1">
      <alignment/>
    </xf>
    <xf numFmtId="42" fontId="88" fillId="0" borderId="0" xfId="132" applyNumberFormat="1" applyFont="1" applyFill="1" applyAlignment="1">
      <alignment/>
      <protection/>
    </xf>
    <xf numFmtId="0" fontId="1" fillId="0" borderId="62" xfId="0" applyFont="1" applyBorder="1" applyAlignment="1">
      <alignment horizontal="center"/>
    </xf>
    <xf numFmtId="0" fontId="1" fillId="0" borderId="23" xfId="0" applyFont="1" applyBorder="1" applyAlignment="1">
      <alignment/>
    </xf>
    <xf numFmtId="224" fontId="0" fillId="7" borderId="23" xfId="0" applyNumberFormat="1" applyFill="1" applyBorder="1" applyAlignment="1">
      <alignment/>
    </xf>
    <xf numFmtId="42" fontId="0" fillId="0" borderId="23" xfId="0" applyNumberFormat="1" applyFill="1" applyBorder="1" applyAlignment="1">
      <alignment/>
    </xf>
    <xf numFmtId="42" fontId="1" fillId="0" borderId="23" xfId="94" applyNumberFormat="1" applyFill="1" applyBorder="1" applyAlignment="1">
      <alignment/>
    </xf>
    <xf numFmtId="42" fontId="1" fillId="0" borderId="23" xfId="68" applyNumberFormat="1" applyFill="1" applyBorder="1" applyAlignment="1">
      <alignment/>
    </xf>
    <xf numFmtId="10" fontId="1" fillId="0" borderId="22" xfId="94" applyNumberFormat="1" applyFill="1" applyBorder="1" applyAlignment="1">
      <alignment/>
    </xf>
    <xf numFmtId="42" fontId="89" fillId="0" borderId="24" xfId="94" applyNumberFormat="1" applyFont="1" applyFill="1" applyBorder="1" applyAlignment="1">
      <alignment/>
    </xf>
    <xf numFmtId="0" fontId="0" fillId="29" borderId="63" xfId="0" applyFill="1" applyBorder="1" applyAlignment="1">
      <alignment horizontal="center"/>
    </xf>
    <xf numFmtId="0" fontId="1" fillId="0" borderId="64" xfId="0" applyFont="1" applyBorder="1" applyAlignment="1">
      <alignment horizontal="center"/>
    </xf>
    <xf numFmtId="0" fontId="2" fillId="0" borderId="26" xfId="0" applyFont="1" applyBorder="1" applyAlignment="1">
      <alignment/>
    </xf>
    <xf numFmtId="224" fontId="1" fillId="7" borderId="26" xfId="94" applyNumberFormat="1" applyFill="1" applyBorder="1" applyAlignment="1">
      <alignment/>
    </xf>
    <xf numFmtId="42" fontId="1" fillId="0" borderId="26" xfId="94" applyNumberFormat="1" applyFill="1" applyBorder="1" applyAlignment="1">
      <alignment/>
    </xf>
    <xf numFmtId="42" fontId="1" fillId="0" borderId="26" xfId="68" applyNumberFormat="1" applyFill="1" applyBorder="1" applyAlignment="1">
      <alignment/>
    </xf>
    <xf numFmtId="42" fontId="1" fillId="0" borderId="25" xfId="94" applyNumberFormat="1" applyFill="1" applyBorder="1" applyAlignment="1">
      <alignment/>
    </xf>
    <xf numFmtId="42" fontId="1" fillId="0" borderId="27" xfId="94" applyNumberFormat="1" applyFill="1" applyBorder="1" applyAlignment="1">
      <alignment/>
    </xf>
    <xf numFmtId="165" fontId="1" fillId="0" borderId="28" xfId="94" applyBorder="1" applyAlignment="1">
      <alignment horizontal="center"/>
    </xf>
    <xf numFmtId="165" fontId="1" fillId="0" borderId="0" xfId="0" applyNumberFormat="1" applyFont="1" applyAlignment="1">
      <alignment/>
    </xf>
    <xf numFmtId="43" fontId="1" fillId="0" borderId="0" xfId="0" applyNumberFormat="1" applyFont="1" applyAlignment="1">
      <alignment/>
    </xf>
    <xf numFmtId="0" fontId="4" fillId="0" borderId="0" xfId="0" applyFont="1" applyAlignment="1">
      <alignment/>
    </xf>
    <xf numFmtId="0" fontId="2" fillId="0" borderId="31" xfId="0" applyFont="1" applyFill="1" applyBorder="1" applyAlignment="1">
      <alignment horizontal="center"/>
    </xf>
    <xf numFmtId="0" fontId="2" fillId="0" borderId="32" xfId="0" applyFont="1" applyFill="1" applyBorder="1" applyAlignment="1" quotePrefix="1">
      <alignment horizontal="center"/>
    </xf>
    <xf numFmtId="0" fontId="0" fillId="0" borderId="20" xfId="0" applyFill="1" applyBorder="1" applyAlignment="1">
      <alignment/>
    </xf>
    <xf numFmtId="42" fontId="0" fillId="0" borderId="20" xfId="0" applyNumberFormat="1" applyFill="1" applyBorder="1" applyAlignment="1">
      <alignment/>
    </xf>
    <xf numFmtId="10" fontId="1" fillId="0" borderId="20" xfId="94" applyNumberFormat="1" applyFill="1" applyBorder="1" applyAlignment="1">
      <alignment/>
    </xf>
    <xf numFmtId="42" fontId="1" fillId="0" borderId="20" xfId="0" applyNumberFormat="1" applyFont="1" applyFill="1" applyBorder="1" applyAlignment="1">
      <alignment/>
    </xf>
    <xf numFmtId="42" fontId="1" fillId="0" borderId="20" xfId="0" applyNumberFormat="1" applyFont="1" applyFill="1" applyBorder="1" applyAlignment="1">
      <alignment/>
    </xf>
    <xf numFmtId="0" fontId="1" fillId="0" borderId="20" xfId="0" applyFont="1" applyFill="1" applyBorder="1" applyAlignment="1">
      <alignment/>
    </xf>
    <xf numFmtId="42" fontId="1" fillId="0" borderId="20" xfId="0" applyNumberFormat="1" applyFont="1" applyFill="1" applyBorder="1" applyAlignment="1">
      <alignment/>
    </xf>
    <xf numFmtId="42" fontId="1" fillId="0" borderId="20" xfId="0" applyNumberFormat="1" applyFont="1" applyFill="1" applyBorder="1" applyAlignment="1">
      <alignment/>
    </xf>
    <xf numFmtId="42" fontId="1" fillId="0" borderId="20" xfId="0" applyNumberFormat="1" applyFont="1" applyFill="1" applyBorder="1" applyAlignment="1" quotePrefix="1">
      <alignment horizontal="right"/>
    </xf>
    <xf numFmtId="0" fontId="1" fillId="0" borderId="23" xfId="0" applyFont="1" applyFill="1" applyBorder="1" applyAlignment="1">
      <alignment/>
    </xf>
    <xf numFmtId="42" fontId="1" fillId="0" borderId="23" xfId="0" applyNumberFormat="1" applyFont="1" applyFill="1" applyBorder="1" applyAlignment="1">
      <alignment/>
    </xf>
    <xf numFmtId="0" fontId="2" fillId="0" borderId="26" xfId="0" applyFont="1" applyFill="1" applyBorder="1" applyAlignment="1">
      <alignment/>
    </xf>
    <xf numFmtId="42" fontId="1" fillId="0" borderId="26" xfId="68" applyNumberFormat="1" applyFont="1" applyFill="1" applyBorder="1" applyAlignment="1">
      <alignment/>
    </xf>
    <xf numFmtId="42" fontId="1" fillId="0" borderId="26" xfId="94" applyNumberFormat="1" applyFont="1" applyFill="1" applyBorder="1" applyAlignment="1">
      <alignment/>
    </xf>
    <xf numFmtId="37" fontId="1" fillId="0" borderId="20" xfId="68" applyNumberFormat="1" applyFill="1" applyBorder="1" applyAlignment="1">
      <alignment horizontal="center"/>
    </xf>
    <xf numFmtId="42" fontId="1" fillId="0" borderId="20" xfId="94" applyNumberFormat="1" applyFont="1" applyFill="1" applyBorder="1" applyAlignment="1">
      <alignment/>
    </xf>
    <xf numFmtId="0" fontId="1" fillId="0" borderId="20" xfId="0" applyFont="1" applyFill="1" applyBorder="1" applyAlignment="1" quotePrefix="1">
      <alignment horizontal="left"/>
    </xf>
    <xf numFmtId="42" fontId="1" fillId="0" borderId="20" xfId="94" applyNumberFormat="1" applyFont="1" applyFill="1" applyBorder="1" applyAlignment="1">
      <alignment/>
    </xf>
    <xf numFmtId="37" fontId="1" fillId="0" borderId="20" xfId="94" applyNumberFormat="1" applyFill="1" applyBorder="1" applyAlignment="1">
      <alignment/>
    </xf>
    <xf numFmtId="37" fontId="1" fillId="0" borderId="23" xfId="68" applyNumberFormat="1" applyFill="1" applyBorder="1" applyAlignment="1">
      <alignment horizontal="center"/>
    </xf>
    <xf numFmtId="37" fontId="1" fillId="0" borderId="22" xfId="94" applyNumberFormat="1" applyFill="1" applyBorder="1" applyAlignment="1">
      <alignment/>
    </xf>
    <xf numFmtId="37" fontId="1" fillId="0" borderId="26" xfId="68" applyNumberFormat="1" applyFill="1" applyBorder="1" applyAlignment="1">
      <alignment/>
    </xf>
    <xf numFmtId="37" fontId="1" fillId="0" borderId="25" xfId="94" applyNumberFormat="1" applyFill="1" applyBorder="1" applyAlignment="1">
      <alignment/>
    </xf>
    <xf numFmtId="0" fontId="1" fillId="0" borderId="0" xfId="0" applyFont="1" applyAlignment="1">
      <alignment/>
    </xf>
    <xf numFmtId="0" fontId="2" fillId="0" borderId="29" xfId="0" applyFont="1" applyFill="1" applyBorder="1" applyAlignment="1" quotePrefix="1">
      <alignment horizontal="center" vertical="center" wrapText="1"/>
    </xf>
    <xf numFmtId="0" fontId="2" fillId="20" borderId="31" xfId="0" applyFont="1" applyFill="1" applyBorder="1" applyAlignment="1" quotePrefix="1">
      <alignment horizontal="center"/>
    </xf>
    <xf numFmtId="0" fontId="2" fillId="20" borderId="32" xfId="0" applyFont="1" applyFill="1" applyBorder="1" applyAlignment="1">
      <alignment horizontal="center"/>
    </xf>
    <xf numFmtId="0" fontId="0" fillId="0" borderId="60" xfId="0" applyFill="1" applyBorder="1" applyAlignment="1">
      <alignment horizontal="center"/>
    </xf>
    <xf numFmtId="0" fontId="1" fillId="0" borderId="20" xfId="68" applyNumberFormat="1" applyFont="1" applyFill="1" applyBorder="1" applyAlignment="1">
      <alignment horizontal="center"/>
    </xf>
    <xf numFmtId="10" fontId="1" fillId="0" borderId="20" xfId="94" applyNumberFormat="1" applyFont="1" applyFill="1" applyBorder="1" applyAlignment="1">
      <alignment/>
    </xf>
    <xf numFmtId="165" fontId="1" fillId="29" borderId="21" xfId="94" applyFont="1" applyFill="1" applyBorder="1" applyAlignment="1">
      <alignment horizontal="center"/>
    </xf>
    <xf numFmtId="0" fontId="0" fillId="0" borderId="20" xfId="0" applyFill="1" applyBorder="1" applyAlignment="1">
      <alignment/>
    </xf>
    <xf numFmtId="0" fontId="1" fillId="0" borderId="60" xfId="0" applyFont="1" applyFill="1" applyBorder="1" applyAlignment="1">
      <alignment horizontal="center"/>
    </xf>
    <xf numFmtId="42" fontId="1" fillId="0" borderId="21" xfId="94" applyNumberFormat="1" applyFont="1" applyFill="1" applyBorder="1" applyAlignment="1">
      <alignment/>
    </xf>
    <xf numFmtId="42" fontId="35" fillId="0" borderId="20" xfId="133" applyNumberFormat="1" applyFill="1" applyBorder="1">
      <alignment/>
      <protection/>
    </xf>
    <xf numFmtId="42" fontId="1" fillId="0" borderId="20" xfId="68" applyNumberFormat="1" applyFill="1" applyBorder="1" applyAlignment="1">
      <alignment/>
    </xf>
    <xf numFmtId="42" fontId="89" fillId="0" borderId="20" xfId="94" applyNumberFormat="1" applyFont="1" applyFill="1" applyBorder="1" applyAlignment="1">
      <alignment/>
    </xf>
    <xf numFmtId="42" fontId="89" fillId="0" borderId="21" xfId="94" applyNumberFormat="1" applyFont="1" applyFill="1" applyBorder="1" applyAlignment="1">
      <alignment/>
    </xf>
    <xf numFmtId="42" fontId="0" fillId="0" borderId="0" xfId="0" applyNumberFormat="1" applyAlignment="1">
      <alignment/>
    </xf>
    <xf numFmtId="37" fontId="1" fillId="0" borderId="0" xfId="0" applyNumberFormat="1" applyFont="1" applyAlignment="1">
      <alignment/>
    </xf>
    <xf numFmtId="3" fontId="1" fillId="0" borderId="0" xfId="0" applyNumberFormat="1" applyFont="1" applyAlignment="1">
      <alignment/>
    </xf>
    <xf numFmtId="0" fontId="2" fillId="20" borderId="29" xfId="0" applyFont="1" applyFill="1" applyBorder="1" applyAlignment="1">
      <alignment horizontal="center" vertical="center" wrapText="1"/>
    </xf>
    <xf numFmtId="0" fontId="2" fillId="20" borderId="30" xfId="0" applyFont="1" applyFill="1" applyBorder="1" applyAlignment="1">
      <alignment horizontal="center" vertical="center" wrapText="1"/>
    </xf>
    <xf numFmtId="0" fontId="2" fillId="20" borderId="31" xfId="0" applyFont="1" applyFill="1" applyBorder="1" applyAlignment="1">
      <alignment horizontal="center"/>
    </xf>
    <xf numFmtId="0" fontId="2" fillId="20" borderId="31" xfId="0" applyFont="1" applyFill="1" applyBorder="1" applyAlignment="1" quotePrefix="1">
      <alignment horizontal="center" wrapText="1"/>
    </xf>
    <xf numFmtId="10" fontId="1" fillId="0" borderId="20" xfId="94" applyNumberFormat="1" applyBorder="1" applyAlignment="1">
      <alignment/>
    </xf>
    <xf numFmtId="42" fontId="1" fillId="0" borderId="20" xfId="94" applyNumberFormat="1" applyBorder="1" applyAlignment="1">
      <alignment/>
    </xf>
    <xf numFmtId="42" fontId="1" fillId="0" borderId="21" xfId="94" applyNumberFormat="1" applyBorder="1" applyAlignment="1">
      <alignment/>
    </xf>
    <xf numFmtId="10" fontId="1" fillId="0" borderId="20" xfId="94" applyNumberFormat="1" applyFont="1" applyBorder="1" applyAlignment="1">
      <alignment/>
    </xf>
    <xf numFmtId="10" fontId="1" fillId="0" borderId="20" xfId="94" applyNumberFormat="1" applyFont="1" applyBorder="1" applyAlignment="1">
      <alignment/>
    </xf>
    <xf numFmtId="42" fontId="1" fillId="0" borderId="20" xfId="94" applyNumberFormat="1" applyFont="1" applyBorder="1" applyAlignment="1">
      <alignment/>
    </xf>
    <xf numFmtId="0" fontId="61" fillId="0" borderId="20" xfId="68" applyNumberFormat="1" applyFont="1" applyFill="1" applyBorder="1" applyAlignment="1">
      <alignment horizontal="center"/>
    </xf>
    <xf numFmtId="0" fontId="0" fillId="0" borderId="45" xfId="0" applyFill="1" applyBorder="1" applyAlignment="1">
      <alignment horizontal="center"/>
    </xf>
    <xf numFmtId="0" fontId="11" fillId="0" borderId="40" xfId="0" applyFont="1" applyFill="1" applyBorder="1" applyAlignment="1">
      <alignment/>
    </xf>
    <xf numFmtId="42" fontId="1" fillId="0" borderId="40" xfId="94" applyNumberFormat="1" applyFill="1" applyBorder="1" applyAlignment="1">
      <alignment/>
    </xf>
    <xf numFmtId="42" fontId="1" fillId="0" borderId="40" xfId="94" applyNumberFormat="1" applyFont="1" applyFill="1" applyBorder="1" applyAlignment="1">
      <alignment/>
    </xf>
    <xf numFmtId="0" fontId="1" fillId="0" borderId="40" xfId="68" applyNumberFormat="1" applyFill="1" applyBorder="1" applyAlignment="1">
      <alignment horizontal="center"/>
    </xf>
    <xf numFmtId="10" fontId="1" fillId="0" borderId="40" xfId="94" applyNumberFormat="1" applyBorder="1" applyAlignment="1">
      <alignment/>
    </xf>
    <xf numFmtId="42" fontId="2" fillId="0" borderId="20" xfId="94" applyNumberFormat="1" applyFont="1" applyBorder="1" applyAlignment="1">
      <alignment/>
    </xf>
    <xf numFmtId="10" fontId="1" fillId="0" borderId="2" xfId="94" applyNumberFormat="1" applyBorder="1" applyAlignment="1">
      <alignment/>
    </xf>
    <xf numFmtId="0" fontId="1" fillId="0" borderId="45" xfId="0" applyFont="1" applyFill="1" applyBorder="1" applyAlignment="1">
      <alignment horizontal="center"/>
    </xf>
    <xf numFmtId="10" fontId="1" fillId="0" borderId="40" xfId="94" applyNumberFormat="1" applyFill="1" applyBorder="1" applyAlignment="1">
      <alignment/>
    </xf>
    <xf numFmtId="42" fontId="2" fillId="0" borderId="20" xfId="94" applyNumberFormat="1" applyFont="1" applyFill="1" applyBorder="1" applyAlignment="1">
      <alignment/>
    </xf>
    <xf numFmtId="0" fontId="1" fillId="0" borderId="20" xfId="0" applyFont="1" applyFill="1" applyBorder="1" applyAlignment="1">
      <alignment horizontal="left"/>
    </xf>
    <xf numFmtId="0" fontId="1" fillId="0" borderId="40" xfId="0" applyFont="1" applyFill="1" applyBorder="1" applyAlignment="1">
      <alignment/>
    </xf>
    <xf numFmtId="10" fontId="1" fillId="0" borderId="46" xfId="94" applyNumberFormat="1" applyFill="1" applyBorder="1" applyAlignment="1">
      <alignment/>
    </xf>
    <xf numFmtId="0" fontId="1" fillId="0" borderId="40" xfId="0" applyFont="1" applyFill="1" applyBorder="1" applyAlignment="1">
      <alignment/>
    </xf>
    <xf numFmtId="42" fontId="1" fillId="0" borderId="46" xfId="94" applyNumberFormat="1" applyFont="1" applyBorder="1" applyAlignment="1">
      <alignment/>
    </xf>
    <xf numFmtId="10" fontId="1" fillId="0" borderId="46" xfId="94" applyNumberFormat="1" applyBorder="1" applyAlignment="1">
      <alignment/>
    </xf>
    <xf numFmtId="42" fontId="1" fillId="0" borderId="20" xfId="68" applyNumberFormat="1" applyFill="1" applyBorder="1" applyAlignment="1">
      <alignment horizontal="center"/>
    </xf>
    <xf numFmtId="42" fontId="1" fillId="0" borderId="23" xfId="94" applyNumberFormat="1" applyFont="1" applyFill="1" applyBorder="1" applyAlignment="1">
      <alignment/>
    </xf>
    <xf numFmtId="42" fontId="1" fillId="0" borderId="23" xfId="94" applyNumberFormat="1" applyBorder="1" applyAlignment="1">
      <alignment/>
    </xf>
    <xf numFmtId="42" fontId="89" fillId="0" borderId="22" xfId="94" applyNumberFormat="1" applyFont="1" applyBorder="1" applyAlignment="1">
      <alignment/>
    </xf>
    <xf numFmtId="42" fontId="89" fillId="0" borderId="24" xfId="94" applyNumberFormat="1" applyFont="1" applyBorder="1" applyAlignment="1">
      <alignment/>
    </xf>
    <xf numFmtId="42" fontId="1" fillId="0" borderId="25" xfId="94" applyNumberFormat="1" applyBorder="1" applyAlignment="1">
      <alignment/>
    </xf>
    <xf numFmtId="42" fontId="1" fillId="0" borderId="27" xfId="94" applyNumberFormat="1" applyBorder="1" applyAlignment="1">
      <alignment/>
    </xf>
    <xf numFmtId="0" fontId="14" fillId="0" borderId="0" xfId="0" applyFont="1" applyAlignment="1">
      <alignment wrapText="1"/>
    </xf>
    <xf numFmtId="165" fontId="1" fillId="0" borderId="0" xfId="94" applyFill="1" applyBorder="1" applyAlignment="1">
      <alignment/>
    </xf>
    <xf numFmtId="42" fontId="1" fillId="0" borderId="0" xfId="0" applyNumberFormat="1" applyFont="1" applyAlignment="1">
      <alignment/>
    </xf>
    <xf numFmtId="220" fontId="1" fillId="0" borderId="20" xfId="68" applyFill="1" applyBorder="1" applyAlignment="1">
      <alignment/>
    </xf>
    <xf numFmtId="220" fontId="1" fillId="0" borderId="20" xfId="68" applyFont="1" applyFill="1" applyBorder="1" applyAlignment="1">
      <alignment/>
    </xf>
    <xf numFmtId="42" fontId="1" fillId="0" borderId="21" xfId="94" applyNumberFormat="1" applyFont="1" applyBorder="1" applyAlignment="1">
      <alignment/>
    </xf>
    <xf numFmtId="220" fontId="61" fillId="0" borderId="20" xfId="68" applyFont="1" applyFill="1" applyBorder="1" applyAlignment="1">
      <alignment/>
    </xf>
    <xf numFmtId="0" fontId="0" fillId="0" borderId="40" xfId="0" applyFill="1" applyBorder="1" applyAlignment="1">
      <alignment/>
    </xf>
    <xf numFmtId="220" fontId="1" fillId="0" borderId="40" xfId="68" applyFill="1" applyBorder="1" applyAlignment="1">
      <alignment/>
    </xf>
    <xf numFmtId="220" fontId="1" fillId="0" borderId="20" xfId="68" applyFont="1" applyFill="1" applyBorder="1" applyAlignment="1">
      <alignment/>
    </xf>
    <xf numFmtId="220" fontId="1" fillId="0" borderId="23" xfId="68" applyFill="1" applyBorder="1" applyAlignment="1">
      <alignment/>
    </xf>
    <xf numFmtId="10" fontId="1" fillId="0" borderId="93" xfId="94" applyNumberFormat="1" applyBorder="1" applyAlignment="1">
      <alignment/>
    </xf>
    <xf numFmtId="42" fontId="89" fillId="0" borderId="23" xfId="94" applyNumberFormat="1" applyFont="1" applyBorder="1" applyAlignment="1">
      <alignment/>
    </xf>
    <xf numFmtId="42" fontId="89" fillId="0" borderId="63" xfId="94" applyNumberFormat="1" applyFont="1" applyBorder="1" applyAlignment="1">
      <alignment/>
    </xf>
    <xf numFmtId="220" fontId="1" fillId="0" borderId="26" xfId="68" applyBorder="1" applyAlignment="1">
      <alignment/>
    </xf>
    <xf numFmtId="10" fontId="1" fillId="0" borderId="26" xfId="94" applyNumberFormat="1" applyBorder="1" applyAlignment="1">
      <alignment/>
    </xf>
    <xf numFmtId="42" fontId="1" fillId="0" borderId="26" xfId="94" applyNumberFormat="1" applyBorder="1" applyAlignment="1">
      <alignment/>
    </xf>
    <xf numFmtId="42" fontId="1" fillId="0" borderId="28" xfId="94" applyNumberFormat="1" applyBorder="1" applyAlignment="1">
      <alignment/>
    </xf>
    <xf numFmtId="42" fontId="11" fillId="0" borderId="40" xfId="94" applyNumberFormat="1" applyFont="1" applyFill="1" applyBorder="1" applyAlignment="1">
      <alignment/>
    </xf>
    <xf numFmtId="0" fontId="28" fillId="0" borderId="0" xfId="0" applyFont="1" applyAlignment="1">
      <alignment horizontal="left"/>
    </xf>
    <xf numFmtId="0" fontId="2" fillId="0" borderId="18" xfId="121" applyFont="1" applyBorder="1" applyAlignment="1">
      <alignment horizontal="left"/>
      <protection/>
    </xf>
    <xf numFmtId="0" fontId="11" fillId="0" borderId="0" xfId="121" applyFont="1" applyAlignment="1" quotePrefix="1">
      <alignment horizontal="center"/>
      <protection/>
    </xf>
    <xf numFmtId="0" fontId="2" fillId="0" borderId="59" xfId="121" applyFont="1" applyBorder="1" applyAlignment="1">
      <alignment horizontal="left"/>
      <protection/>
    </xf>
    <xf numFmtId="165" fontId="2" fillId="22" borderId="37" xfId="88" applyFont="1" applyFill="1" applyBorder="1" applyAlignment="1">
      <alignment horizontal="left"/>
    </xf>
    <xf numFmtId="0" fontId="1" fillId="0" borderId="0" xfId="121" applyAlignment="1">
      <alignment wrapText="1"/>
      <protection/>
    </xf>
    <xf numFmtId="0" fontId="4" fillId="0" borderId="72" xfId="121" applyFont="1" applyBorder="1" applyAlignment="1">
      <alignment horizontal="left"/>
      <protection/>
    </xf>
    <xf numFmtId="165" fontId="2" fillId="22" borderId="35" xfId="88" applyFont="1" applyFill="1" applyBorder="1" applyAlignment="1">
      <alignment horizontal="left"/>
    </xf>
    <xf numFmtId="0" fontId="2" fillId="0" borderId="52" xfId="121" applyFont="1" applyBorder="1" applyAlignment="1">
      <alignment horizontal="left"/>
      <protection/>
    </xf>
    <xf numFmtId="0" fontId="2" fillId="0" borderId="53" xfId="121" applyFont="1" applyBorder="1" applyAlignment="1">
      <alignment horizontal="left"/>
      <protection/>
    </xf>
    <xf numFmtId="0" fontId="4" fillId="0" borderId="45" xfId="121" applyFont="1" applyBorder="1" applyAlignment="1">
      <alignment horizontal="left"/>
      <protection/>
    </xf>
    <xf numFmtId="0" fontId="4" fillId="0" borderId="40" xfId="121" applyFont="1" applyBorder="1" applyAlignment="1">
      <alignment horizontal="left"/>
      <protection/>
    </xf>
    <xf numFmtId="0" fontId="2" fillId="0" borderId="61" xfId="121" applyFont="1" applyBorder="1" applyAlignment="1">
      <alignment horizontal="left"/>
      <protection/>
    </xf>
    <xf numFmtId="0" fontId="2" fillId="0" borderId="22" xfId="121" applyFont="1" applyBorder="1" applyAlignment="1">
      <alignment horizontal="left"/>
      <protection/>
    </xf>
    <xf numFmtId="0" fontId="1" fillId="0" borderId="67" xfId="121" applyBorder="1" applyAlignment="1">
      <alignment/>
      <protection/>
    </xf>
    <xf numFmtId="0" fontId="2" fillId="0" borderId="67" xfId="121" applyFont="1" applyBorder="1" applyAlignment="1">
      <alignment/>
      <protection/>
    </xf>
    <xf numFmtId="0" fontId="1" fillId="0" borderId="91" xfId="121" applyBorder="1" applyAlignment="1">
      <alignment/>
      <protection/>
    </xf>
    <xf numFmtId="0" fontId="1" fillId="0" borderId="44" xfId="121" applyBorder="1" applyAlignment="1">
      <alignment/>
      <protection/>
    </xf>
    <xf numFmtId="0" fontId="1" fillId="0" borderId="39" xfId="121" applyBorder="1" applyAlignment="1">
      <alignment/>
      <protection/>
    </xf>
    <xf numFmtId="0" fontId="2" fillId="0" borderId="60" xfId="121" applyFont="1" applyBorder="1" applyAlignment="1">
      <alignment horizontal="left"/>
      <protection/>
    </xf>
    <xf numFmtId="0" fontId="2" fillId="0" borderId="20" xfId="121" applyFont="1" applyBorder="1" applyAlignment="1">
      <alignment horizontal="left"/>
      <protection/>
    </xf>
    <xf numFmtId="0" fontId="3" fillId="0" borderId="0" xfId="0" applyFont="1" applyAlignment="1">
      <alignment horizontal="center"/>
    </xf>
    <xf numFmtId="0" fontId="3" fillId="0" borderId="0" xfId="121" applyFont="1" applyAlignment="1">
      <alignment horizontal="center"/>
      <protection/>
    </xf>
    <xf numFmtId="0" fontId="1" fillId="0" borderId="0" xfId="121" applyAlignment="1">
      <alignment horizontal="left" vertical="top" wrapText="1"/>
      <protection/>
    </xf>
    <xf numFmtId="0" fontId="2" fillId="0" borderId="94" xfId="121" applyFont="1" applyBorder="1" applyAlignment="1">
      <alignment wrapText="1"/>
      <protection/>
    </xf>
    <xf numFmtId="0" fontId="1" fillId="0" borderId="81" xfId="121" applyBorder="1" applyAlignment="1">
      <alignment wrapText="1"/>
      <protection/>
    </xf>
    <xf numFmtId="0" fontId="1" fillId="0" borderId="44" xfId="121" applyBorder="1" applyAlignment="1">
      <alignment wrapText="1"/>
      <protection/>
    </xf>
    <xf numFmtId="0" fontId="1" fillId="0" borderId="39" xfId="121" applyBorder="1" applyAlignment="1">
      <alignment wrapText="1"/>
      <protection/>
    </xf>
    <xf numFmtId="0" fontId="2" fillId="0" borderId="60" xfId="121" applyFont="1" applyBorder="1" applyAlignment="1">
      <alignment wrapText="1"/>
      <protection/>
    </xf>
    <xf numFmtId="0" fontId="1" fillId="0" borderId="20" xfId="121" applyBorder="1" applyAlignment="1">
      <alignment wrapText="1"/>
      <protection/>
    </xf>
    <xf numFmtId="0" fontId="2" fillId="0" borderId="65" xfId="121" applyFont="1" applyBorder="1" applyAlignment="1">
      <alignment wrapText="1"/>
      <protection/>
    </xf>
    <xf numFmtId="0" fontId="1" fillId="0" borderId="33" xfId="121" applyBorder="1" applyAlignment="1">
      <alignment wrapText="1"/>
      <protection/>
    </xf>
    <xf numFmtId="0" fontId="2" fillId="0" borderId="95" xfId="121" applyFont="1" applyBorder="1" applyAlignment="1">
      <alignment horizontal="left"/>
      <protection/>
    </xf>
    <xf numFmtId="0" fontId="2" fillId="0" borderId="25" xfId="121" applyFont="1" applyBorder="1" applyAlignment="1">
      <alignment horizontal="left"/>
      <protection/>
    </xf>
    <xf numFmtId="0" fontId="2" fillId="0" borderId="35" xfId="121" applyFont="1" applyBorder="1" applyAlignment="1">
      <alignment horizontal="left"/>
      <protection/>
    </xf>
    <xf numFmtId="0" fontId="2" fillId="0" borderId="8" xfId="121" applyFont="1" applyBorder="1" applyAlignment="1">
      <alignment horizontal="left"/>
      <protection/>
    </xf>
    <xf numFmtId="0" fontId="2" fillId="0" borderId="37" xfId="121" applyFont="1" applyBorder="1" applyAlignment="1">
      <alignment horizontal="left"/>
      <protection/>
    </xf>
    <xf numFmtId="0" fontId="1" fillId="0" borderId="60" xfId="121" applyBorder="1" applyAlignment="1" quotePrefix="1">
      <alignment horizontal="center"/>
      <protection/>
    </xf>
    <xf numFmtId="0" fontId="1" fillId="0" borderId="20" xfId="121" applyBorder="1" applyAlignment="1" quotePrefix="1">
      <alignment horizontal="center"/>
      <protection/>
    </xf>
    <xf numFmtId="0" fontId="2" fillId="0" borderId="44" xfId="121" applyFont="1" applyBorder="1" applyAlignment="1">
      <alignment horizontal="left"/>
      <protection/>
    </xf>
    <xf numFmtId="0" fontId="2" fillId="0" borderId="39" xfId="121" applyFont="1" applyBorder="1" applyAlignment="1">
      <alignment horizontal="left"/>
      <protection/>
    </xf>
    <xf numFmtId="0" fontId="2" fillId="0" borderId="45" xfId="121" applyFont="1" applyBorder="1" applyAlignment="1">
      <alignment horizontal="left"/>
      <protection/>
    </xf>
    <xf numFmtId="0" fontId="2" fillId="0" borderId="46" xfId="121" applyFont="1" applyBorder="1" applyAlignment="1">
      <alignment horizontal="left"/>
      <protection/>
    </xf>
    <xf numFmtId="0" fontId="1" fillId="20" borderId="0" xfId="121" applyFont="1" applyFill="1" applyAlignment="1">
      <alignment horizontal="left"/>
      <protection/>
    </xf>
    <xf numFmtId="0" fontId="1" fillId="20" borderId="0" xfId="121" applyFill="1" applyAlignment="1">
      <alignment horizontal="left"/>
      <protection/>
    </xf>
    <xf numFmtId="0" fontId="1" fillId="20" borderId="0" xfId="121" applyFill="1" applyAlignment="1">
      <alignment wrapText="1"/>
      <protection/>
    </xf>
    <xf numFmtId="0" fontId="2" fillId="0" borderId="96" xfId="121" applyFont="1" applyBorder="1" applyAlignment="1">
      <alignment horizontal="left"/>
      <protection/>
    </xf>
    <xf numFmtId="0" fontId="2" fillId="0" borderId="97" xfId="121" applyFont="1" applyBorder="1" applyAlignment="1">
      <alignment horizontal="left"/>
      <protection/>
    </xf>
    <xf numFmtId="0" fontId="1" fillId="20" borderId="0" xfId="121" applyFont="1" applyFill="1" applyAlignment="1">
      <alignment horizontal="left" vertical="top" wrapText="1"/>
      <protection/>
    </xf>
    <xf numFmtId="0" fontId="1" fillId="20" borderId="0" xfId="121" applyFont="1" applyFill="1" applyAlignment="1">
      <alignment horizontal="left" vertical="center" wrapText="1"/>
      <protection/>
    </xf>
    <xf numFmtId="0" fontId="1" fillId="20" borderId="0" xfId="121" applyFill="1" applyAlignment="1">
      <alignment horizontal="left" vertical="center" wrapText="1"/>
      <protection/>
    </xf>
    <xf numFmtId="0" fontId="3" fillId="20" borderId="0" xfId="121" applyFont="1" applyFill="1" applyAlignment="1">
      <alignment horizontal="center"/>
      <protection/>
    </xf>
    <xf numFmtId="0" fontId="2" fillId="4" borderId="67" xfId="121" applyFont="1" applyFill="1" applyBorder="1" applyAlignment="1">
      <alignment horizontal="center" vertical="center" wrapText="1"/>
      <protection/>
    </xf>
    <xf numFmtId="0" fontId="2" fillId="4" borderId="44" xfId="121" applyFont="1" applyFill="1" applyBorder="1" applyAlignment="1">
      <alignment horizontal="center" vertical="center" wrapText="1"/>
      <protection/>
    </xf>
    <xf numFmtId="0" fontId="2" fillId="4" borderId="29" xfId="121" applyFont="1" applyFill="1" applyBorder="1" applyAlignment="1">
      <alignment horizontal="center" vertical="center" wrapText="1"/>
      <protection/>
    </xf>
    <xf numFmtId="0" fontId="2" fillId="4" borderId="31" xfId="121" applyFont="1" applyFill="1" applyBorder="1" applyAlignment="1">
      <alignment horizontal="center" vertical="center" wrapText="1"/>
      <protection/>
    </xf>
    <xf numFmtId="0" fontId="2" fillId="0" borderId="85" xfId="121" applyFont="1" applyBorder="1" applyAlignment="1">
      <alignment horizontal="left"/>
      <protection/>
    </xf>
    <xf numFmtId="0" fontId="2" fillId="0" borderId="43" xfId="121" applyFont="1" applyBorder="1" applyAlignment="1">
      <alignment horizontal="left"/>
      <protection/>
    </xf>
    <xf numFmtId="0" fontId="2" fillId="20" borderId="41" xfId="121" applyFont="1" applyFill="1" applyBorder="1" applyAlignment="1">
      <alignment horizontal="center" vertical="top" wrapText="1"/>
      <protection/>
    </xf>
    <xf numFmtId="0" fontId="2" fillId="20" borderId="43" xfId="121" applyFont="1" applyFill="1" applyBorder="1" applyAlignment="1">
      <alignment horizontal="center" vertical="top" wrapText="1"/>
      <protection/>
    </xf>
    <xf numFmtId="0" fontId="4" fillId="0" borderId="44" xfId="121" applyFont="1" applyBorder="1" applyAlignment="1">
      <alignment horizontal="left"/>
      <protection/>
    </xf>
    <xf numFmtId="0" fontId="4" fillId="0" borderId="1" xfId="121" applyFont="1" applyBorder="1" applyAlignment="1">
      <alignment horizontal="left"/>
      <protection/>
    </xf>
    <xf numFmtId="0" fontId="2" fillId="20" borderId="86" xfId="121" applyFont="1" applyFill="1" applyBorder="1" applyAlignment="1">
      <alignment horizontal="left"/>
      <protection/>
    </xf>
    <xf numFmtId="0" fontId="2" fillId="20" borderId="87" xfId="121" applyFont="1" applyFill="1" applyBorder="1" applyAlignment="1">
      <alignment horizontal="left"/>
      <protection/>
    </xf>
    <xf numFmtId="0" fontId="2" fillId="20" borderId="86" xfId="121" applyFont="1" applyFill="1" applyBorder="1" applyAlignment="1">
      <alignment horizontal="center" vertical="top" wrapText="1"/>
      <protection/>
    </xf>
    <xf numFmtId="0" fontId="2" fillId="20" borderId="87" xfId="121" applyFont="1" applyFill="1" applyBorder="1" applyAlignment="1">
      <alignment horizontal="center" vertical="top" wrapText="1"/>
      <protection/>
    </xf>
    <xf numFmtId="0" fontId="3" fillId="0" borderId="0" xfId="121" applyFont="1" applyAlignment="1">
      <alignment horizontal="center" vertical="top"/>
      <protection/>
    </xf>
    <xf numFmtId="0" fontId="2" fillId="20" borderId="98" xfId="0" applyFont="1" applyFill="1" applyBorder="1" applyAlignment="1">
      <alignment vertical="center"/>
    </xf>
    <xf numFmtId="0" fontId="2" fillId="20" borderId="66" xfId="0" applyFont="1" applyFill="1" applyBorder="1" applyAlignment="1">
      <alignment vertical="center"/>
    </xf>
    <xf numFmtId="0" fontId="2" fillId="20" borderId="29" xfId="0" applyFont="1" applyFill="1" applyBorder="1" applyAlignment="1">
      <alignment vertical="center"/>
    </xf>
    <xf numFmtId="0" fontId="2" fillId="20" borderId="31" xfId="0" applyFont="1" applyFill="1" applyBorder="1" applyAlignment="1">
      <alignment vertical="center"/>
    </xf>
    <xf numFmtId="0" fontId="28" fillId="0" borderId="0" xfId="0" applyFont="1" applyAlignment="1">
      <alignment wrapText="1"/>
    </xf>
    <xf numFmtId="0" fontId="0" fillId="0" borderId="0" xfId="0" applyAlignment="1">
      <alignment wrapText="1"/>
    </xf>
    <xf numFmtId="0" fontId="1" fillId="0" borderId="0" xfId="0" applyFont="1" applyAlignment="1">
      <alignment wrapText="1"/>
    </xf>
    <xf numFmtId="0" fontId="5" fillId="20" borderId="86" xfId="0" applyFont="1" applyFill="1" applyBorder="1" applyAlignment="1">
      <alignment horizontal="center" vertical="center" wrapText="1"/>
    </xf>
    <xf numFmtId="0" fontId="61" fillId="20" borderId="99" xfId="0" applyFont="1" applyFill="1" applyBorder="1" applyAlignment="1">
      <alignment horizontal="center"/>
    </xf>
    <xf numFmtId="0" fontId="28" fillId="0" borderId="0" xfId="0" applyFont="1" applyAlignment="1">
      <alignment horizontal="left" wrapText="1"/>
    </xf>
    <xf numFmtId="0" fontId="0" fillId="0" borderId="0" xfId="0" applyAlignment="1">
      <alignment horizontal="left" wrapText="1"/>
    </xf>
    <xf numFmtId="0" fontId="2" fillId="20" borderId="98" xfId="0" applyFont="1" applyFill="1" applyBorder="1" applyAlignment="1">
      <alignment vertical="center" wrapText="1"/>
    </xf>
    <xf numFmtId="0" fontId="2" fillId="20" borderId="66" xfId="0" applyFont="1" applyFill="1" applyBorder="1" applyAlignment="1">
      <alignment vertical="center" wrapText="1"/>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8" fillId="0" borderId="0" xfId="0" applyFont="1" applyAlignment="1">
      <alignment vertical="top" wrapText="1"/>
    </xf>
    <xf numFmtId="0" fontId="2" fillId="0" borderId="29" xfId="0" applyFont="1" applyFill="1" applyBorder="1" applyAlignment="1">
      <alignment vertical="center"/>
    </xf>
    <xf numFmtId="0" fontId="2" fillId="0" borderId="31" xfId="0" applyFont="1" applyFill="1" applyBorder="1" applyAlignment="1">
      <alignment vertical="center"/>
    </xf>
    <xf numFmtId="0" fontId="1" fillId="0" borderId="0" xfId="0" applyFont="1" applyAlignment="1">
      <alignment vertical="top" wrapText="1"/>
    </xf>
    <xf numFmtId="0" fontId="2" fillId="20" borderId="29" xfId="0" applyFont="1" applyFill="1" applyBorder="1" applyAlignment="1">
      <alignment horizontal="center" vertical="center"/>
    </xf>
    <xf numFmtId="0" fontId="2" fillId="20" borderId="31" xfId="0" applyFont="1" applyFill="1" applyBorder="1" applyAlignment="1">
      <alignment horizontal="center" vertical="center"/>
    </xf>
    <xf numFmtId="49" fontId="2" fillId="32" borderId="2" xfId="121" applyNumberFormat="1" applyFont="1" applyFill="1" applyBorder="1" applyAlignment="1" applyProtection="1">
      <alignment horizontal="center"/>
      <protection/>
    </xf>
    <xf numFmtId="49" fontId="2" fillId="32" borderId="40" xfId="121" applyNumberFormat="1" applyFont="1" applyFill="1" applyBorder="1" applyAlignment="1" applyProtection="1">
      <alignment horizontal="center"/>
      <protection/>
    </xf>
    <xf numFmtId="49" fontId="2" fillId="32" borderId="46" xfId="121" applyNumberFormat="1" applyFont="1" applyFill="1" applyBorder="1" applyAlignment="1" applyProtection="1">
      <alignment horizontal="center"/>
      <protection/>
    </xf>
    <xf numFmtId="0" fontId="2" fillId="0" borderId="0" xfId="121" applyFont="1" applyBorder="1" applyAlignment="1" applyProtection="1">
      <alignment horizontal="right" wrapText="1"/>
      <protection/>
    </xf>
    <xf numFmtId="0" fontId="1" fillId="0" borderId="1" xfId="121" applyBorder="1" applyAlignment="1">
      <alignment wrapText="1"/>
      <protection/>
    </xf>
    <xf numFmtId="0" fontId="2" fillId="0" borderId="1" xfId="121" applyFont="1" applyBorder="1" applyAlignment="1" applyProtection="1">
      <alignment horizontal="center" vertical="center"/>
      <protection/>
    </xf>
    <xf numFmtId="0" fontId="11" fillId="22" borderId="0" xfId="121" applyFont="1" applyFill="1" applyAlignment="1" applyProtection="1">
      <alignment horizontal="center" vertical="center"/>
      <protection/>
    </xf>
    <xf numFmtId="0" fontId="1" fillId="0" borderId="60" xfId="121" applyBorder="1" applyAlignment="1">
      <alignment horizontal="left"/>
      <protection/>
    </xf>
    <xf numFmtId="0" fontId="1" fillId="0" borderId="20" xfId="121" applyBorder="1" applyAlignment="1">
      <alignment horizontal="left"/>
      <protection/>
    </xf>
    <xf numFmtId="0" fontId="1" fillId="0" borderId="60" xfId="121" applyBorder="1" applyAlignment="1">
      <alignment horizontal="left" wrapText="1"/>
      <protection/>
    </xf>
    <xf numFmtId="0" fontId="1" fillId="0" borderId="20" xfId="121" applyBorder="1" applyAlignment="1">
      <alignment horizontal="left" wrapText="1"/>
      <protection/>
    </xf>
    <xf numFmtId="0" fontId="1" fillId="0" borderId="65" xfId="121" applyFill="1" applyBorder="1" applyAlignment="1">
      <alignment horizontal="left"/>
      <protection/>
    </xf>
    <xf numFmtId="0" fontId="1" fillId="0" borderId="33" xfId="121" applyFill="1" applyBorder="1" applyAlignment="1">
      <alignment horizontal="left"/>
      <protection/>
    </xf>
    <xf numFmtId="0" fontId="1" fillId="0" borderId="0" xfId="121" applyFill="1">
      <alignment/>
      <protection/>
    </xf>
    <xf numFmtId="0" fontId="1" fillId="0" borderId="0" xfId="121" applyAlignment="1">
      <alignment horizontal="left" vertical="center" wrapText="1"/>
      <protection/>
    </xf>
    <xf numFmtId="0" fontId="1" fillId="0" borderId="0" xfId="121" applyFont="1" applyAlignment="1">
      <alignment horizontal="left"/>
      <protection/>
    </xf>
    <xf numFmtId="0" fontId="2" fillId="0" borderId="0" xfId="121" applyFont="1">
      <alignment/>
      <protection/>
    </xf>
    <xf numFmtId="0" fontId="2" fillId="0" borderId="67" xfId="121" applyFont="1" applyBorder="1" applyAlignment="1">
      <alignment horizontal="center" vertical="center"/>
      <protection/>
    </xf>
    <xf numFmtId="0" fontId="2" fillId="0" borderId="91" xfId="121" applyFont="1" applyBorder="1" applyAlignment="1">
      <alignment horizontal="center" vertical="center"/>
      <protection/>
    </xf>
    <xf numFmtId="0" fontId="2" fillId="0" borderId="47" xfId="121" applyFont="1" applyFill="1" applyBorder="1" applyAlignment="1">
      <alignment horizontal="center" vertical="center" wrapText="1"/>
      <protection/>
    </xf>
    <xf numFmtId="0" fontId="2" fillId="0" borderId="48" xfId="121" applyFont="1" applyFill="1" applyBorder="1" applyAlignment="1">
      <alignment horizontal="center" vertical="center" wrapText="1"/>
      <protection/>
    </xf>
    <xf numFmtId="0" fontId="2" fillId="0" borderId="44" xfId="121" applyFont="1" applyFill="1" applyBorder="1" applyAlignment="1">
      <alignment horizontal="center" vertical="center" wrapText="1"/>
      <protection/>
    </xf>
    <xf numFmtId="0" fontId="2" fillId="0" borderId="39" xfId="121" applyFont="1" applyFill="1" applyBorder="1" applyAlignment="1">
      <alignment horizontal="center" vertical="center" wrapText="1"/>
      <protection/>
    </xf>
    <xf numFmtId="0" fontId="2" fillId="0" borderId="84" xfId="121" applyFont="1" applyBorder="1" applyAlignment="1">
      <alignment horizontal="center" vertical="center"/>
      <protection/>
    </xf>
    <xf numFmtId="0" fontId="2" fillId="0" borderId="85" xfId="121" applyFont="1" applyBorder="1" applyAlignment="1">
      <alignment horizontal="center" vertical="center"/>
      <protection/>
    </xf>
    <xf numFmtId="0" fontId="2" fillId="0" borderId="42" xfId="121" applyFont="1" applyBorder="1" applyAlignment="1">
      <alignment horizontal="center" vertical="center"/>
      <protection/>
    </xf>
    <xf numFmtId="0" fontId="2" fillId="0" borderId="30" xfId="121" applyFont="1" applyBorder="1" applyAlignment="1">
      <alignment horizontal="center" vertical="center"/>
      <protection/>
    </xf>
    <xf numFmtId="0" fontId="2" fillId="0" borderId="32" xfId="121" applyFont="1" applyBorder="1" applyAlignment="1">
      <alignment horizontal="center" vertical="center"/>
      <protection/>
    </xf>
    <xf numFmtId="0" fontId="61" fillId="0" borderId="0" xfId="121" applyFont="1" applyAlignment="1">
      <alignment vertical="top" wrapText="1"/>
      <protection/>
    </xf>
    <xf numFmtId="0" fontId="1" fillId="0" borderId="0" xfId="121" applyFont="1" applyAlignment="1">
      <alignment vertical="top" wrapText="1"/>
      <protection/>
    </xf>
    <xf numFmtId="0" fontId="56" fillId="0" borderId="0" xfId="121" applyFont="1">
      <alignment/>
      <protection/>
    </xf>
    <xf numFmtId="0" fontId="1" fillId="0" borderId="2" xfId="121" applyBorder="1" applyAlignment="1">
      <alignment horizontal="left"/>
      <protection/>
    </xf>
    <xf numFmtId="0" fontId="1" fillId="0" borderId="65" xfId="121" applyBorder="1" applyAlignment="1">
      <alignment horizontal="left" vertical="top" wrapText="1"/>
      <protection/>
    </xf>
    <xf numFmtId="0" fontId="1" fillId="0" borderId="100" xfId="121" applyBorder="1" applyAlignment="1">
      <alignment horizontal="left" vertical="top" wrapText="1"/>
      <protection/>
    </xf>
    <xf numFmtId="0" fontId="1" fillId="0" borderId="45" xfId="121" applyBorder="1">
      <alignment/>
      <protection/>
    </xf>
    <xf numFmtId="0" fontId="1" fillId="0" borderId="40" xfId="121" applyBorder="1">
      <alignment/>
      <protection/>
    </xf>
    <xf numFmtId="0" fontId="1" fillId="0" borderId="66" xfId="121" applyBorder="1" applyAlignment="1">
      <alignment horizontal="left"/>
      <protection/>
    </xf>
    <xf numFmtId="0" fontId="1" fillId="0" borderId="83" xfId="121" applyBorder="1" applyAlignment="1">
      <alignment horizontal="left"/>
      <protection/>
    </xf>
    <xf numFmtId="0" fontId="1" fillId="0" borderId="60" xfId="121" applyBorder="1" applyAlignment="1">
      <alignment horizontal="left" vertical="top" wrapText="1"/>
      <protection/>
    </xf>
    <xf numFmtId="0" fontId="1" fillId="0" borderId="2" xfId="121" applyBorder="1" applyAlignment="1">
      <alignment horizontal="left" vertical="top" wrapText="1"/>
      <protection/>
    </xf>
    <xf numFmtId="0" fontId="2" fillId="0" borderId="67" xfId="121" applyFont="1" applyBorder="1">
      <alignment/>
      <protection/>
    </xf>
    <xf numFmtId="0" fontId="2" fillId="0" borderId="5" xfId="121" applyFont="1" applyBorder="1">
      <alignment/>
      <protection/>
    </xf>
    <xf numFmtId="0" fontId="2" fillId="0" borderId="47" xfId="121" applyFont="1" applyBorder="1">
      <alignment/>
      <protection/>
    </xf>
    <xf numFmtId="0" fontId="2" fillId="0" borderId="0" xfId="121" applyFont="1" applyBorder="1">
      <alignment/>
      <protection/>
    </xf>
    <xf numFmtId="0" fontId="2" fillId="0" borderId="44" xfId="121" applyFont="1" applyBorder="1">
      <alignment/>
      <protection/>
    </xf>
    <xf numFmtId="0" fontId="2" fillId="0" borderId="1" xfId="121" applyFont="1" applyBorder="1">
      <alignment/>
      <protection/>
    </xf>
    <xf numFmtId="0" fontId="2" fillId="0" borderId="68" xfId="121" applyFont="1" applyBorder="1" applyAlignment="1">
      <alignment horizontal="center" vertical="center"/>
      <protection/>
    </xf>
    <xf numFmtId="0" fontId="2" fillId="0" borderId="70" xfId="121" applyFont="1" applyBorder="1" applyAlignment="1">
      <alignment horizontal="center" vertical="center"/>
      <protection/>
    </xf>
    <xf numFmtId="0" fontId="2" fillId="0" borderId="71" xfId="121" applyFont="1" applyBorder="1" applyAlignment="1">
      <alignment horizontal="center" vertical="center"/>
      <protection/>
    </xf>
    <xf numFmtId="0" fontId="2" fillId="0" borderId="20" xfId="121" applyFont="1" applyFill="1" applyBorder="1" applyAlignment="1">
      <alignment horizontal="center" vertical="center" wrapText="1"/>
      <protection/>
    </xf>
    <xf numFmtId="0" fontId="2" fillId="0" borderId="20" xfId="121" applyFont="1" applyBorder="1">
      <alignment/>
      <protection/>
    </xf>
    <xf numFmtId="0" fontId="1" fillId="0" borderId="0" xfId="121" applyFont="1" applyFill="1" applyAlignment="1">
      <alignment vertical="top" wrapText="1"/>
      <protection/>
    </xf>
    <xf numFmtId="0" fontId="2" fillId="0" borderId="64" xfId="121" applyFont="1" applyBorder="1" applyAlignment="1">
      <alignment horizontal="left"/>
      <protection/>
    </xf>
    <xf numFmtId="0" fontId="2" fillId="0" borderId="26" xfId="121" applyFont="1" applyBorder="1" applyAlignment="1">
      <alignment horizontal="left"/>
      <protection/>
    </xf>
    <xf numFmtId="0" fontId="1" fillId="0" borderId="0" xfId="121">
      <alignment/>
      <protection/>
    </xf>
    <xf numFmtId="0" fontId="2" fillId="0" borderId="32" xfId="121" applyFont="1" applyFill="1" applyBorder="1" applyAlignment="1">
      <alignment horizontal="center" vertical="center" wrapText="1"/>
      <protection/>
    </xf>
    <xf numFmtId="0" fontId="2" fillId="0" borderId="21" xfId="121" applyFont="1" applyFill="1" applyBorder="1" applyAlignment="1">
      <alignment horizontal="center" vertical="center" wrapText="1"/>
      <protection/>
    </xf>
    <xf numFmtId="0" fontId="2" fillId="0" borderId="66" xfId="121" applyFont="1" applyFill="1" applyBorder="1" applyAlignment="1">
      <alignment vertical="top" wrapText="1"/>
      <protection/>
    </xf>
    <xf numFmtId="0" fontId="2" fillId="0" borderId="31" xfId="121" applyFont="1" applyFill="1" applyBorder="1" applyAlignment="1">
      <alignment vertical="top" wrapText="1"/>
      <protection/>
    </xf>
    <xf numFmtId="0" fontId="2" fillId="0" borderId="60" xfId="121" applyFont="1" applyFill="1" applyBorder="1" applyAlignment="1">
      <alignment vertical="top" wrapText="1"/>
      <protection/>
    </xf>
    <xf numFmtId="0" fontId="2" fillId="0" borderId="20" xfId="121" applyFont="1" applyFill="1" applyBorder="1" applyAlignment="1">
      <alignment vertical="top" wrapText="1"/>
      <protection/>
    </xf>
    <xf numFmtId="0" fontId="2" fillId="0" borderId="31" xfId="121" applyFont="1" applyFill="1" applyBorder="1" applyAlignment="1">
      <alignment horizontal="center" vertical="center" wrapText="1"/>
      <protection/>
    </xf>
    <xf numFmtId="0" fontId="2" fillId="0" borderId="0" xfId="121" applyFont="1" applyAlignment="1">
      <alignment horizontal="left" wrapText="1"/>
      <protection/>
    </xf>
    <xf numFmtId="0" fontId="2" fillId="0" borderId="98" xfId="121" applyFont="1" applyFill="1" applyBorder="1" applyAlignment="1">
      <alignment horizontal="left"/>
      <protection/>
    </xf>
    <xf numFmtId="0" fontId="2" fillId="0" borderId="29" xfId="121" applyFont="1" applyFill="1" applyBorder="1" applyAlignment="1">
      <alignment horizontal="left"/>
      <protection/>
    </xf>
    <xf numFmtId="0" fontId="1" fillId="0" borderId="0" xfId="121" applyFont="1" applyAlignment="1">
      <alignment wrapText="1"/>
      <protection/>
    </xf>
    <xf numFmtId="0" fontId="1" fillId="0" borderId="0" xfId="121" applyFont="1" applyFill="1" applyAlignment="1">
      <alignment horizontal="left" vertical="top" wrapText="1"/>
      <protection/>
    </xf>
    <xf numFmtId="0" fontId="1" fillId="0" borderId="20" xfId="121" applyBorder="1" applyAlignment="1">
      <alignment horizontal="left" vertical="top" wrapText="1"/>
      <protection/>
    </xf>
    <xf numFmtId="0" fontId="2" fillId="0" borderId="65" xfId="121" applyFont="1" applyBorder="1" applyAlignment="1">
      <alignment horizontal="left"/>
      <protection/>
    </xf>
    <xf numFmtId="0" fontId="2" fillId="0" borderId="33" xfId="121" applyFont="1" applyBorder="1" applyAlignment="1">
      <alignment horizontal="left"/>
      <protection/>
    </xf>
    <xf numFmtId="0" fontId="1" fillId="4" borderId="60" xfId="121" applyFill="1" applyBorder="1" applyAlignment="1">
      <alignment horizontal="left" wrapText="1"/>
      <protection/>
    </xf>
    <xf numFmtId="0" fontId="1" fillId="4" borderId="20" xfId="121" applyFill="1" applyBorder="1" applyAlignment="1">
      <alignment horizontal="left" wrapText="1"/>
      <protection/>
    </xf>
    <xf numFmtId="0" fontId="2" fillId="0" borderId="41" xfId="121" applyFont="1" applyFill="1" applyBorder="1" applyAlignment="1">
      <alignment horizontal="left" vertical="center" wrapText="1"/>
      <protection/>
    </xf>
    <xf numFmtId="0" fontId="2" fillId="0" borderId="42" xfId="121" applyFont="1" applyFill="1" applyBorder="1" applyAlignment="1">
      <alignment horizontal="left" vertical="center" wrapText="1"/>
      <protection/>
    </xf>
    <xf numFmtId="0" fontId="57" fillId="0" borderId="0" xfId="121" applyFont="1" applyAlignment="1">
      <alignment horizontal="left"/>
      <protection/>
    </xf>
    <xf numFmtId="0" fontId="34" fillId="0" borderId="0" xfId="121" applyFont="1" applyAlignment="1">
      <alignment horizontal="center"/>
      <protection/>
    </xf>
    <xf numFmtId="0" fontId="1" fillId="0" borderId="59" xfId="121" applyFill="1" applyBorder="1" applyAlignment="1">
      <alignment horizontal="center"/>
      <protection/>
    </xf>
    <xf numFmtId="0" fontId="1" fillId="0" borderId="18" xfId="121" applyFill="1" applyBorder="1" applyAlignment="1">
      <alignment horizontal="center"/>
      <protection/>
    </xf>
    <xf numFmtId="0" fontId="1" fillId="0" borderId="60" xfId="121" applyFill="1" applyBorder="1" applyAlignment="1">
      <alignment horizontal="center"/>
      <protection/>
    </xf>
    <xf numFmtId="0" fontId="1" fillId="0" borderId="20" xfId="121" applyFill="1" applyBorder="1" applyAlignment="1">
      <alignment horizontal="center"/>
      <protection/>
    </xf>
    <xf numFmtId="0" fontId="2" fillId="0" borderId="30" xfId="121" applyFont="1" applyFill="1" applyBorder="1" applyAlignment="1">
      <alignment horizontal="center" vertical="center" wrapText="1"/>
      <protection/>
    </xf>
    <xf numFmtId="0" fontId="1" fillId="0" borderId="32" xfId="121" applyFill="1" applyBorder="1" applyAlignment="1">
      <alignment horizontal="center" vertical="center" wrapText="1"/>
      <protection/>
    </xf>
    <xf numFmtId="0" fontId="2"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57" fillId="0" borderId="0" xfId="0" applyFont="1" applyAlignment="1">
      <alignment vertical="top" wrapText="1"/>
    </xf>
    <xf numFmtId="0" fontId="1" fillId="0" borderId="0" xfId="0" applyFont="1" applyAlignment="1">
      <alignment vertical="top" wrapText="1"/>
    </xf>
    <xf numFmtId="0" fontId="84" fillId="0" borderId="0" xfId="0" applyFont="1" applyAlignment="1">
      <alignment vertical="top" wrapText="1"/>
    </xf>
    <xf numFmtId="0" fontId="2" fillId="0" borderId="0" xfId="0" applyFont="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wrapText="1"/>
    </xf>
    <xf numFmtId="0" fontId="2" fillId="0" borderId="0" xfId="0" applyFont="1" applyAlignment="1">
      <alignment horizontal="left" wrapText="1"/>
    </xf>
    <xf numFmtId="0" fontId="0" fillId="4" borderId="94" xfId="0" applyFill="1" applyBorder="1" applyAlignment="1">
      <alignment horizontal="left" wrapText="1"/>
    </xf>
    <xf numFmtId="0" fontId="0" fillId="4" borderId="80" xfId="0" applyFill="1" applyBorder="1" applyAlignment="1">
      <alignment horizontal="left" wrapText="1"/>
    </xf>
    <xf numFmtId="0" fontId="0" fillId="4" borderId="81" xfId="0" applyFill="1" applyBorder="1" applyAlignment="1">
      <alignment horizontal="left" wrapText="1"/>
    </xf>
    <xf numFmtId="0" fontId="2" fillId="0" borderId="35" xfId="0" applyFont="1" applyBorder="1" applyAlignment="1">
      <alignment horizontal="left" wrapText="1"/>
    </xf>
    <xf numFmtId="0" fontId="2" fillId="0" borderId="8" xfId="0" applyFont="1" applyBorder="1" applyAlignment="1">
      <alignment horizontal="left" wrapText="1"/>
    </xf>
    <xf numFmtId="0" fontId="2" fillId="0" borderId="37" xfId="0" applyFont="1" applyBorder="1" applyAlignment="1">
      <alignment horizontal="left" wrapText="1"/>
    </xf>
    <xf numFmtId="0" fontId="2" fillId="0" borderId="0" xfId="0" applyFont="1" applyFill="1" applyAlignment="1">
      <alignment horizontal="left" vertical="center" wrapText="1"/>
    </xf>
    <xf numFmtId="0" fontId="0" fillId="0" borderId="45" xfId="0" applyBorder="1" applyAlignment="1">
      <alignment horizontal="left" wrapText="1"/>
    </xf>
    <xf numFmtId="0" fontId="0" fillId="0" borderId="40"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0" fillId="0" borderId="0" xfId="0" applyBorder="1" applyAlignment="1">
      <alignment horizontal="left" wrapText="1"/>
    </xf>
    <xf numFmtId="0" fontId="0" fillId="0" borderId="48" xfId="0" applyBorder="1" applyAlignment="1">
      <alignment horizontal="left" wrapText="1"/>
    </xf>
    <xf numFmtId="0" fontId="0" fillId="0" borderId="94" xfId="0" applyBorder="1" applyAlignment="1">
      <alignment horizontal="left" wrapText="1"/>
    </xf>
    <xf numFmtId="0" fontId="0" fillId="0" borderId="80" xfId="0" applyBorder="1" applyAlignment="1">
      <alignment horizontal="left" wrapText="1"/>
    </xf>
    <xf numFmtId="0" fontId="0" fillId="0" borderId="81" xfId="0" applyBorder="1" applyAlignment="1">
      <alignment horizontal="left" wrapText="1"/>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86" xfId="121" applyFont="1" applyFill="1" applyBorder="1" applyAlignment="1">
      <alignment horizontal="center" vertical="center" wrapText="1"/>
      <protection/>
    </xf>
    <xf numFmtId="0" fontId="2" fillId="0" borderId="87" xfId="121" applyFont="1" applyFill="1" applyBorder="1" applyAlignment="1">
      <alignment horizontal="center" vertical="center" wrapText="1"/>
      <protection/>
    </xf>
    <xf numFmtId="0" fontId="2" fillId="0" borderId="35" xfId="121" applyFont="1" applyFill="1" applyBorder="1" applyAlignment="1">
      <alignment horizontal="center" vertical="center" wrapText="1"/>
      <protection/>
    </xf>
    <xf numFmtId="0" fontId="2" fillId="0" borderId="8" xfId="121" applyFont="1" applyFill="1" applyBorder="1" applyAlignment="1">
      <alignment horizontal="center" vertical="center" wrapText="1"/>
      <protection/>
    </xf>
    <xf numFmtId="0" fontId="2" fillId="0" borderId="69" xfId="121" applyFont="1" applyFill="1" applyBorder="1" applyAlignment="1">
      <alignment horizontal="center" vertical="center" wrapText="1"/>
      <protection/>
    </xf>
    <xf numFmtId="0" fontId="2" fillId="0" borderId="8" xfId="121" applyFont="1" applyFill="1" applyBorder="1" applyAlignment="1">
      <alignment horizontal="center" vertical="center"/>
      <protection/>
    </xf>
    <xf numFmtId="0" fontId="2" fillId="0" borderId="69" xfId="121" applyFont="1" applyFill="1" applyBorder="1" applyAlignment="1">
      <alignment horizontal="center" vertical="center"/>
      <protection/>
    </xf>
    <xf numFmtId="0" fontId="2" fillId="0" borderId="35" xfId="121" applyFont="1" applyFill="1" applyBorder="1" applyAlignment="1">
      <alignment horizontal="center" vertical="center"/>
      <protection/>
    </xf>
    <xf numFmtId="0" fontId="2" fillId="0" borderId="68" xfId="121" applyFont="1" applyFill="1" applyBorder="1" applyAlignment="1">
      <alignment horizontal="center" vertical="center" wrapText="1"/>
      <protection/>
    </xf>
    <xf numFmtId="0" fontId="2" fillId="0" borderId="54" xfId="121" applyFont="1" applyFill="1" applyBorder="1" applyAlignment="1">
      <alignment horizontal="center" vertical="center" wrapText="1"/>
      <protection/>
    </xf>
    <xf numFmtId="0" fontId="2" fillId="0" borderId="6" xfId="121" applyFont="1" applyFill="1" applyBorder="1" applyAlignment="1">
      <alignment horizontal="center" vertical="center"/>
      <protection/>
    </xf>
    <xf numFmtId="0" fontId="2" fillId="0" borderId="54" xfId="121" applyFont="1" applyFill="1" applyBorder="1" applyAlignment="1">
      <alignment horizontal="center" vertical="center"/>
      <protection/>
    </xf>
    <xf numFmtId="0" fontId="2" fillId="0" borderId="0" xfId="121" applyFont="1" applyAlignment="1" applyProtection="1">
      <alignment horizontal="center" wrapText="1"/>
      <protection/>
    </xf>
    <xf numFmtId="0" fontId="1" fillId="0" borderId="0" xfId="121" applyFont="1" applyAlignment="1">
      <alignment horizontal="center" wrapText="1"/>
      <protection/>
    </xf>
    <xf numFmtId="0" fontId="2" fillId="0" borderId="77" xfId="121" applyFont="1" applyFill="1" applyBorder="1" applyAlignment="1" applyProtection="1">
      <alignment horizontal="center" wrapText="1"/>
      <protection/>
    </xf>
    <xf numFmtId="0" fontId="1" fillId="0" borderId="31" xfId="121" applyFont="1" applyBorder="1" applyAlignment="1">
      <alignment wrapText="1"/>
      <protection/>
    </xf>
    <xf numFmtId="0" fontId="2" fillId="0" borderId="48" xfId="121" applyFont="1" applyFill="1" applyBorder="1" applyAlignment="1" applyProtection="1">
      <alignment horizontal="center" wrapText="1"/>
      <protection/>
    </xf>
    <xf numFmtId="0" fontId="1" fillId="0" borderId="39" xfId="121" applyFont="1" applyBorder="1" applyAlignment="1">
      <alignment wrapText="1"/>
      <protection/>
    </xf>
    <xf numFmtId="0" fontId="1" fillId="4" borderId="79" xfId="121" applyFill="1" applyBorder="1" applyAlignment="1" applyProtection="1">
      <alignment vertical="top" wrapText="1"/>
      <protection locked="0"/>
    </xf>
    <xf numFmtId="0" fontId="1" fillId="4" borderId="80" xfId="121" applyFill="1" applyBorder="1" applyAlignment="1" applyProtection="1">
      <alignment vertical="top" wrapText="1"/>
      <protection locked="0"/>
    </xf>
    <xf numFmtId="0" fontId="1" fillId="4" borderId="81" xfId="121" applyFill="1" applyBorder="1" applyAlignment="1" applyProtection="1">
      <alignment vertical="top" wrapText="1"/>
      <protection locked="0"/>
    </xf>
    <xf numFmtId="0" fontId="1" fillId="4" borderId="7" xfId="121" applyFill="1" applyBorder="1" applyAlignment="1" applyProtection="1">
      <alignment vertical="top" wrapText="1"/>
      <protection locked="0"/>
    </xf>
    <xf numFmtId="0" fontId="1" fillId="4" borderId="0" xfId="121" applyFill="1" applyBorder="1" applyAlignment="1" applyProtection="1">
      <alignment vertical="top" wrapText="1"/>
      <protection locked="0"/>
    </xf>
    <xf numFmtId="0" fontId="1" fillId="4" borderId="48" xfId="121" applyFill="1" applyBorder="1" applyAlignment="1" applyProtection="1">
      <alignment vertical="top" wrapText="1"/>
      <protection locked="0"/>
    </xf>
    <xf numFmtId="0" fontId="1" fillId="4" borderId="83" xfId="121" applyFill="1" applyBorder="1" applyAlignment="1" applyProtection="1">
      <alignment vertical="top" wrapText="1"/>
      <protection locked="0"/>
    </xf>
    <xf numFmtId="0" fontId="1" fillId="4" borderId="1" xfId="121" applyFill="1" applyBorder="1" applyAlignment="1" applyProtection="1">
      <alignment vertical="top" wrapText="1"/>
      <protection locked="0"/>
    </xf>
    <xf numFmtId="0" fontId="1" fillId="4" borderId="39" xfId="121" applyFill="1" applyBorder="1" applyAlignment="1" applyProtection="1">
      <alignment vertical="top" wrapText="1"/>
      <protection locked="0"/>
    </xf>
    <xf numFmtId="0" fontId="11" fillId="4" borderId="0" xfId="121" applyFont="1" applyFill="1" applyAlignment="1" applyProtection="1">
      <alignment horizontal="center"/>
      <protection/>
    </xf>
    <xf numFmtId="0" fontId="2" fillId="0" borderId="2" xfId="121" applyFont="1" applyBorder="1" applyAlignment="1" applyProtection="1">
      <alignment horizontal="center"/>
      <protection/>
    </xf>
    <xf numFmtId="0" fontId="2" fillId="0" borderId="40" xfId="121" applyFont="1" applyBorder="1" applyAlignment="1" applyProtection="1">
      <alignment horizontal="center"/>
      <protection/>
    </xf>
    <xf numFmtId="0" fontId="2" fillId="0" borderId="46" xfId="121" applyFont="1" applyBorder="1" applyAlignment="1" applyProtection="1">
      <alignment horizontal="center"/>
      <protection/>
    </xf>
    <xf numFmtId="0" fontId="1" fillId="4" borderId="79" xfId="121" applyFont="1" applyFill="1" applyBorder="1" applyAlignment="1" applyProtection="1">
      <alignment vertical="top" wrapText="1"/>
      <protection locked="0"/>
    </xf>
    <xf numFmtId="0" fontId="1" fillId="4" borderId="80" xfId="121" applyFont="1" applyFill="1" applyBorder="1" applyAlignment="1" applyProtection="1">
      <alignment vertical="top" wrapText="1"/>
      <protection locked="0"/>
    </xf>
    <xf numFmtId="0" fontId="1" fillId="4" borderId="81" xfId="121" applyFont="1" applyFill="1" applyBorder="1" applyAlignment="1" applyProtection="1">
      <alignment vertical="top" wrapText="1"/>
      <protection locked="0"/>
    </xf>
    <xf numFmtId="0" fontId="1" fillId="4" borderId="7" xfId="121" applyFont="1" applyFill="1" applyBorder="1" applyAlignment="1" applyProtection="1">
      <alignment vertical="top" wrapText="1"/>
      <protection locked="0"/>
    </xf>
    <xf numFmtId="0" fontId="1" fillId="4" borderId="0" xfId="121" applyFont="1" applyFill="1" applyBorder="1" applyAlignment="1" applyProtection="1">
      <alignment vertical="top" wrapText="1"/>
      <protection locked="0"/>
    </xf>
    <xf numFmtId="0" fontId="1" fillId="4" borderId="48" xfId="121" applyFont="1" applyFill="1" applyBorder="1" applyAlignment="1" applyProtection="1">
      <alignment vertical="top" wrapText="1"/>
      <protection locked="0"/>
    </xf>
    <xf numFmtId="0" fontId="1" fillId="4" borderId="83" xfId="121" applyFont="1" applyFill="1" applyBorder="1" applyAlignment="1" applyProtection="1">
      <alignment vertical="top" wrapText="1"/>
      <protection locked="0"/>
    </xf>
    <xf numFmtId="0" fontId="1" fillId="4" borderId="1" xfId="121" applyFont="1" applyFill="1" applyBorder="1" applyAlignment="1" applyProtection="1">
      <alignment vertical="top" wrapText="1"/>
      <protection locked="0"/>
    </xf>
    <xf numFmtId="0" fontId="1" fillId="4" borderId="39" xfId="121" applyFont="1" applyFill="1" applyBorder="1" applyAlignment="1" applyProtection="1">
      <alignment vertical="top" wrapText="1"/>
      <protection locked="0"/>
    </xf>
    <xf numFmtId="0" fontId="0" fillId="4" borderId="0" xfId="0" applyFill="1" applyAlignment="1">
      <alignment/>
    </xf>
    <xf numFmtId="164" fontId="0" fillId="4" borderId="0" xfId="0" applyNumberFormat="1" applyFill="1" applyAlignment="1">
      <alignment/>
    </xf>
  </cellXfs>
  <cellStyles count="147">
    <cellStyle name="Normal" xfId="0"/>
    <cellStyle name="% No Sign" xfId="15"/>
    <cellStyle name="% With Sign" xfId="16"/>
    <cellStyle name="%NO SIGN" xfId="17"/>
    <cellStyle name="0.00%" xfId="18"/>
    <cellStyle name="0.00% No Sign" xfId="19"/>
    <cellStyle name="0.00% With Sign"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amount" xfId="45"/>
    <cellStyle name="Bad" xfId="46"/>
    <cellStyle name="Body text" xfId="47"/>
    <cellStyle name="Calculation" xfId="48"/>
    <cellStyle name="capitlaize" xfId="49"/>
    <cellStyle name="Check Cell" xfId="50"/>
    <cellStyle name="Comma" xfId="51"/>
    <cellStyle name="Comma - Zero (-)" xfId="52"/>
    <cellStyle name="Comma - Zero (+)" xfId="53"/>
    <cellStyle name="Comma [-.00]" xfId="54"/>
    <cellStyle name="Comma [0]" xfId="55"/>
    <cellStyle name="Comma [-0]" xfId="56"/>
    <cellStyle name="Comma [0] - Credits" xfId="57"/>
    <cellStyle name="Comma [0] - Debits" xfId="58"/>
    <cellStyle name="Comma 0.0" xfId="59"/>
    <cellStyle name="Comma 0.00" xfId="60"/>
    <cellStyle name="Comma 0.000" xfId="61"/>
    <cellStyle name="Comma 0.0000" xfId="62"/>
    <cellStyle name="Comma 0.00000" xfId="63"/>
    <cellStyle name="Comma 0.000000" xfId="64"/>
    <cellStyle name="Comma 2" xfId="65"/>
    <cellStyle name="Comma 3" xfId="66"/>
    <cellStyle name="Comma 9" xfId="67"/>
    <cellStyle name="Comma_Filing_Requirements_Chapter2_Appendices_-_Excel" xfId="68"/>
    <cellStyle name="Comma-Credits" xfId="69"/>
    <cellStyle name="Comma-Debits" xfId="70"/>
    <cellStyle name="Company Name" xfId="71"/>
    <cellStyle name="Currency" xfId="72"/>
    <cellStyle name="Currency - Credits" xfId="73"/>
    <cellStyle name="Currency - Debits" xfId="74"/>
    <cellStyle name="Currency - Zero (-)" xfId="75"/>
    <cellStyle name="Currency - Zero (+)" xfId="76"/>
    <cellStyle name="Currency [-.00]" xfId="77"/>
    <cellStyle name="Currency [0]" xfId="78"/>
    <cellStyle name="Currency [-0]" xfId="79"/>
    <cellStyle name="Currency [0] - Credits" xfId="80"/>
    <cellStyle name="Currency [0] - Debits" xfId="81"/>
    <cellStyle name="Currency 0.0" xfId="82"/>
    <cellStyle name="Currency 0.00" xfId="83"/>
    <cellStyle name="Currency 0.000" xfId="84"/>
    <cellStyle name="Currency 0.0000" xfId="85"/>
    <cellStyle name="Currency 0.00000" xfId="86"/>
    <cellStyle name="Currency 0.000000" xfId="87"/>
    <cellStyle name="Currency 11" xfId="88"/>
    <cellStyle name="Currency 2" xfId="89"/>
    <cellStyle name="Currency 3" xfId="90"/>
    <cellStyle name="Currency 4" xfId="91"/>
    <cellStyle name="Currency_AppendixK" xfId="92"/>
    <cellStyle name="Currency_filing_req_dist_trans_chapter2_Appendices_XLS" xfId="93"/>
    <cellStyle name="Currency_Filing_Requirements_Chapter2_Appendices_-_Excel" xfId="94"/>
    <cellStyle name="DASH $" xfId="95"/>
    <cellStyle name="Date/ftr" xfId="96"/>
    <cellStyle name="Explanatory Text" xfId="97"/>
    <cellStyle name="Followed Hyperlink" xfId="98"/>
    <cellStyle name="Francais" xfId="99"/>
    <cellStyle name="Francais$" xfId="100"/>
    <cellStyle name="Francais$déc2" xfId="101"/>
    <cellStyle name="Français-déc2%" xfId="102"/>
    <cellStyle name="Good" xfId="103"/>
    <cellStyle name="header" xfId="104"/>
    <cellStyle name="Header line" xfId="105"/>
    <cellStyle name="Header Total" xfId="106"/>
    <cellStyle name="Header1" xfId="107"/>
    <cellStyle name="Header2" xfId="108"/>
    <cellStyle name="Header3" xfId="109"/>
    <cellStyle name="Header4" xfId="110"/>
    <cellStyle name="Heading" xfId="111"/>
    <cellStyle name="Heading 1" xfId="112"/>
    <cellStyle name="Heading 2" xfId="113"/>
    <cellStyle name="Heading 3" xfId="114"/>
    <cellStyle name="Heading 4" xfId="115"/>
    <cellStyle name="Hyperlink" xfId="116"/>
    <cellStyle name="Input" xfId="117"/>
    <cellStyle name="Linked Cell" xfId="118"/>
    <cellStyle name="Neutral" xfId="119"/>
    <cellStyle name="NonPrint_Heading" xfId="120"/>
    <cellStyle name="Normal 10" xfId="121"/>
    <cellStyle name="Normal 2" xfId="122"/>
    <cellStyle name="Normal 2 2" xfId="123"/>
    <cellStyle name="Normal 2 3" xfId="124"/>
    <cellStyle name="Normal 2 4" xfId="125"/>
    <cellStyle name="Normal 2 5" xfId="126"/>
    <cellStyle name="Normal 2 6" xfId="127"/>
    <cellStyle name="Normal 2 7" xfId="128"/>
    <cellStyle name="Normal 4" xfId="129"/>
    <cellStyle name="Normal_2009 Cgaap ratebase depn" xfId="130"/>
    <cellStyle name="Normal_Capital Jan - Mar" xfId="131"/>
    <cellStyle name="Normal_Contrib Capital continuty 2006 to 2009" xfId="132"/>
    <cellStyle name="Normal_Gross Capital Expenditures fty PS" xfId="133"/>
    <cellStyle name="Note" xfId="134"/>
    <cellStyle name="Output" xfId="135"/>
    <cellStyle name="Percent" xfId="136"/>
    <cellStyle name="Percent %" xfId="137"/>
    <cellStyle name="Percent 0.0%" xfId="138"/>
    <cellStyle name="Percent 0.00%" xfId="139"/>
    <cellStyle name="Percent 0.000%" xfId="140"/>
    <cellStyle name="Percent 0.0000%" xfId="141"/>
    <cellStyle name="Percent 0.00000%" xfId="142"/>
    <cellStyle name="Percent 0.000000%" xfId="143"/>
    <cellStyle name="Percent 10" xfId="144"/>
    <cellStyle name="Percent 2" xfId="145"/>
    <cellStyle name="Percentage" xfId="146"/>
    <cellStyle name="Product Title" xfId="147"/>
    <cellStyle name="Subtotal" xfId="148"/>
    <cellStyle name="Text" xfId="149"/>
    <cellStyle name="Thick Line" xfId="150"/>
    <cellStyle name="Thin Line" xfId="151"/>
    <cellStyle name="Title" xfId="152"/>
    <cellStyle name="Total" xfId="153"/>
    <cellStyle name="Unprotect cells" xfId="154"/>
    <cellStyle name="Warning Text" xfId="155"/>
    <cellStyle name="Year" xfId="156"/>
    <cellStyle name="Year1" xfId="157"/>
    <cellStyle name="Year2" xfId="158"/>
    <cellStyle name="Zero (-)" xfId="159"/>
    <cellStyle name="Zero (+)" xfId="160"/>
  </cellStyles>
  <dxfs count="8">
    <dxf>
      <font>
        <b/>
        <i val="0"/>
        <color rgb="FFFF0000"/>
      </font>
      <fill>
        <patternFill>
          <bgColor theme="9" tint="0.5999600291252136"/>
        </patternFill>
      </fill>
    </dxf>
    <dxf>
      <font>
        <b/>
        <i val="0"/>
        <color rgb="FFFF0000"/>
      </font>
      <fill>
        <patternFill>
          <bgColor rgb="FFFFFF00"/>
        </patternFill>
      </fill>
    </dxf>
    <dxf>
      <font>
        <b/>
        <i val="0"/>
        <color rgb="FFFF0000"/>
      </font>
      <fill>
        <patternFill>
          <bgColor rgb="FFFFFF00"/>
        </patternFill>
      </fill>
    </dxf>
    <dxf>
      <fill>
        <patternFill>
          <bgColor indexed="47"/>
        </patternFill>
      </fill>
    </dxf>
    <dxf>
      <fill>
        <patternFill>
          <bgColor indexed="47"/>
        </patternFill>
      </fill>
    </dxf>
    <dxf>
      <fill>
        <patternFill patternType="solid">
          <bgColor indexed="9"/>
        </patternFill>
      </fill>
    </dxf>
    <dxf>
      <fill>
        <patternFill patternType="solid">
          <bgColor indexed="9"/>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externalLink" Target="externalLinks/externalLink12.xml" /><Relationship Id="rId44" Type="http://schemas.openxmlformats.org/officeDocument/2006/relationships/externalLink" Target="externalLinks/externalLink13.xml" /><Relationship Id="rId45" Type="http://schemas.openxmlformats.org/officeDocument/2006/relationships/externalLink" Target="externalLinks/externalLink14.xml" /><Relationship Id="rId46" Type="http://schemas.openxmlformats.org/officeDocument/2006/relationships/externalLink" Target="externalLinks/externalLink15.xml" /><Relationship Id="rId47" Type="http://schemas.openxmlformats.org/officeDocument/2006/relationships/externalLink" Target="externalLinks/externalLink16.xml" /><Relationship Id="rId48" Type="http://schemas.openxmlformats.org/officeDocument/2006/relationships/externalLink" Target="externalLinks/externalLink17.xml" /><Relationship Id="rId49" Type="http://schemas.openxmlformats.org/officeDocument/2006/relationships/externalLink" Target="externalLinks/externalLink18.xml" /><Relationship Id="rId50" Type="http://schemas.openxmlformats.org/officeDocument/2006/relationships/externalLink" Target="externalLinks/externalLink19.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tes%20Group\2013%20EDR%20Application\02%20Models\2013%20EDR%20mode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finstmnt\2004\fs-may04%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lida%20stancato\planning\WINDOWS\TEMP\Year%20End%20AS\RHH96YE_CapitalTransaction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MarkhamEnergy\Financial_Stmt\Fs-september02Energ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IRENE\1999\Monthend\MAST_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geri.yin\Local%20Settings\Temporary%20Internet%20Files\OLKD3\IRENE\1999\Monthend\MAST_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geri.yin\Local%20Settings\Temporary%20Internet%20Files\OLKD3\Corporate%20Finance\2005%20Trending\Markham%202003%20Operat%20Stmts\fs-DEC03%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ppendix%202-k%20%20Compensat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geri.yin\Local%20Settings\Temporary%20Internet%20Files\OLKD3\Corporate%20Finance\2005%20Trending\Markham%202003%20Operat%20Stmts\fs-june03%2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geri.yin\Local%20Settings\Temporary%20Internet%20Files\OLKD3\WINDOWS\TEMP\1997%20RESTATED%20F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geri.yin\Local%20Settings\Temporary%20Internet%20Files\OLKD3\windows\TEMP\11Networks%20Cashflo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instmnt\2004\fs-aug04_YT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elena.yampolsky\Local%20Settings\Temporary%20Internet%20Files\OLK7\Employee%20budget%202011,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eri.yin\Local%20Settings\Temporary%20Internet%20Files\OLKD3\WINDOWS\DESKTOP\CON%2099\8%20August\TEM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lida%20stancato\planning\WINDOWS\TEMP\Year%20End%20AS\RHH96YE_%20MEA%20Statistic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Joe\STD_Journal_Entries\DeprAdjustAUGUS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geri.yin\Local%20Settings\Temporary%20Internet%20Files\OLKD3\Joe\STD_Journal_Entries\2006RJ\RJ20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00YEARND\LEADSHTS.WK4"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geri.yin\Local%20Settings\Temporary%20Internet%20Files\OLKD3\00YEARND\LEADSHTS.W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Inputs"/>
      <sheetName val="Rates"/>
      <sheetName val="TB PSS and Cons "/>
      <sheetName val="TB PSN"/>
      <sheetName val="Shared Services Summary"/>
      <sheetName val="Summary PSS "/>
      <sheetName val="Summary  PSN"/>
      <sheetName val="Summary Cons"/>
      <sheetName val="Transformer Credit"/>
      <sheetName val="Distrib. Revenue summary"/>
      <sheetName val=" Other Operating Revenue 2C"/>
      <sheetName val="Account breakdown 2C"/>
      <sheetName val="Specific Service Charges"/>
      <sheetName val="Total Distrib Expenses "/>
      <sheetName val="Detailed OM&amp;A table (2F)"/>
      <sheetName val="Detailed OM&amp;A analysis "/>
      <sheetName val="FA variance analysis"/>
      <sheetName val="CAPEX "/>
      <sheetName val="App.2-E_OM&amp;A_Exp_Summary"/>
      <sheetName val="App.2-J_OM&amp;A_Variance_Analysis"/>
      <sheetName val="OM&amp;A Cost per Customer 2-I"/>
      <sheetName val=" Capital Structure"/>
      <sheetName val="App.2-N Capitalization"/>
      <sheetName val="Debt Cost"/>
      <sheetName val=" Cost of capital"/>
      <sheetName val="Rate Base"/>
      <sheetName val=" Net Income_existing rates"/>
      <sheetName val="Target Net Income "/>
      <sheetName val="Revenue Requirement"/>
      <sheetName val="Revenue deficiency surplus"/>
      <sheetName val="tables for Exhibit F"/>
      <sheetName val=" Revenue Allocation "/>
      <sheetName val=" Low voltage alloc "/>
      <sheetName val=" Rates - BRR"/>
      <sheetName val="Transformer Allowance"/>
      <sheetName val="Rates - LV"/>
      <sheetName val="Distribution Rates "/>
      <sheetName val="Cost Allocation App 2-O "/>
      <sheetName val="Cost Allocation"/>
      <sheetName val="Fixed Charges"/>
      <sheetName val="Rate Design"/>
      <sheetName val="Tables for Exhibit H"/>
      <sheetName val="Validation"/>
      <sheetName val="App.2-U_Rev_Reconciliation"/>
      <sheetName val="Proposed Rates Schedule"/>
      <sheetName val="PSS Bill Impacts  - App.2 V"/>
      <sheetName val="PSN Bill Impacts  - App.2 V"/>
      <sheetName val="PSS  Bill Impact Summary "/>
      <sheetName val="PSN  Bill Impact Summary"/>
      <sheetName val="Groups"/>
      <sheetName val="Assets Input to CA"/>
    </sheetNames>
    <sheetDataSet>
      <sheetData sheetId="1">
        <row r="6">
          <cell r="C6">
            <v>2013</v>
          </cell>
        </row>
        <row r="7">
          <cell r="C7">
            <v>2012</v>
          </cell>
        </row>
        <row r="8">
          <cell r="C8">
            <v>2009</v>
          </cell>
        </row>
        <row r="9">
          <cell r="C9">
            <v>2009</v>
          </cell>
        </row>
        <row r="10">
          <cell r="C10">
            <v>2010</v>
          </cell>
        </row>
        <row r="11">
          <cell r="C11">
            <v>2011</v>
          </cell>
        </row>
        <row r="30">
          <cell r="C30">
            <v>0.13</v>
          </cell>
        </row>
        <row r="31">
          <cell r="C31">
            <v>0.13</v>
          </cell>
        </row>
      </sheetData>
      <sheetData sheetId="2">
        <row r="14">
          <cell r="A14" t="str">
            <v>Fix_R</v>
          </cell>
          <cell r="B14" t="str">
            <v>Service Charge</v>
          </cell>
          <cell r="C14" t="str">
            <v>$</v>
          </cell>
          <cell r="D14">
            <v>13.57</v>
          </cell>
          <cell r="E14">
            <v>11.99</v>
          </cell>
          <cell r="F14">
            <v>11.89</v>
          </cell>
          <cell r="G14">
            <v>11.87</v>
          </cell>
          <cell r="H14">
            <v>11.85</v>
          </cell>
          <cell r="I14">
            <v>12.02</v>
          </cell>
          <cell r="J14">
            <v>15.34</v>
          </cell>
          <cell r="K14">
            <v>15.21</v>
          </cell>
          <cell r="L14">
            <v>15.34</v>
          </cell>
          <cell r="M14">
            <v>15.43</v>
          </cell>
          <cell r="N14">
            <v>15.45</v>
          </cell>
          <cell r="O14">
            <v>14.450000000000001</v>
          </cell>
        </row>
        <row r="15">
          <cell r="A15" t="str">
            <v>GEA_R</v>
          </cell>
          <cell r="B15" t="str">
            <v>GEA funding rate adder</v>
          </cell>
          <cell r="C15" t="str">
            <v>$</v>
          </cell>
          <cell r="D15">
            <v>0.2</v>
          </cell>
        </row>
        <row r="16">
          <cell r="A16" t="str">
            <v>MDMR_R</v>
          </cell>
          <cell r="B16" t="str">
            <v>MDM/R rate rider</v>
          </cell>
          <cell r="C16" t="str">
            <v>$</v>
          </cell>
        </row>
        <row r="17">
          <cell r="A17" t="str">
            <v>SMR_R</v>
          </cell>
          <cell r="B17" t="str">
            <v>Smart Meter Rate Rider</v>
          </cell>
          <cell r="C17" t="str">
            <v>$</v>
          </cell>
          <cell r="E17">
            <v>1.28</v>
          </cell>
          <cell r="F17">
            <v>1.89</v>
          </cell>
        </row>
        <row r="18">
          <cell r="A18" t="str">
            <v>SM_R</v>
          </cell>
          <cell r="B18" t="str">
            <v>Smart Meter Rate Adder</v>
          </cell>
          <cell r="C18" t="str">
            <v>$</v>
          </cell>
          <cell r="E18">
            <v>0</v>
          </cell>
          <cell r="F18">
            <v>0</v>
          </cell>
          <cell r="G18">
            <v>1.81</v>
          </cell>
          <cell r="H18">
            <v>1.04</v>
          </cell>
          <cell r="I18">
            <v>1.21</v>
          </cell>
          <cell r="L18">
            <v>1.61</v>
          </cell>
          <cell r="M18">
            <v>1</v>
          </cell>
          <cell r="N18">
            <v>0.27</v>
          </cell>
        </row>
        <row r="19">
          <cell r="A19" t="str">
            <v>SMIRR_R</v>
          </cell>
          <cell r="B19" t="str">
            <v>Smart Incremental Revenue Requirement Rider</v>
          </cell>
          <cell r="C19" t="str">
            <v>$</v>
          </cell>
          <cell r="E19">
            <v>0.14</v>
          </cell>
          <cell r="F19">
            <v>1.28</v>
          </cell>
          <cell r="J19">
            <v>1.78</v>
          </cell>
        </row>
        <row r="20">
          <cell r="A20" t="str">
            <v>SMCD_R</v>
          </cell>
          <cell r="B20" t="str">
            <v>Smart Meter Cost Disposition Rate Rider</v>
          </cell>
          <cell r="C20" t="str">
            <v>$</v>
          </cell>
        </row>
        <row r="21">
          <cell r="A21" t="str">
            <v>Var_R</v>
          </cell>
          <cell r="B21" t="str">
            <v>Distribution Volumetric Rate</v>
          </cell>
          <cell r="C21" t="str">
            <v>$/kWh</v>
          </cell>
          <cell r="D21">
            <v>0.0151</v>
          </cell>
          <cell r="E21">
            <v>0.0135</v>
          </cell>
          <cell r="F21">
            <v>0.0134</v>
          </cell>
          <cell r="G21">
            <v>0.0134</v>
          </cell>
          <cell r="H21">
            <v>0.0134</v>
          </cell>
          <cell r="I21">
            <v>0.0129</v>
          </cell>
          <cell r="J21">
            <v>0.0137</v>
          </cell>
          <cell r="K21">
            <v>0.0136</v>
          </cell>
          <cell r="L21">
            <v>0.0137</v>
          </cell>
          <cell r="M21">
            <v>0.0138</v>
          </cell>
          <cell r="N21">
            <v>0.0138</v>
          </cell>
          <cell r="O21">
            <v>0.0129</v>
          </cell>
        </row>
        <row r="22">
          <cell r="A22" t="str">
            <v>LV_R</v>
          </cell>
          <cell r="B22" t="str">
            <v>Low Voltage Charge</v>
          </cell>
          <cell r="C22" t="str">
            <v>$/kWh</v>
          </cell>
          <cell r="D22">
            <v>0.0003</v>
          </cell>
          <cell r="E22">
            <v>0.0001</v>
          </cell>
          <cell r="F22">
            <v>0.0001</v>
          </cell>
          <cell r="G22">
            <v>0.0001</v>
          </cell>
          <cell r="H22">
            <v>0.0001</v>
          </cell>
          <cell r="I22">
            <v>0.0002</v>
          </cell>
          <cell r="J22">
            <v>0.0008</v>
          </cell>
          <cell r="K22">
            <v>0.0008</v>
          </cell>
          <cell r="L22">
            <v>0.0008</v>
          </cell>
          <cell r="M22">
            <v>0.0008</v>
          </cell>
          <cell r="N22">
            <v>0.0008</v>
          </cell>
        </row>
        <row r="23">
          <cell r="A23" t="str">
            <v>LRAM_R</v>
          </cell>
          <cell r="B23" t="str">
            <v>LRAM Rate adder</v>
          </cell>
          <cell r="C23" t="str">
            <v>$/kWh</v>
          </cell>
          <cell r="F23">
            <v>0.0002</v>
          </cell>
          <cell r="J23">
            <v>0.0004</v>
          </cell>
          <cell r="K23">
            <v>0.0004</v>
          </cell>
        </row>
        <row r="24">
          <cell r="A24" t="str">
            <v>Reg_R</v>
          </cell>
          <cell r="B24" t="str">
            <v>Regulatory Asset Recovery</v>
          </cell>
          <cell r="C24" t="str">
            <v>$/kWh</v>
          </cell>
          <cell r="G24">
            <v>-0.0023</v>
          </cell>
          <cell r="H24">
            <v>-0.0023</v>
          </cell>
          <cell r="J24">
            <v>-0.0006</v>
          </cell>
          <cell r="L24">
            <v>-0.004900000000000001</v>
          </cell>
          <cell r="M24">
            <v>0.0002</v>
          </cell>
          <cell r="N24">
            <v>0.0002</v>
          </cell>
          <cell r="O24">
            <v>0.0033</v>
          </cell>
        </row>
        <row r="25">
          <cell r="A25" t="str">
            <v>TaxF_R</v>
          </cell>
          <cell r="B25" t="str">
            <v>Tax change/Fixed</v>
          </cell>
          <cell r="C25" t="str">
            <v>$</v>
          </cell>
          <cell r="M25">
            <v>-0.01</v>
          </cell>
        </row>
        <row r="26">
          <cell r="A26" t="str">
            <v>Tax_R</v>
          </cell>
          <cell r="B26" t="str">
            <v>Tax change </v>
          </cell>
          <cell r="C26" t="str">
            <v>$/kWh</v>
          </cell>
          <cell r="E26">
            <v>-0.0004</v>
          </cell>
          <cell r="F26">
            <v>-0.0003</v>
          </cell>
          <cell r="G26">
            <v>-0.0002</v>
          </cell>
          <cell r="J26">
            <v>-0.0006</v>
          </cell>
          <cell r="K26">
            <v>-0.0005</v>
          </cell>
          <cell r="L26">
            <v>-0.0003</v>
          </cell>
        </row>
        <row r="27">
          <cell r="A27" t="str">
            <v>Late_R</v>
          </cell>
          <cell r="B27" t="str">
            <v>Late payment charge</v>
          </cell>
          <cell r="C27" t="str">
            <v>$</v>
          </cell>
          <cell r="F27">
            <v>0.16</v>
          </cell>
          <cell r="K27">
            <v>0.16</v>
          </cell>
        </row>
        <row r="28">
          <cell r="A28" t="str">
            <v>TN_R</v>
          </cell>
          <cell r="B28" t="str">
            <v>Retail Transmission Rate – Network Service Rate</v>
          </cell>
          <cell r="C28" t="str">
            <v>$/kWh</v>
          </cell>
          <cell r="D28">
            <v>0.0071</v>
          </cell>
          <cell r="E28">
            <v>0.0073</v>
          </cell>
          <cell r="F28">
            <v>0.0064</v>
          </cell>
          <cell r="G28">
            <v>0.0059</v>
          </cell>
          <cell r="H28">
            <v>0.0053</v>
          </cell>
          <cell r="I28">
            <v>0.0049</v>
          </cell>
          <cell r="J28">
            <v>0.0069</v>
          </cell>
          <cell r="K28">
            <v>0.0065</v>
          </cell>
          <cell r="L28">
            <v>0.0061</v>
          </cell>
          <cell r="M28">
            <v>0.0053</v>
          </cell>
          <cell r="N28">
            <v>0.0048</v>
          </cell>
          <cell r="O28">
            <v>0.0057</v>
          </cell>
        </row>
        <row r="29">
          <cell r="A29" t="str">
            <v>TC_R</v>
          </cell>
          <cell r="B29" t="str">
            <v>Retail Transmission Rate – Connection</v>
          </cell>
          <cell r="C29" t="str">
            <v>$/kWh</v>
          </cell>
          <cell r="D29">
            <v>0.0032</v>
          </cell>
          <cell r="E29">
            <v>0.0027</v>
          </cell>
          <cell r="F29">
            <v>0.0026</v>
          </cell>
          <cell r="G29">
            <v>0.0025</v>
          </cell>
          <cell r="H29">
            <v>0.0024</v>
          </cell>
          <cell r="I29">
            <v>0.0023</v>
          </cell>
          <cell r="J29">
            <v>0.0054</v>
          </cell>
          <cell r="K29">
            <v>0.0055</v>
          </cell>
          <cell r="L29">
            <v>0.0053</v>
          </cell>
          <cell r="M29">
            <v>0.005</v>
          </cell>
          <cell r="N29">
            <v>0.0048</v>
          </cell>
          <cell r="O29">
            <v>0.005</v>
          </cell>
        </row>
        <row r="30">
          <cell r="A30" t="str">
            <v>TR_R</v>
          </cell>
          <cell r="D30">
            <v>0.0103</v>
          </cell>
          <cell r="E30">
            <v>0.01</v>
          </cell>
          <cell r="F30">
            <v>0.009000000000000001</v>
          </cell>
          <cell r="G30">
            <v>0.0084</v>
          </cell>
          <cell r="H30">
            <v>0.0077</v>
          </cell>
          <cell r="I30">
            <v>0.0072</v>
          </cell>
          <cell r="J30">
            <v>0.0123</v>
          </cell>
          <cell r="K30">
            <v>0.012</v>
          </cell>
          <cell r="L30">
            <v>0.0114</v>
          </cell>
          <cell r="M30">
            <v>0.0103</v>
          </cell>
          <cell r="N30">
            <v>0.0096</v>
          </cell>
          <cell r="O30">
            <v>0.010700000000000001</v>
          </cell>
        </row>
        <row r="31">
          <cell r="B31" t="str">
            <v>General Service Less Than 50 kW</v>
          </cell>
        </row>
        <row r="32">
          <cell r="A32" t="str">
            <v>Fix_GS</v>
          </cell>
          <cell r="B32" t="str">
            <v>Service Charge</v>
          </cell>
          <cell r="C32" t="str">
            <v>$</v>
          </cell>
          <cell r="D32">
            <v>27.91</v>
          </cell>
          <cell r="E32">
            <v>28.64</v>
          </cell>
          <cell r="F32">
            <v>28.39</v>
          </cell>
          <cell r="G32">
            <v>28.34</v>
          </cell>
          <cell r="H32">
            <v>28.29</v>
          </cell>
          <cell r="I32">
            <v>28.7</v>
          </cell>
          <cell r="J32">
            <v>16.11</v>
          </cell>
          <cell r="K32">
            <v>15.97</v>
          </cell>
          <cell r="L32">
            <v>15.94</v>
          </cell>
          <cell r="M32">
            <v>15.88</v>
          </cell>
          <cell r="N32">
            <v>15.74</v>
          </cell>
          <cell r="O32">
            <v>14.32</v>
          </cell>
        </row>
        <row r="33">
          <cell r="A33" t="str">
            <v>GEA_GS</v>
          </cell>
          <cell r="B33" t="str">
            <v>GEA funding rate adder</v>
          </cell>
          <cell r="C33" t="str">
            <v>$</v>
          </cell>
          <cell r="D33">
            <v>0.2</v>
          </cell>
        </row>
        <row r="34">
          <cell r="A34" t="str">
            <v>MDMR_GS</v>
          </cell>
          <cell r="B34" t="str">
            <v>MDM/R rate rider</v>
          </cell>
          <cell r="C34" t="str">
            <v>$</v>
          </cell>
        </row>
        <row r="35">
          <cell r="A35" t="str">
            <v>SMR_GS</v>
          </cell>
          <cell r="B35" t="str">
            <v>Smart Meter Rate Rider</v>
          </cell>
          <cell r="C35" t="str">
            <v>$</v>
          </cell>
          <cell r="E35">
            <v>1.01</v>
          </cell>
          <cell r="F35">
            <v>1.49</v>
          </cell>
          <cell r="J35">
            <v>7.81</v>
          </cell>
        </row>
        <row r="36">
          <cell r="A36" t="str">
            <v>SM_GS</v>
          </cell>
          <cell r="B36" t="str">
            <v>Smart Meter Rate Adder</v>
          </cell>
          <cell r="C36" t="str">
            <v>$</v>
          </cell>
          <cell r="E36">
            <v>0</v>
          </cell>
          <cell r="F36">
            <v>0</v>
          </cell>
          <cell r="G36">
            <v>1.81</v>
          </cell>
          <cell r="H36">
            <v>1.04</v>
          </cell>
          <cell r="I36">
            <v>1.21</v>
          </cell>
          <cell r="L36">
            <v>1.61</v>
          </cell>
          <cell r="M36">
            <v>1</v>
          </cell>
          <cell r="N36">
            <v>0.27</v>
          </cell>
        </row>
        <row r="37">
          <cell r="A37" t="str">
            <v>SMIRR_GS</v>
          </cell>
          <cell r="B37" t="str">
            <v>Smart Incremental Revenue Requirement Rider</v>
          </cell>
          <cell r="C37" t="str">
            <v>$</v>
          </cell>
          <cell r="E37">
            <v>3.37</v>
          </cell>
          <cell r="F37">
            <v>1.01</v>
          </cell>
          <cell r="J37">
            <v>4.73</v>
          </cell>
        </row>
        <row r="38">
          <cell r="A38" t="str">
            <v>SMCD_GS</v>
          </cell>
          <cell r="B38" t="str">
            <v>Smart Meter Cost Disposition Rate Rider</v>
          </cell>
          <cell r="C38" t="str">
            <v>$</v>
          </cell>
        </row>
        <row r="39">
          <cell r="A39" t="str">
            <v>Var_GS</v>
          </cell>
          <cell r="B39" t="str">
            <v>Distribution Volumetric Rate</v>
          </cell>
          <cell r="C39" t="str">
            <v>$/kWh</v>
          </cell>
          <cell r="D39">
            <v>0.0148</v>
          </cell>
          <cell r="E39">
            <v>0.0116</v>
          </cell>
          <cell r="F39">
            <v>0.0115</v>
          </cell>
          <cell r="G39">
            <v>0.0115</v>
          </cell>
          <cell r="H39">
            <v>0.0115</v>
          </cell>
          <cell r="I39">
            <v>0.0112</v>
          </cell>
          <cell r="J39">
            <v>0.0164</v>
          </cell>
          <cell r="K39">
            <v>0.0163</v>
          </cell>
          <cell r="L39">
            <v>0.0163</v>
          </cell>
          <cell r="M39">
            <v>0.0163</v>
          </cell>
          <cell r="N39">
            <v>0.0161</v>
          </cell>
          <cell r="O39">
            <v>0.0146</v>
          </cell>
        </row>
        <row r="40">
          <cell r="A40" t="str">
            <v>LV_GS</v>
          </cell>
          <cell r="B40" t="str">
            <v>Low Voltage Charge</v>
          </cell>
          <cell r="C40" t="str">
            <v>$/kWh</v>
          </cell>
          <cell r="D40">
            <v>0.0003</v>
          </cell>
          <cell r="E40">
            <v>0.0001</v>
          </cell>
          <cell r="F40">
            <v>0.0001</v>
          </cell>
          <cell r="G40">
            <v>0.0001</v>
          </cell>
          <cell r="H40">
            <v>0.0001</v>
          </cell>
          <cell r="I40">
            <v>0.0002</v>
          </cell>
          <cell r="J40">
            <v>0.0007</v>
          </cell>
          <cell r="K40">
            <v>0.0007</v>
          </cell>
          <cell r="L40">
            <v>0.0007</v>
          </cell>
          <cell r="M40">
            <v>0.0007</v>
          </cell>
          <cell r="N40">
            <v>0.0007</v>
          </cell>
        </row>
        <row r="41">
          <cell r="A41" t="str">
            <v>LRAM_GS</v>
          </cell>
          <cell r="B41" t="str">
            <v>LRAM Rate adder</v>
          </cell>
          <cell r="C41" t="str">
            <v>$/kWh</v>
          </cell>
          <cell r="F41">
            <v>0.0001</v>
          </cell>
          <cell r="J41">
            <v>0.0007</v>
          </cell>
          <cell r="K41">
            <v>0.0001</v>
          </cell>
        </row>
        <row r="42">
          <cell r="A42" t="str">
            <v>Reg_GS</v>
          </cell>
          <cell r="B42" t="str">
            <v>Regulatory Asset Recovery</v>
          </cell>
          <cell r="C42" t="str">
            <v>$/kWh</v>
          </cell>
          <cell r="G42">
            <v>-0.0024</v>
          </cell>
          <cell r="H42">
            <v>-0.0024</v>
          </cell>
          <cell r="J42">
            <v>-0.0004</v>
          </cell>
          <cell r="L42">
            <v>-0.0048000000000000004</v>
          </cell>
          <cell r="M42">
            <v>0.0002</v>
          </cell>
          <cell r="N42">
            <v>0.0002</v>
          </cell>
          <cell r="O42">
            <v>0.002</v>
          </cell>
        </row>
        <row r="43">
          <cell r="A43" t="str">
            <v>TaxF_GS</v>
          </cell>
          <cell r="B43" t="str">
            <v>Tax change/Fixed</v>
          </cell>
          <cell r="C43" t="str">
            <v>$</v>
          </cell>
          <cell r="M43">
            <v>-0.01</v>
          </cell>
        </row>
        <row r="44">
          <cell r="A44" t="str">
            <v>tax_GS</v>
          </cell>
          <cell r="B44" t="str">
            <v>Tax change</v>
          </cell>
          <cell r="C44" t="str">
            <v>$/kWh</v>
          </cell>
          <cell r="E44">
            <v>-0.0003</v>
          </cell>
          <cell r="F44">
            <v>-0.0002</v>
          </cell>
          <cell r="G44">
            <v>-0.0001</v>
          </cell>
          <cell r="J44">
            <v>-0.0004</v>
          </cell>
          <cell r="K44">
            <v>-0.0003</v>
          </cell>
          <cell r="L44">
            <v>-0.0002</v>
          </cell>
        </row>
        <row r="45">
          <cell r="A45" t="str">
            <v>Late_GS</v>
          </cell>
          <cell r="B45" t="str">
            <v>Late payment charge</v>
          </cell>
          <cell r="C45" t="str">
            <v>$</v>
          </cell>
          <cell r="F45">
            <v>0.43</v>
          </cell>
          <cell r="K45">
            <v>0.43</v>
          </cell>
        </row>
        <row r="46">
          <cell r="A46" t="str">
            <v>TN_GS</v>
          </cell>
          <cell r="B46" t="str">
            <v>Retail Transmission Rate – Network Service Rate</v>
          </cell>
          <cell r="C46" t="str">
            <v>$/kWh</v>
          </cell>
          <cell r="D46">
            <v>0.0065</v>
          </cell>
          <cell r="E46">
            <v>0.0066</v>
          </cell>
          <cell r="F46">
            <v>0.0058</v>
          </cell>
          <cell r="G46">
            <v>0.0053</v>
          </cell>
          <cell r="H46">
            <v>0.0048</v>
          </cell>
          <cell r="I46">
            <v>0.0044</v>
          </cell>
          <cell r="J46">
            <v>0.0063</v>
          </cell>
          <cell r="K46">
            <v>0.006</v>
          </cell>
          <cell r="L46">
            <v>0.0057</v>
          </cell>
          <cell r="M46">
            <v>0.0049</v>
          </cell>
          <cell r="N46">
            <v>0.0044</v>
          </cell>
          <cell r="O46">
            <v>0.0052</v>
          </cell>
        </row>
        <row r="47">
          <cell r="A47" t="str">
            <v>TC_GS</v>
          </cell>
          <cell r="B47" t="str">
            <v>Retail Transmission Rate – Connection</v>
          </cell>
          <cell r="C47" t="str">
            <v>$/kWh</v>
          </cell>
          <cell r="D47">
            <v>0.0028</v>
          </cell>
          <cell r="E47">
            <v>0.0024</v>
          </cell>
          <cell r="F47">
            <v>0.0023</v>
          </cell>
          <cell r="G47">
            <v>0.0023</v>
          </cell>
          <cell r="H47">
            <v>0.0022</v>
          </cell>
          <cell r="I47">
            <v>0.0021</v>
          </cell>
          <cell r="J47">
            <v>0.0048</v>
          </cell>
          <cell r="K47">
            <v>0.0049</v>
          </cell>
          <cell r="L47">
            <v>0.0047</v>
          </cell>
          <cell r="M47">
            <v>0.0045</v>
          </cell>
          <cell r="N47">
            <v>0.0043</v>
          </cell>
          <cell r="O47">
            <v>0.0045</v>
          </cell>
        </row>
        <row r="48">
          <cell r="A48" t="str">
            <v>TR_GS</v>
          </cell>
          <cell r="D48">
            <v>0.0093</v>
          </cell>
          <cell r="E48">
            <v>0.009</v>
          </cell>
          <cell r="F48">
            <v>0.0081</v>
          </cell>
          <cell r="G48">
            <v>0.0076</v>
          </cell>
          <cell r="H48">
            <v>0.006999999999999999</v>
          </cell>
          <cell r="I48">
            <v>0.006500000000000001</v>
          </cell>
          <cell r="J48">
            <v>0.011099999999999999</v>
          </cell>
          <cell r="K48">
            <v>0.0109</v>
          </cell>
          <cell r="L48">
            <v>0.0104</v>
          </cell>
          <cell r="M48">
            <v>0.009399999999999999</v>
          </cell>
          <cell r="N48">
            <v>0.0087</v>
          </cell>
          <cell r="O48">
            <v>0.0097</v>
          </cell>
        </row>
        <row r="49">
          <cell r="B49" t="str">
            <v>General Service 50 to 4,999 kW</v>
          </cell>
        </row>
        <row r="50">
          <cell r="A50" t="str">
            <v>Fix_GSL</v>
          </cell>
          <cell r="B50" t="str">
            <v>Service Charge</v>
          </cell>
          <cell r="C50" t="str">
            <v>$</v>
          </cell>
          <cell r="D50">
            <v>148.18</v>
          </cell>
          <cell r="E50">
            <v>84.45</v>
          </cell>
          <cell r="F50">
            <v>83.71</v>
          </cell>
          <cell r="G50">
            <v>83.56</v>
          </cell>
          <cell r="H50">
            <v>83.41</v>
          </cell>
          <cell r="I50">
            <v>301.73</v>
          </cell>
          <cell r="J50">
            <v>395.68</v>
          </cell>
          <cell r="K50">
            <v>392.23</v>
          </cell>
          <cell r="L50">
            <v>392.52</v>
          </cell>
          <cell r="M50">
            <v>391.05</v>
          </cell>
          <cell r="N50">
            <v>387.56</v>
          </cell>
          <cell r="O50">
            <v>357.85</v>
          </cell>
        </row>
        <row r="51">
          <cell r="A51" t="str">
            <v>GEA_GSL</v>
          </cell>
          <cell r="B51" t="str">
            <v>GEA funding rate adder</v>
          </cell>
          <cell r="C51" t="str">
            <v>$</v>
          </cell>
          <cell r="D51">
            <v>0.2</v>
          </cell>
        </row>
        <row r="52">
          <cell r="A52" t="str">
            <v>MDMR_GSL</v>
          </cell>
          <cell r="B52" t="str">
            <v>MDM/R rate rider</v>
          </cell>
          <cell r="C52" t="str">
            <v>$</v>
          </cell>
        </row>
        <row r="53">
          <cell r="A53" t="str">
            <v>SM_GSL</v>
          </cell>
          <cell r="B53" t="str">
            <v>Smart Meter Rate Adder</v>
          </cell>
          <cell r="C53" t="str">
            <v>$</v>
          </cell>
          <cell r="G53">
            <v>1.81</v>
          </cell>
          <cell r="H53">
            <v>1.04</v>
          </cell>
          <cell r="I53">
            <v>1.21</v>
          </cell>
          <cell r="L53">
            <v>1.61</v>
          </cell>
          <cell r="M53">
            <v>1</v>
          </cell>
          <cell r="N53">
            <v>0.27</v>
          </cell>
        </row>
        <row r="54">
          <cell r="A54" t="str">
            <v>Var_GSL</v>
          </cell>
          <cell r="B54" t="str">
            <v>Distribution Volumetric Rate</v>
          </cell>
          <cell r="C54" t="str">
            <v>$/kW</v>
          </cell>
          <cell r="D54">
            <v>3.5449</v>
          </cell>
          <cell r="E54">
            <v>3.5036</v>
          </cell>
          <cell r="F54">
            <v>3.473</v>
          </cell>
          <cell r="G54">
            <v>3.4668</v>
          </cell>
          <cell r="H54">
            <v>3.4606</v>
          </cell>
          <cell r="I54">
            <v>2.2713</v>
          </cell>
          <cell r="J54">
            <v>1.8393</v>
          </cell>
          <cell r="K54">
            <v>1.8233</v>
          </cell>
          <cell r="L54">
            <v>1.82</v>
          </cell>
          <cell r="M54">
            <v>1.8125</v>
          </cell>
          <cell r="N54">
            <v>1.797</v>
          </cell>
          <cell r="O54">
            <v>1.4111</v>
          </cell>
        </row>
        <row r="55">
          <cell r="A55" t="str">
            <v>LV_GSL</v>
          </cell>
          <cell r="B55" t="str">
            <v>Low Voltage Charge</v>
          </cell>
          <cell r="C55" t="str">
            <v>$/kW</v>
          </cell>
          <cell r="D55">
            <v>0.1191</v>
          </cell>
          <cell r="E55">
            <v>0.0472</v>
          </cell>
          <cell r="F55">
            <v>0.0472</v>
          </cell>
          <cell r="G55">
            <v>0.0472</v>
          </cell>
          <cell r="H55">
            <v>0.0472</v>
          </cell>
          <cell r="I55">
            <v>0.0914</v>
          </cell>
          <cell r="J55">
            <v>0.2913</v>
          </cell>
          <cell r="K55">
            <v>0.2913</v>
          </cell>
          <cell r="L55">
            <v>0.2913</v>
          </cell>
          <cell r="M55">
            <v>0.2913</v>
          </cell>
          <cell r="N55">
            <v>0.288</v>
          </cell>
        </row>
        <row r="56">
          <cell r="A56" t="str">
            <v>LRAM_GSL</v>
          </cell>
          <cell r="B56" t="str">
            <v>LRAM Rate adder</v>
          </cell>
          <cell r="C56" t="str">
            <v>$/kW</v>
          </cell>
          <cell r="F56">
            <v>0.0001</v>
          </cell>
          <cell r="J56">
            <v>0.0012</v>
          </cell>
        </row>
        <row r="57">
          <cell r="A57" t="str">
            <v>TRC_GSL</v>
          </cell>
          <cell r="B57" t="str">
            <v>Transmission allowance</v>
          </cell>
          <cell r="C57" t="str">
            <v>$/kW</v>
          </cell>
          <cell r="D57">
            <v>-0.6</v>
          </cell>
          <cell r="E57">
            <v>-0.6</v>
          </cell>
          <cell r="F57">
            <v>-0.6</v>
          </cell>
          <cell r="G57">
            <v>-0.6</v>
          </cell>
          <cell r="H57">
            <v>-0.6</v>
          </cell>
          <cell r="I57">
            <v>-0.6</v>
          </cell>
          <cell r="J57">
            <v>-0.6</v>
          </cell>
          <cell r="K57">
            <v>-0.6</v>
          </cell>
          <cell r="L57">
            <v>-0.6</v>
          </cell>
          <cell r="M57">
            <v>-0.6</v>
          </cell>
          <cell r="N57">
            <v>-0.6</v>
          </cell>
          <cell r="O57">
            <v>-0.6</v>
          </cell>
        </row>
        <row r="58">
          <cell r="A58" t="str">
            <v>Reg_GSL</v>
          </cell>
          <cell r="B58" t="str">
            <v>Regulatory Asset Recovery</v>
          </cell>
          <cell r="C58" t="str">
            <v>$/kW</v>
          </cell>
          <cell r="G58">
            <v>-0.9971</v>
          </cell>
          <cell r="H58">
            <v>-0.9971</v>
          </cell>
          <cell r="J58">
            <v>-0.0705</v>
          </cell>
          <cell r="L58">
            <v>-1.8206</v>
          </cell>
          <cell r="M58">
            <v>0.0752</v>
          </cell>
          <cell r="N58">
            <v>0.0752</v>
          </cell>
          <cell r="O58">
            <v>0.6923</v>
          </cell>
        </row>
        <row r="59">
          <cell r="A59" t="str">
            <v>Tax_GSL</v>
          </cell>
          <cell r="B59" t="str">
            <v>Tax change</v>
          </cell>
          <cell r="C59" t="str">
            <v>$/kW</v>
          </cell>
          <cell r="E59">
            <v>-0.0501</v>
          </cell>
          <cell r="F59">
            <v>-0.0417</v>
          </cell>
          <cell r="G59">
            <v>-0.0233</v>
          </cell>
          <cell r="J59">
            <v>-0.065</v>
          </cell>
          <cell r="K59">
            <v>-0.0504</v>
          </cell>
          <cell r="L59">
            <v>-0.028</v>
          </cell>
          <cell r="M59">
            <v>-0.0018</v>
          </cell>
        </row>
        <row r="60">
          <cell r="A60" t="str">
            <v>TaxF_GSL</v>
          </cell>
          <cell r="B60" t="str">
            <v>Tax change/fixed</v>
          </cell>
          <cell r="C60" t="str">
            <v>$</v>
          </cell>
          <cell r="M60">
            <v>-0.34</v>
          </cell>
        </row>
        <row r="61">
          <cell r="A61" t="str">
            <v>Late_GSL</v>
          </cell>
          <cell r="B61" t="str">
            <v>Late payment charge</v>
          </cell>
          <cell r="C61" t="str">
            <v>$</v>
          </cell>
          <cell r="F61">
            <v>5.38</v>
          </cell>
          <cell r="K61">
            <v>5.38</v>
          </cell>
        </row>
        <row r="62">
          <cell r="A62" t="str">
            <v>TN_GSL</v>
          </cell>
          <cell r="B62" t="str">
            <v>Retail Transmission Rate – Network Service Rate</v>
          </cell>
          <cell r="C62" t="str">
            <v>$/kW</v>
          </cell>
          <cell r="D62">
            <v>2.603</v>
          </cell>
          <cell r="E62">
            <v>2.6667</v>
          </cell>
          <cell r="F62">
            <v>2.351</v>
          </cell>
          <cell r="G62">
            <v>2.1613</v>
          </cell>
          <cell r="H62">
            <v>1.9489</v>
          </cell>
          <cell r="I62">
            <v>1.8009</v>
          </cell>
          <cell r="J62">
            <v>2.4796</v>
          </cell>
          <cell r="K62">
            <v>2.3432</v>
          </cell>
          <cell r="L62">
            <v>2.2121</v>
          </cell>
          <cell r="M62">
            <v>1.9136</v>
          </cell>
          <cell r="N62">
            <v>1.724</v>
          </cell>
          <cell r="O62">
            <v>2.0459</v>
          </cell>
        </row>
        <row r="63">
          <cell r="A63" t="str">
            <v>TC_GSL</v>
          </cell>
          <cell r="B63" t="str">
            <v>Retail Transmission Rate – Connection</v>
          </cell>
          <cell r="C63" t="str">
            <v>$/kW</v>
          </cell>
          <cell r="D63">
            <v>1.0984</v>
          </cell>
          <cell r="E63">
            <v>0.9755</v>
          </cell>
          <cell r="F63">
            <v>0.9299</v>
          </cell>
          <cell r="G63">
            <v>0.9107</v>
          </cell>
          <cell r="H63">
            <v>0.8765</v>
          </cell>
          <cell r="I63">
            <v>0.8391</v>
          </cell>
          <cell r="J63">
            <v>1.8993</v>
          </cell>
          <cell r="K63">
            <v>1.9363</v>
          </cell>
          <cell r="L63">
            <v>1.8702</v>
          </cell>
          <cell r="M63">
            <v>1.7778</v>
          </cell>
          <cell r="N63">
            <v>1.6931</v>
          </cell>
          <cell r="O63">
            <v>1.7796</v>
          </cell>
        </row>
        <row r="64">
          <cell r="A64" t="str">
            <v>TR_GSL</v>
          </cell>
          <cell r="D64">
            <v>3.7014000000000005</v>
          </cell>
          <cell r="E64">
            <v>3.6422</v>
          </cell>
          <cell r="F64">
            <v>3.2809</v>
          </cell>
          <cell r="G64">
            <v>3.072</v>
          </cell>
          <cell r="H64">
            <v>2.8254</v>
          </cell>
          <cell r="I64">
            <v>2.6399999999999997</v>
          </cell>
          <cell r="J64">
            <v>4.3789</v>
          </cell>
          <cell r="K64">
            <v>4.2795</v>
          </cell>
          <cell r="L64">
            <v>4.0823</v>
          </cell>
          <cell r="M64">
            <v>3.6914</v>
          </cell>
          <cell r="N64">
            <v>3.4171</v>
          </cell>
          <cell r="O64">
            <v>3.8255</v>
          </cell>
        </row>
        <row r="65">
          <cell r="B65" t="str">
            <v>Large Use</v>
          </cell>
        </row>
        <row r="66">
          <cell r="A66" t="str">
            <v>Fix_LU</v>
          </cell>
          <cell r="B66" t="str">
            <v>Service Charge</v>
          </cell>
          <cell r="C66" t="str">
            <v>$</v>
          </cell>
          <cell r="D66">
            <v>6017.469999999999</v>
          </cell>
          <cell r="E66">
            <v>2173.63</v>
          </cell>
          <cell r="F66">
            <v>2154.67</v>
          </cell>
          <cell r="G66">
            <v>2150.8</v>
          </cell>
          <cell r="H66">
            <v>2146.94</v>
          </cell>
          <cell r="I66">
            <v>8978.09</v>
          </cell>
          <cell r="J66">
            <v>9690.24</v>
          </cell>
          <cell r="K66">
            <v>9605.71</v>
          </cell>
          <cell r="L66">
            <v>9558.45</v>
          </cell>
          <cell r="M66">
            <v>9552.71</v>
          </cell>
          <cell r="N66">
            <v>9467.71</v>
          </cell>
          <cell r="O66">
            <v>8746.31</v>
          </cell>
        </row>
        <row r="67">
          <cell r="A67" t="str">
            <v>GEA_LU</v>
          </cell>
          <cell r="B67" t="str">
            <v>GEA funding rate adder</v>
          </cell>
          <cell r="C67" t="str">
            <v>$</v>
          </cell>
          <cell r="D67">
            <v>0.2</v>
          </cell>
        </row>
        <row r="68">
          <cell r="A68" t="str">
            <v>SM_LU</v>
          </cell>
          <cell r="B68" t="str">
            <v>Smart Meter Rate Adder</v>
          </cell>
          <cell r="C68" t="str">
            <v>$</v>
          </cell>
          <cell r="G68">
            <v>1.81</v>
          </cell>
          <cell r="L68">
            <v>1.61</v>
          </cell>
          <cell r="M68">
            <v>1</v>
          </cell>
          <cell r="N68">
            <v>0.27</v>
          </cell>
        </row>
        <row r="69">
          <cell r="A69" t="str">
            <v>Var_LU</v>
          </cell>
          <cell r="B69" t="str">
            <v>Distribution Volumetric Rate</v>
          </cell>
          <cell r="C69" t="str">
            <v>$/kW</v>
          </cell>
          <cell r="D69">
            <v>1.7969</v>
          </cell>
          <cell r="E69">
            <v>1.0484</v>
          </cell>
          <cell r="F69">
            <v>1.0393</v>
          </cell>
          <cell r="G69">
            <v>0.9816000000000001</v>
          </cell>
          <cell r="H69">
            <v>1.0354999999999999</v>
          </cell>
          <cell r="I69">
            <v>1.1989</v>
          </cell>
          <cell r="J69">
            <v>0.5918</v>
          </cell>
          <cell r="K69">
            <v>0.5886</v>
          </cell>
          <cell r="L69">
            <v>0.5855</v>
          </cell>
          <cell r="M69">
            <v>0.5834999999999999</v>
          </cell>
          <cell r="N69">
            <v>0.5781</v>
          </cell>
          <cell r="O69">
            <v>0.534</v>
          </cell>
        </row>
        <row r="70">
          <cell r="A70" t="str">
            <v>LV_LU</v>
          </cell>
          <cell r="B70" t="str">
            <v>Low Voltage Charge</v>
          </cell>
          <cell r="C70" t="str">
            <v>$/kW</v>
          </cell>
          <cell r="D70">
            <v>0.1439</v>
          </cell>
          <cell r="E70">
            <v>0.0558</v>
          </cell>
          <cell r="F70">
            <v>0.0558</v>
          </cell>
          <cell r="G70">
            <v>0.0558</v>
          </cell>
          <cell r="H70">
            <v>0.0558</v>
          </cell>
          <cell r="I70">
            <v>0.1047</v>
          </cell>
          <cell r="J70">
            <v>0.3886</v>
          </cell>
          <cell r="K70">
            <v>0.3886</v>
          </cell>
          <cell r="L70">
            <v>0.3866</v>
          </cell>
          <cell r="M70">
            <v>0.3866</v>
          </cell>
          <cell r="N70">
            <v>0.3833</v>
          </cell>
        </row>
        <row r="71">
          <cell r="A71" t="str">
            <v>TRC_LU</v>
          </cell>
          <cell r="B71" t="str">
            <v>Transmission allowance</v>
          </cell>
          <cell r="D71">
            <v>-0.6</v>
          </cell>
          <cell r="E71">
            <v>-0.6</v>
          </cell>
          <cell r="F71">
            <v>-0.6</v>
          </cell>
          <cell r="G71">
            <v>-0.6</v>
          </cell>
          <cell r="H71">
            <v>-0.6</v>
          </cell>
          <cell r="I71">
            <v>-0.6</v>
          </cell>
          <cell r="J71">
            <v>-0.6</v>
          </cell>
          <cell r="K71">
            <v>-0.6</v>
          </cell>
          <cell r="L71">
            <v>-0.6</v>
          </cell>
          <cell r="M71">
            <v>-0.6</v>
          </cell>
          <cell r="N71">
            <v>-0.6</v>
          </cell>
          <cell r="O71">
            <v>-0.6</v>
          </cell>
        </row>
        <row r="72">
          <cell r="A72" t="str">
            <v>Reg_LU</v>
          </cell>
          <cell r="B72" t="str">
            <v>Regulatory Asset Recovery</v>
          </cell>
          <cell r="C72" t="str">
            <v>$/kW</v>
          </cell>
          <cell r="G72">
            <v>-1.71</v>
          </cell>
          <cell r="H72">
            <v>0</v>
          </cell>
          <cell r="L72">
            <v>0</v>
          </cell>
        </row>
        <row r="73">
          <cell r="A73" t="str">
            <v>Tax_LU</v>
          </cell>
          <cell r="B73" t="str">
            <v>Tax Change</v>
          </cell>
          <cell r="C73" t="str">
            <v>$/kW</v>
          </cell>
          <cell r="E73">
            <v>-0.0175</v>
          </cell>
          <cell r="F73">
            <v>-0.0146</v>
          </cell>
          <cell r="G73">
            <v>-0.0082</v>
          </cell>
          <cell r="J73">
            <v>-0.0764</v>
          </cell>
          <cell r="K73">
            <v>-0.0592</v>
          </cell>
          <cell r="L73">
            <v>-0.0328</v>
          </cell>
          <cell r="M73">
            <v>-0.0008</v>
          </cell>
        </row>
        <row r="74">
          <cell r="A74" t="str">
            <v>Late_LU</v>
          </cell>
          <cell r="B74" t="str">
            <v>Late payment charge</v>
          </cell>
          <cell r="C74" t="str">
            <v>$</v>
          </cell>
          <cell r="F74">
            <v>138.96</v>
          </cell>
          <cell r="K74">
            <v>138.96</v>
          </cell>
        </row>
        <row r="75">
          <cell r="A75" t="str">
            <v>TN_LU</v>
          </cell>
          <cell r="B75" t="str">
            <v>Retail Transmission Rate – Network Service Rate</v>
          </cell>
          <cell r="C75" t="str">
            <v>$/kW</v>
          </cell>
          <cell r="D75">
            <v>3.0886</v>
          </cell>
          <cell r="E75">
            <v>3.1285</v>
          </cell>
          <cell r="F75">
            <v>2.7582</v>
          </cell>
          <cell r="G75">
            <v>2.5356</v>
          </cell>
          <cell r="H75">
            <v>2.2864</v>
          </cell>
          <cell r="I75">
            <v>2.1128</v>
          </cell>
          <cell r="J75">
            <v>3.1192</v>
          </cell>
          <cell r="K75">
            <v>3.1192</v>
          </cell>
          <cell r="L75">
            <v>2.9447</v>
          </cell>
          <cell r="M75">
            <v>2.5473</v>
          </cell>
          <cell r="N75">
            <v>2.2949</v>
          </cell>
          <cell r="O75">
            <v>2.7233</v>
          </cell>
        </row>
        <row r="76">
          <cell r="A76" t="str">
            <v>TC_LU</v>
          </cell>
          <cell r="B76" t="str">
            <v>Retail Transmission Rate – Connection</v>
          </cell>
          <cell r="C76" t="str">
            <v>$/kW</v>
          </cell>
          <cell r="D76">
            <v>1.1266</v>
          </cell>
          <cell r="E76">
            <v>1.1529</v>
          </cell>
          <cell r="F76">
            <v>1.099</v>
          </cell>
          <cell r="G76">
            <v>1.0763</v>
          </cell>
          <cell r="H76">
            <v>1.0359</v>
          </cell>
          <cell r="I76">
            <v>0.9917</v>
          </cell>
          <cell r="J76">
            <v>2.5775</v>
          </cell>
          <cell r="K76">
            <v>2.5775</v>
          </cell>
          <cell r="L76">
            <v>2.4896</v>
          </cell>
          <cell r="M76">
            <v>2.3665</v>
          </cell>
          <cell r="N76">
            <v>2.2538</v>
          </cell>
          <cell r="O76">
            <v>2.3689</v>
          </cell>
        </row>
        <row r="77">
          <cell r="A77" t="str">
            <v>TR_LU</v>
          </cell>
          <cell r="D77">
            <v>4.2152</v>
          </cell>
          <cell r="E77">
            <v>4.2814</v>
          </cell>
          <cell r="F77">
            <v>3.8571999999999997</v>
          </cell>
          <cell r="G77">
            <v>3.6119000000000003</v>
          </cell>
          <cell r="H77">
            <v>3.3223000000000003</v>
          </cell>
          <cell r="I77">
            <v>3.1045</v>
          </cell>
          <cell r="J77">
            <v>5.6967</v>
          </cell>
          <cell r="K77">
            <v>5.6967</v>
          </cell>
          <cell r="L77">
            <v>5.4343</v>
          </cell>
          <cell r="M77">
            <v>4.9138</v>
          </cell>
          <cell r="N77">
            <v>4.5487</v>
          </cell>
          <cell r="O77">
            <v>5.0922</v>
          </cell>
        </row>
        <row r="78">
          <cell r="B78" t="str">
            <v>General Service 50 to 4,999 kW – Time of Use</v>
          </cell>
        </row>
        <row r="79">
          <cell r="A79" t="str">
            <v>Fix_TOU</v>
          </cell>
          <cell r="B79" t="str">
            <v>Service Charge</v>
          </cell>
          <cell r="C79" t="str">
            <v>$</v>
          </cell>
          <cell r="D79">
            <v>0</v>
          </cell>
          <cell r="E79">
            <v>0</v>
          </cell>
          <cell r="F79">
            <v>0</v>
          </cell>
          <cell r="G79">
            <v>0</v>
          </cell>
          <cell r="H79">
            <v>0</v>
          </cell>
          <cell r="I79">
            <v>3313.25</v>
          </cell>
          <cell r="J79">
            <v>395.68</v>
          </cell>
          <cell r="K79">
            <v>393.23</v>
          </cell>
          <cell r="L79">
            <v>392.52</v>
          </cell>
          <cell r="M79">
            <v>391.05</v>
          </cell>
          <cell r="N79">
            <v>387.56</v>
          </cell>
          <cell r="O79">
            <v>357.85</v>
          </cell>
        </row>
        <row r="80">
          <cell r="A80" t="str">
            <v>LRAM_TOU</v>
          </cell>
          <cell r="B80" t="str">
            <v>LRAM Rate adder</v>
          </cell>
          <cell r="J80">
            <v>0.0012</v>
          </cell>
          <cell r="L80">
            <v>1.61</v>
          </cell>
          <cell r="M80">
            <v>1</v>
          </cell>
          <cell r="N80">
            <v>0.27</v>
          </cell>
        </row>
        <row r="81">
          <cell r="A81" t="str">
            <v>Var_TOU</v>
          </cell>
          <cell r="B81" t="str">
            <v>Distribution Volumetric Rate</v>
          </cell>
          <cell r="C81" t="str">
            <v>$/kW</v>
          </cell>
          <cell r="D81">
            <v>0</v>
          </cell>
          <cell r="E81">
            <v>0</v>
          </cell>
          <cell r="F81">
            <v>0</v>
          </cell>
          <cell r="G81">
            <v>0</v>
          </cell>
          <cell r="H81">
            <v>0</v>
          </cell>
          <cell r="I81">
            <v>1.5576</v>
          </cell>
          <cell r="J81">
            <v>1.8393</v>
          </cell>
          <cell r="K81">
            <v>1.8233</v>
          </cell>
          <cell r="L81">
            <v>1.82</v>
          </cell>
          <cell r="M81">
            <v>1.8125</v>
          </cell>
          <cell r="N81">
            <v>1.797</v>
          </cell>
          <cell r="O81">
            <v>1.4111</v>
          </cell>
        </row>
        <row r="82">
          <cell r="A82" t="str">
            <v>LV_TOU</v>
          </cell>
          <cell r="B82" t="str">
            <v>Low Voltage Charge</v>
          </cell>
          <cell r="C82" t="str">
            <v>$/kW</v>
          </cell>
          <cell r="D82" t="e">
            <v>#N/A</v>
          </cell>
          <cell r="J82">
            <v>0.2913</v>
          </cell>
          <cell r="K82">
            <v>0.2913</v>
          </cell>
          <cell r="L82">
            <v>0.2913</v>
          </cell>
          <cell r="M82">
            <v>0.2913</v>
          </cell>
          <cell r="N82">
            <v>0.288</v>
          </cell>
        </row>
        <row r="83">
          <cell r="A83" t="str">
            <v>TRC_TOU</v>
          </cell>
          <cell r="B83" t="str">
            <v>Transmission allowance</v>
          </cell>
          <cell r="J83">
            <v>-0.6</v>
          </cell>
          <cell r="K83">
            <v>-0.6</v>
          </cell>
          <cell r="L83">
            <v>-0.6</v>
          </cell>
          <cell r="M83">
            <v>-0.6</v>
          </cell>
          <cell r="N83">
            <v>-0.6</v>
          </cell>
          <cell r="O83">
            <v>-0.6</v>
          </cell>
        </row>
        <row r="84">
          <cell r="A84" t="str">
            <v>Reg_TOU</v>
          </cell>
          <cell r="B84" t="str">
            <v>Regulatory Asset Recovery</v>
          </cell>
          <cell r="C84" t="str">
            <v>$/kW</v>
          </cell>
          <cell r="E84">
            <v>0</v>
          </cell>
          <cell r="F84">
            <v>0</v>
          </cell>
          <cell r="G84">
            <v>0</v>
          </cell>
          <cell r="H84">
            <v>0</v>
          </cell>
          <cell r="J84">
            <v>-0.0705</v>
          </cell>
          <cell r="L84">
            <v>-1.8206</v>
          </cell>
          <cell r="M84">
            <v>0.0752</v>
          </cell>
          <cell r="N84">
            <v>0.0752</v>
          </cell>
          <cell r="O84">
            <v>0.6923</v>
          </cell>
        </row>
        <row r="85">
          <cell r="A85" t="str">
            <v>Tax_TOU</v>
          </cell>
          <cell r="B85" t="str">
            <v>Tax Change</v>
          </cell>
          <cell r="C85" t="str">
            <v>$/kW</v>
          </cell>
          <cell r="J85">
            <v>-0.065</v>
          </cell>
          <cell r="K85">
            <v>-0.0504</v>
          </cell>
          <cell r="L85">
            <v>-0.028</v>
          </cell>
          <cell r="M85">
            <v>-0.0018</v>
          </cell>
        </row>
        <row r="86">
          <cell r="A86" t="str">
            <v>Late_TOU</v>
          </cell>
          <cell r="B86" t="str">
            <v>Late payment charge</v>
          </cell>
          <cell r="C86" t="str">
            <v>$</v>
          </cell>
          <cell r="K86">
            <v>5.38</v>
          </cell>
        </row>
        <row r="87">
          <cell r="A87" t="str">
            <v>TN_TOU</v>
          </cell>
          <cell r="B87" t="str">
            <v>Retail Transmission Rate – Network Service Rate</v>
          </cell>
          <cell r="C87" t="str">
            <v>$/kW</v>
          </cell>
          <cell r="D87">
            <v>2.7288</v>
          </cell>
          <cell r="G87">
            <v>2.1613</v>
          </cell>
          <cell r="H87">
            <v>0</v>
          </cell>
          <cell r="I87">
            <v>1.9081</v>
          </cell>
          <cell r="J87">
            <v>3.2918</v>
          </cell>
          <cell r="K87">
            <v>3.1107</v>
          </cell>
          <cell r="L87">
            <v>2.9366</v>
          </cell>
          <cell r="M87">
            <v>2.5403</v>
          </cell>
          <cell r="N87">
            <v>2.2886</v>
          </cell>
          <cell r="O87">
            <v>2.7159</v>
          </cell>
        </row>
        <row r="88">
          <cell r="A88" t="str">
            <v>TC_TOU</v>
          </cell>
          <cell r="B88" t="str">
            <v>Retail Transmission Rate – Connection</v>
          </cell>
          <cell r="C88" t="str">
            <v>$/kW</v>
          </cell>
          <cell r="D88">
            <v>1.1884</v>
          </cell>
          <cell r="G88">
            <v>0.9107</v>
          </cell>
          <cell r="H88">
            <v>0</v>
          </cell>
          <cell r="I88">
            <v>0.867</v>
          </cell>
          <cell r="J88">
            <v>2.5212</v>
          </cell>
          <cell r="K88">
            <v>2.5704</v>
          </cell>
          <cell r="L88">
            <v>2.4827</v>
          </cell>
          <cell r="M88">
            <v>2.36</v>
          </cell>
          <cell r="N88">
            <v>2.2476</v>
          </cell>
          <cell r="O88">
            <v>2.3624</v>
          </cell>
        </row>
        <row r="89">
          <cell r="A89" t="str">
            <v>TR_TOU</v>
          </cell>
          <cell r="D89">
            <v>3.9172000000000002</v>
          </cell>
          <cell r="E89">
            <v>0</v>
          </cell>
          <cell r="F89">
            <v>0</v>
          </cell>
          <cell r="G89">
            <v>3.072</v>
          </cell>
          <cell r="H89">
            <v>0</v>
          </cell>
          <cell r="I89">
            <v>2.7751</v>
          </cell>
          <cell r="J89">
            <v>5.813</v>
          </cell>
          <cell r="K89">
            <v>5.6811</v>
          </cell>
          <cell r="L89">
            <v>5.4193</v>
          </cell>
          <cell r="M89">
            <v>4.9003</v>
          </cell>
          <cell r="N89">
            <v>4.5362</v>
          </cell>
          <cell r="O89">
            <v>5.0783000000000005</v>
          </cell>
        </row>
        <row r="90">
          <cell r="B90" t="str">
            <v>Unmetered Scattered Load</v>
          </cell>
        </row>
        <row r="91">
          <cell r="A91" t="str">
            <v>Fix_USL</v>
          </cell>
          <cell r="B91" t="str">
            <v>Service Charge</v>
          </cell>
          <cell r="C91" t="str">
            <v>$</v>
          </cell>
          <cell r="D91">
            <v>8.059999999999999</v>
          </cell>
          <cell r="E91">
            <v>14.32</v>
          </cell>
          <cell r="F91">
            <v>14.2</v>
          </cell>
          <cell r="G91">
            <v>14.17</v>
          </cell>
          <cell r="H91">
            <v>14.14</v>
          </cell>
          <cell r="I91">
            <v>14.35</v>
          </cell>
          <cell r="J91">
            <v>7.95</v>
          </cell>
          <cell r="K91">
            <v>7.88</v>
          </cell>
          <cell r="L91">
            <v>7.87</v>
          </cell>
          <cell r="M91">
            <v>7.84</v>
          </cell>
          <cell r="N91">
            <v>7.77</v>
          </cell>
          <cell r="O91">
            <v>7.16</v>
          </cell>
        </row>
        <row r="92">
          <cell r="A92" t="str">
            <v>GEA_USL</v>
          </cell>
          <cell r="B92" t="str">
            <v>GEA funding rate adder</v>
          </cell>
          <cell r="C92" t="str">
            <v>$</v>
          </cell>
          <cell r="D92">
            <v>0.2</v>
          </cell>
        </row>
        <row r="93">
          <cell r="A93" t="str">
            <v>Var_USL</v>
          </cell>
          <cell r="B93" t="str">
            <v>Distribution Volumetric Rate</v>
          </cell>
          <cell r="C93" t="str">
            <v>$/kWh</v>
          </cell>
          <cell r="D93">
            <v>0.0156</v>
          </cell>
          <cell r="E93">
            <v>0.0087</v>
          </cell>
          <cell r="F93">
            <v>0.0086</v>
          </cell>
          <cell r="G93">
            <v>0.0086</v>
          </cell>
          <cell r="H93">
            <v>0.0086</v>
          </cell>
          <cell r="I93">
            <v>0.0111</v>
          </cell>
          <cell r="J93">
            <v>0.0161</v>
          </cell>
          <cell r="K93">
            <v>0.016</v>
          </cell>
          <cell r="L93">
            <v>0.016</v>
          </cell>
          <cell r="M93">
            <v>0.0159</v>
          </cell>
          <cell r="N93">
            <v>0.0158</v>
          </cell>
          <cell r="O93">
            <v>0.0145</v>
          </cell>
        </row>
        <row r="94">
          <cell r="A94" t="str">
            <v>LV_USL</v>
          </cell>
          <cell r="B94" t="str">
            <v>Low Voltage Charge</v>
          </cell>
          <cell r="C94" t="str">
            <v>$/kWh</v>
          </cell>
          <cell r="D94">
            <v>0.0003</v>
          </cell>
          <cell r="E94">
            <v>0.0001</v>
          </cell>
          <cell r="F94">
            <v>0.0001</v>
          </cell>
          <cell r="G94">
            <v>0.0001</v>
          </cell>
          <cell r="H94">
            <v>0.0001</v>
          </cell>
          <cell r="I94">
            <v>0.0003</v>
          </cell>
          <cell r="J94">
            <v>0.0007</v>
          </cell>
          <cell r="K94">
            <v>0.0007</v>
          </cell>
          <cell r="L94">
            <v>0.0007</v>
          </cell>
          <cell r="M94">
            <v>0.0007</v>
          </cell>
          <cell r="N94">
            <v>0.0007</v>
          </cell>
        </row>
        <row r="95">
          <cell r="A95" t="str">
            <v>Reg_USL</v>
          </cell>
          <cell r="B95" t="str">
            <v>Regulatory Asset Recovery</v>
          </cell>
          <cell r="C95" t="str">
            <v>$/kWh</v>
          </cell>
          <cell r="G95">
            <v>0.0012</v>
          </cell>
          <cell r="H95">
            <v>0.0012</v>
          </cell>
          <cell r="J95">
            <v>-0.0009</v>
          </cell>
          <cell r="L95">
            <v>-0.0048000000000000004</v>
          </cell>
          <cell r="M95">
            <v>0.0002</v>
          </cell>
          <cell r="N95">
            <v>0.0002</v>
          </cell>
          <cell r="O95">
            <v>0.0021</v>
          </cell>
        </row>
        <row r="96">
          <cell r="A96" t="str">
            <v>Tax_USL</v>
          </cell>
          <cell r="B96" t="str">
            <v>Tax change</v>
          </cell>
          <cell r="C96" t="str">
            <v>$/kWh</v>
          </cell>
          <cell r="E96">
            <v>-0.0007</v>
          </cell>
          <cell r="F96">
            <v>-0.0006</v>
          </cell>
          <cell r="G96">
            <v>-0.0003</v>
          </cell>
          <cell r="J96">
            <v>-0.0005</v>
          </cell>
          <cell r="K96">
            <v>-0.0004</v>
          </cell>
          <cell r="L96">
            <v>-0.0002</v>
          </cell>
          <cell r="M96">
            <v>0</v>
          </cell>
        </row>
        <row r="97">
          <cell r="A97" t="str">
            <v>TaxF_USL</v>
          </cell>
          <cell r="B97" t="str">
            <v>Tax change/Fixed</v>
          </cell>
          <cell r="C97" t="str">
            <v>$</v>
          </cell>
          <cell r="M97">
            <v>-0.01</v>
          </cell>
        </row>
        <row r="98">
          <cell r="A98" t="str">
            <v>Late_USL</v>
          </cell>
          <cell r="B98" t="str">
            <v>Late payment charge</v>
          </cell>
          <cell r="C98" t="str">
            <v>$</v>
          </cell>
          <cell r="F98">
            <v>0.09</v>
          </cell>
          <cell r="K98">
            <v>0.09</v>
          </cell>
        </row>
        <row r="99">
          <cell r="A99" t="str">
            <v>TN_USL</v>
          </cell>
          <cell r="B99" t="str">
            <v>Retail Transmission Rate – Network Service Rate</v>
          </cell>
          <cell r="C99" t="str">
            <v>$/kWh</v>
          </cell>
          <cell r="D99">
            <v>0.0064</v>
          </cell>
          <cell r="E99">
            <v>0.0066</v>
          </cell>
          <cell r="F99">
            <v>0.0058</v>
          </cell>
          <cell r="G99">
            <v>0.0053</v>
          </cell>
          <cell r="H99">
            <v>0.0048</v>
          </cell>
          <cell r="I99">
            <v>0.0044</v>
          </cell>
          <cell r="J99">
            <v>0.0063</v>
          </cell>
          <cell r="K99">
            <v>0.006</v>
          </cell>
          <cell r="L99">
            <v>0.0057</v>
          </cell>
          <cell r="M99">
            <v>0.049</v>
          </cell>
          <cell r="N99">
            <v>0.0044</v>
          </cell>
          <cell r="O99">
            <v>0.0052</v>
          </cell>
        </row>
        <row r="100">
          <cell r="A100" t="str">
            <v>TC_USL</v>
          </cell>
          <cell r="B100" t="str">
            <v>Retail Transmission Rate – Connection</v>
          </cell>
          <cell r="C100" t="str">
            <v>$/kWh</v>
          </cell>
          <cell r="D100">
            <v>0.0031</v>
          </cell>
          <cell r="E100">
            <v>0.0027</v>
          </cell>
          <cell r="F100">
            <v>0.0026</v>
          </cell>
          <cell r="G100">
            <v>0.0025</v>
          </cell>
          <cell r="H100">
            <v>0.0024</v>
          </cell>
          <cell r="I100">
            <v>0.0023</v>
          </cell>
          <cell r="J100">
            <v>0.0048</v>
          </cell>
          <cell r="K100">
            <v>0.0049</v>
          </cell>
          <cell r="L100">
            <v>0.0047</v>
          </cell>
          <cell r="M100">
            <v>0.0045</v>
          </cell>
          <cell r="N100">
            <v>0.0043</v>
          </cell>
          <cell r="O100">
            <v>0.0045</v>
          </cell>
        </row>
        <row r="101">
          <cell r="A101" t="str">
            <v>TR_USL</v>
          </cell>
          <cell r="D101">
            <v>0.0095</v>
          </cell>
          <cell r="E101">
            <v>0.0093</v>
          </cell>
          <cell r="F101">
            <v>0.0084</v>
          </cell>
          <cell r="G101">
            <v>0.0078</v>
          </cell>
          <cell r="H101">
            <v>0.0072</v>
          </cell>
          <cell r="I101">
            <v>0.0067</v>
          </cell>
          <cell r="J101">
            <v>0.011099999999999999</v>
          </cell>
          <cell r="K101">
            <v>0.0109</v>
          </cell>
          <cell r="L101">
            <v>0.0104</v>
          </cell>
          <cell r="M101">
            <v>0.0535</v>
          </cell>
          <cell r="N101">
            <v>0.0087</v>
          </cell>
          <cell r="O101">
            <v>0.0097</v>
          </cell>
        </row>
        <row r="103">
          <cell r="B103" t="str">
            <v>Sentinel Lighting</v>
          </cell>
        </row>
        <row r="104">
          <cell r="A104" t="str">
            <v>Fix_SE</v>
          </cell>
          <cell r="B104" t="str">
            <v>Service Charge</v>
          </cell>
          <cell r="C104" t="str">
            <v>$</v>
          </cell>
          <cell r="D104">
            <v>3.51</v>
          </cell>
          <cell r="E104">
            <v>2</v>
          </cell>
          <cell r="F104">
            <v>1.98</v>
          </cell>
          <cell r="G104">
            <v>1.98</v>
          </cell>
          <cell r="H104">
            <v>1.98</v>
          </cell>
          <cell r="I104">
            <v>2.01</v>
          </cell>
        </row>
        <row r="105">
          <cell r="A105" t="str">
            <v>GEA_SE</v>
          </cell>
          <cell r="B105" t="str">
            <v>GEA funding rate adder</v>
          </cell>
          <cell r="C105" t="str">
            <v>$</v>
          </cell>
          <cell r="D105">
            <v>0.2</v>
          </cell>
        </row>
        <row r="106">
          <cell r="A106" t="str">
            <v>Var_SE</v>
          </cell>
          <cell r="B106" t="str">
            <v>Distribution Volumetric Rate</v>
          </cell>
          <cell r="C106" t="str">
            <v>$/kW</v>
          </cell>
          <cell r="D106">
            <v>8.7473</v>
          </cell>
          <cell r="E106">
            <v>9.3917</v>
          </cell>
          <cell r="F106">
            <v>9.3098</v>
          </cell>
          <cell r="G106">
            <v>9.2931</v>
          </cell>
          <cell r="H106">
            <v>9.276399999999999</v>
          </cell>
          <cell r="I106">
            <v>6.0151</v>
          </cell>
        </row>
        <row r="107">
          <cell r="A107" t="str">
            <v>LV_SE</v>
          </cell>
          <cell r="B107" t="str">
            <v>Low Voltage Charge</v>
          </cell>
          <cell r="C107" t="str">
            <v>$/kW</v>
          </cell>
          <cell r="D107">
            <v>0.1033</v>
          </cell>
          <cell r="E107">
            <v>0.0401</v>
          </cell>
          <cell r="F107">
            <v>0.0401</v>
          </cell>
          <cell r="G107">
            <v>0.0401</v>
          </cell>
          <cell r="H107">
            <v>0.0401</v>
          </cell>
          <cell r="I107">
            <v>0.0691</v>
          </cell>
        </row>
        <row r="108">
          <cell r="A108" t="str">
            <v>Reg_SE</v>
          </cell>
          <cell r="B108" t="str">
            <v>Regulatory Asset Recovery</v>
          </cell>
          <cell r="C108" t="str">
            <v>$/kW</v>
          </cell>
          <cell r="G108">
            <v>-2.8005</v>
          </cell>
          <cell r="H108">
            <v>-2.8005</v>
          </cell>
        </row>
        <row r="109">
          <cell r="A109" t="str">
            <v>Tax_SE </v>
          </cell>
          <cell r="B109" t="str">
            <v>Tax Change</v>
          </cell>
          <cell r="C109" t="str">
            <v>$/kW</v>
          </cell>
          <cell r="E109">
            <v>-0.1458</v>
          </cell>
          <cell r="F109">
            <v>-0.1216</v>
          </cell>
          <cell r="G109">
            <v>-0.0679</v>
          </cell>
        </row>
        <row r="110">
          <cell r="A110" t="str">
            <v>Late_SE</v>
          </cell>
          <cell r="B110" t="str">
            <v>Late payment charge</v>
          </cell>
          <cell r="C110" t="str">
            <v>$</v>
          </cell>
          <cell r="F110">
            <v>0.06</v>
          </cell>
        </row>
        <row r="111">
          <cell r="A111" t="str">
            <v>TN_SE</v>
          </cell>
          <cell r="B111" t="str">
            <v>Retail Transmission Rate – Network Service Rate</v>
          </cell>
          <cell r="C111" t="str">
            <v>$/kW</v>
          </cell>
          <cell r="D111">
            <v>2.0118</v>
          </cell>
          <cell r="E111">
            <v>2.0378</v>
          </cell>
          <cell r="F111">
            <v>1.7966</v>
          </cell>
          <cell r="G111">
            <v>1.6516</v>
          </cell>
          <cell r="H111">
            <v>1.4893</v>
          </cell>
          <cell r="I111">
            <v>1.3762</v>
          </cell>
        </row>
        <row r="112">
          <cell r="A112" t="str">
            <v>TC_SE</v>
          </cell>
          <cell r="B112" t="str">
            <v>Retail Transmission Rate – Connection</v>
          </cell>
          <cell r="C112" t="str">
            <v>$/kW</v>
          </cell>
          <cell r="D112">
            <v>0.8084</v>
          </cell>
          <cell r="E112">
            <v>0.8272</v>
          </cell>
          <cell r="F112">
            <v>0.7885</v>
          </cell>
          <cell r="G112">
            <v>0.7722</v>
          </cell>
          <cell r="H112">
            <v>0.7432</v>
          </cell>
          <cell r="I112">
            <v>0.7115</v>
          </cell>
        </row>
        <row r="113">
          <cell r="A113" t="str">
            <v>TR_SE</v>
          </cell>
          <cell r="D113">
            <v>2.8202</v>
          </cell>
          <cell r="E113">
            <v>2.4238</v>
          </cell>
          <cell r="F113">
            <v>2.4238</v>
          </cell>
          <cell r="G113">
            <v>2.4238</v>
          </cell>
          <cell r="H113">
            <v>2.2325</v>
          </cell>
          <cell r="I113">
            <v>2.0877</v>
          </cell>
        </row>
        <row r="115">
          <cell r="B115" t="str">
            <v>Street Lighting</v>
          </cell>
        </row>
        <row r="116">
          <cell r="A116" t="str">
            <v>Fix_SL</v>
          </cell>
          <cell r="B116" t="str">
            <v>Service Charge</v>
          </cell>
          <cell r="C116" t="str">
            <v>$</v>
          </cell>
          <cell r="D116">
            <v>1.34</v>
          </cell>
          <cell r="E116">
            <v>0.84</v>
          </cell>
          <cell r="F116">
            <v>0.83</v>
          </cell>
          <cell r="G116">
            <v>0.83</v>
          </cell>
          <cell r="H116">
            <v>0.83</v>
          </cell>
          <cell r="I116">
            <v>0.84</v>
          </cell>
          <cell r="J116">
            <v>3.02</v>
          </cell>
          <cell r="K116">
            <v>2.99</v>
          </cell>
          <cell r="L116">
            <v>2.32</v>
          </cell>
          <cell r="M116">
            <v>1.58</v>
          </cell>
          <cell r="N116">
            <v>0.98</v>
          </cell>
          <cell r="O116">
            <v>0.31</v>
          </cell>
        </row>
        <row r="117">
          <cell r="A117" t="str">
            <v>Var_SL</v>
          </cell>
          <cell r="B117" t="str">
            <v>Distribution Volumetric Rate</v>
          </cell>
          <cell r="C117" t="str">
            <v>$/kW</v>
          </cell>
          <cell r="D117">
            <v>5.885</v>
          </cell>
          <cell r="E117">
            <v>4.8616</v>
          </cell>
          <cell r="F117">
            <v>4.8192</v>
          </cell>
          <cell r="G117">
            <v>4.8105</v>
          </cell>
          <cell r="H117">
            <v>4.8019</v>
          </cell>
          <cell r="I117">
            <v>3.398</v>
          </cell>
          <cell r="J117">
            <v>11.2961</v>
          </cell>
          <cell r="K117">
            <v>11.1976</v>
          </cell>
          <cell r="L117">
            <v>8.691</v>
          </cell>
          <cell r="M117">
            <v>6.0529</v>
          </cell>
          <cell r="N117">
            <v>3.6683</v>
          </cell>
          <cell r="O117">
            <v>1.1739</v>
          </cell>
        </row>
        <row r="118">
          <cell r="A118" t="str">
            <v>LV_SL</v>
          </cell>
          <cell r="B118" t="str">
            <v>Low Voltage Charge</v>
          </cell>
          <cell r="C118" t="str">
            <v>$/kW</v>
          </cell>
          <cell r="D118">
            <v>0.0918</v>
          </cell>
          <cell r="E118">
            <v>0.0367</v>
          </cell>
          <cell r="F118">
            <v>0.0367</v>
          </cell>
          <cell r="G118">
            <v>0.0367</v>
          </cell>
          <cell r="H118">
            <v>0.0367</v>
          </cell>
          <cell r="I118">
            <v>0.0706</v>
          </cell>
          <cell r="J118">
            <v>0.2301</v>
          </cell>
          <cell r="K118">
            <v>0.2301</v>
          </cell>
          <cell r="L118">
            <v>0.2301</v>
          </cell>
          <cell r="M118">
            <v>0.2301</v>
          </cell>
          <cell r="N118">
            <v>0.2275</v>
          </cell>
        </row>
        <row r="119">
          <cell r="A119" t="str">
            <v>Reg_SL</v>
          </cell>
          <cell r="B119" t="str">
            <v>Regulatory Asset Recovery</v>
          </cell>
          <cell r="C119" t="str">
            <v>$/kW</v>
          </cell>
          <cell r="G119">
            <v>-0.8317</v>
          </cell>
          <cell r="H119">
            <v>-0.8317</v>
          </cell>
          <cell r="J119">
            <v>-0.1545</v>
          </cell>
          <cell r="L119">
            <v>-1.5676</v>
          </cell>
          <cell r="M119">
            <v>0.0666</v>
          </cell>
          <cell r="N119">
            <v>0.0666</v>
          </cell>
          <cell r="O119">
            <v>0.2019</v>
          </cell>
        </row>
        <row r="120">
          <cell r="A120" t="str">
            <v>Tax_SL</v>
          </cell>
          <cell r="B120" t="str">
            <v>Tax Change</v>
          </cell>
          <cell r="C120" t="str">
            <v>$/kW</v>
          </cell>
          <cell r="E120">
            <v>-0.1276</v>
          </cell>
          <cell r="F120">
            <v>-0.1065</v>
          </cell>
          <cell r="G120">
            <v>-0.0595</v>
          </cell>
          <cell r="J120">
            <v>-0.478</v>
          </cell>
          <cell r="K120">
            <v>-0.3213</v>
          </cell>
          <cell r="L120">
            <v>-0.1598</v>
          </cell>
          <cell r="M120">
            <v>-0.0054</v>
          </cell>
        </row>
        <row r="121">
          <cell r="A121" t="str">
            <v>Late_SL</v>
          </cell>
          <cell r="B121" t="str">
            <v>Late payment charge</v>
          </cell>
          <cell r="C121" t="str">
            <v>$</v>
          </cell>
          <cell r="F121">
            <v>0.01</v>
          </cell>
          <cell r="K121">
            <v>0.01</v>
          </cell>
        </row>
        <row r="122">
          <cell r="A122" t="str">
            <v>TN_SL</v>
          </cell>
          <cell r="B122" t="str">
            <v>Retail Transmission Rate – Network Service Rate</v>
          </cell>
          <cell r="C122" t="str">
            <v>$/kW</v>
          </cell>
          <cell r="D122">
            <v>1.9798</v>
          </cell>
          <cell r="E122">
            <v>2.0174</v>
          </cell>
          <cell r="F122">
            <v>1.7786</v>
          </cell>
          <cell r="G122">
            <v>1.6351</v>
          </cell>
          <cell r="H122">
            <v>1.4744</v>
          </cell>
          <cell r="I122">
            <v>1.3624</v>
          </cell>
          <cell r="J122">
            <v>1.9589</v>
          </cell>
          <cell r="K122">
            <v>1.8511</v>
          </cell>
          <cell r="L122">
            <v>1.7475</v>
          </cell>
          <cell r="M122">
            <v>1.5117</v>
          </cell>
          <cell r="N122">
            <v>1.3619</v>
          </cell>
          <cell r="O122">
            <v>1.6161</v>
          </cell>
        </row>
        <row r="123">
          <cell r="A123" t="str">
            <v>TC_SL</v>
          </cell>
          <cell r="B123" t="str">
            <v>Retail Transmission Rate – Connection</v>
          </cell>
          <cell r="C123" t="str">
            <v>$/kW</v>
          </cell>
          <cell r="D123">
            <v>0.8901</v>
          </cell>
          <cell r="E123">
            <v>0.7584</v>
          </cell>
          <cell r="F123">
            <v>0.723</v>
          </cell>
          <cell r="G123">
            <v>0.7081</v>
          </cell>
          <cell r="H123">
            <v>0.6815</v>
          </cell>
          <cell r="I123">
            <v>0.6524</v>
          </cell>
          <cell r="J123">
            <v>1.5002</v>
          </cell>
          <cell r="K123">
            <v>1.5295</v>
          </cell>
          <cell r="L123">
            <v>1.4773</v>
          </cell>
          <cell r="M123">
            <v>1.4043</v>
          </cell>
          <cell r="N123">
            <v>1.3374</v>
          </cell>
          <cell r="O123">
            <v>1.4057</v>
          </cell>
        </row>
        <row r="124">
          <cell r="A124" t="str">
            <v>TR_SL</v>
          </cell>
          <cell r="D124">
            <v>2.8699</v>
          </cell>
          <cell r="E124">
            <v>2.7758</v>
          </cell>
          <cell r="F124">
            <v>2.5016</v>
          </cell>
          <cell r="G124">
            <v>2.3432</v>
          </cell>
          <cell r="H124">
            <v>2.1559</v>
          </cell>
          <cell r="I124">
            <v>2.0148</v>
          </cell>
          <cell r="J124">
            <v>3.4591000000000003</v>
          </cell>
          <cell r="K124">
            <v>3.3806000000000003</v>
          </cell>
          <cell r="L124">
            <v>3.2248</v>
          </cell>
          <cell r="M124">
            <v>2.9160000000000004</v>
          </cell>
          <cell r="N124">
            <v>2.6993</v>
          </cell>
          <cell r="O124">
            <v>3.0218</v>
          </cell>
        </row>
        <row r="126">
          <cell r="A126" t="str">
            <v>LF</v>
          </cell>
          <cell r="B126" t="str">
            <v>Loss factor</v>
          </cell>
          <cell r="C126" t="str">
            <v>LF</v>
          </cell>
          <cell r="D126">
            <v>1.0345</v>
          </cell>
          <cell r="E126">
            <v>1.0299</v>
          </cell>
          <cell r="F126">
            <v>1.0299</v>
          </cell>
          <cell r="G126">
            <v>1.0299</v>
          </cell>
          <cell r="H126">
            <v>1.0299</v>
          </cell>
          <cell r="I126">
            <v>1.0368</v>
          </cell>
          <cell r="J126">
            <v>1.0565</v>
          </cell>
          <cell r="K126">
            <v>1.0565</v>
          </cell>
          <cell r="L126">
            <v>1.0565</v>
          </cell>
          <cell r="M126">
            <v>1.0565</v>
          </cell>
          <cell r="N126">
            <v>1.0565</v>
          </cell>
          <cell r="O126">
            <v>1.051</v>
          </cell>
        </row>
        <row r="127">
          <cell r="A127" t="str">
            <v>LF_LU</v>
          </cell>
          <cell r="B127" t="str">
            <v>Loss factor - Large users</v>
          </cell>
          <cell r="C127" t="str">
            <v>LF LU</v>
          </cell>
          <cell r="D127">
            <v>1.0145</v>
          </cell>
          <cell r="E127">
            <v>1.0145</v>
          </cell>
          <cell r="F127">
            <v>1.0145</v>
          </cell>
          <cell r="G127">
            <v>1.0145</v>
          </cell>
          <cell r="H127">
            <v>1.0145</v>
          </cell>
          <cell r="I127">
            <v>1.0145</v>
          </cell>
          <cell r="J127">
            <v>1.0145</v>
          </cell>
          <cell r="K127">
            <v>1.0145</v>
          </cell>
          <cell r="L127">
            <v>1.0145</v>
          </cell>
          <cell r="M127">
            <v>1.0145</v>
          </cell>
          <cell r="N127">
            <v>1.0145</v>
          </cell>
          <cell r="O127">
            <v>1.0145</v>
          </cell>
        </row>
        <row r="129">
          <cell r="D129">
            <v>0.08149999999999999</v>
          </cell>
          <cell r="E129">
            <v>0.08149999999999999</v>
          </cell>
          <cell r="F129">
            <v>0.069</v>
          </cell>
          <cell r="G129">
            <v>0.07</v>
          </cell>
          <cell r="H129">
            <v>0.0615</v>
          </cell>
          <cell r="I129">
            <v>0.0545</v>
          </cell>
        </row>
        <row r="130">
          <cell r="B130" t="str">
            <v>Commodity Price</v>
          </cell>
        </row>
        <row r="131">
          <cell r="D131" t="str">
            <v>May 1st, 2013</v>
          </cell>
          <cell r="E131" t="str">
            <v>May 1st, 2012</v>
          </cell>
          <cell r="F131" t="str">
            <v>May 1st, 2011</v>
          </cell>
          <cell r="G131" t="str">
            <v>May 1st, 2010</v>
          </cell>
          <cell r="H131" t="str">
            <v>May 1st, 2009</v>
          </cell>
          <cell r="I131" t="str">
            <v>May 1st, 2008</v>
          </cell>
        </row>
        <row r="132">
          <cell r="B132" t="str">
            <v> Tier 1</v>
          </cell>
          <cell r="C132" t="str">
            <v>$/kWh</v>
          </cell>
          <cell r="D132">
            <v>0.075</v>
          </cell>
          <cell r="E132">
            <v>0.075</v>
          </cell>
          <cell r="F132">
            <v>0.064</v>
          </cell>
          <cell r="G132">
            <v>0.065</v>
          </cell>
          <cell r="H132">
            <v>0.057</v>
          </cell>
          <cell r="I132">
            <v>0.05</v>
          </cell>
        </row>
        <row r="133">
          <cell r="B133" t="str">
            <v> Tier 2</v>
          </cell>
          <cell r="C133" t="str">
            <v>$/kWh</v>
          </cell>
          <cell r="D133">
            <v>0.088</v>
          </cell>
          <cell r="E133">
            <v>0.088</v>
          </cell>
          <cell r="F133">
            <v>0.074</v>
          </cell>
          <cell r="G133">
            <v>0.075</v>
          </cell>
          <cell r="H133">
            <v>0.066</v>
          </cell>
          <cell r="I133">
            <v>0.059</v>
          </cell>
        </row>
        <row r="134">
          <cell r="B134" t="str">
            <v>Non- RPP</v>
          </cell>
          <cell r="C134" t="str">
            <v>$/kWh</v>
          </cell>
          <cell r="D134">
            <v>0.082</v>
          </cell>
          <cell r="E134">
            <v>0.082</v>
          </cell>
          <cell r="F134">
            <v>0.055</v>
          </cell>
          <cell r="G134">
            <v>0.055</v>
          </cell>
          <cell r="H134">
            <v>0.055</v>
          </cell>
          <cell r="I134">
            <v>0.055</v>
          </cell>
        </row>
        <row r="135">
          <cell r="D135" t="str">
            <v>Nov 1st, 2013</v>
          </cell>
          <cell r="E135" t="str">
            <v>Nov 1st, 2012</v>
          </cell>
          <cell r="F135" t="str">
            <v>Nov 1st, 2011</v>
          </cell>
          <cell r="G135" t="str">
            <v>Nov 1st, 2010</v>
          </cell>
          <cell r="H135" t="str">
            <v>Nov 1st, 2009</v>
          </cell>
          <cell r="I135" t="str">
            <v>Nov 1st, 2008</v>
          </cell>
        </row>
        <row r="136">
          <cell r="D136">
            <v>0.075</v>
          </cell>
          <cell r="E136">
            <v>0.075</v>
          </cell>
          <cell r="F136">
            <v>0.071</v>
          </cell>
          <cell r="G136">
            <v>0.064</v>
          </cell>
          <cell r="H136">
            <v>0.058</v>
          </cell>
          <cell r="I136">
            <v>0.056</v>
          </cell>
        </row>
        <row r="137">
          <cell r="D137">
            <v>0.088</v>
          </cell>
          <cell r="E137">
            <v>0.088</v>
          </cell>
          <cell r="F137">
            <v>0.083</v>
          </cell>
          <cell r="G137">
            <v>0.074</v>
          </cell>
          <cell r="H137">
            <v>0.067</v>
          </cell>
          <cell r="I137">
            <v>0.065</v>
          </cell>
        </row>
        <row r="139">
          <cell r="B139" t="str">
            <v>Other Charges</v>
          </cell>
          <cell r="D139">
            <v>2013</v>
          </cell>
          <cell r="E139">
            <v>2012</v>
          </cell>
          <cell r="F139">
            <v>2011</v>
          </cell>
          <cell r="G139">
            <v>2010</v>
          </cell>
          <cell r="H139">
            <v>2009</v>
          </cell>
          <cell r="I139">
            <v>2008</v>
          </cell>
        </row>
        <row r="140">
          <cell r="B140" t="str">
            <v>Wholesale Market Service Rate </v>
          </cell>
          <cell r="C140" t="str">
            <v>$/kWh</v>
          </cell>
          <cell r="D140">
            <v>0.0052</v>
          </cell>
          <cell r="E140">
            <v>0.0052</v>
          </cell>
          <cell r="F140">
            <v>0.0052</v>
          </cell>
          <cell r="G140">
            <v>0.0052</v>
          </cell>
          <cell r="H140">
            <v>0.0052</v>
          </cell>
          <cell r="I140">
            <v>0.0052</v>
          </cell>
        </row>
        <row r="141">
          <cell r="B141" t="str">
            <v>Rural Rate Protection Charge</v>
          </cell>
          <cell r="C141" t="str">
            <v>$/kWh</v>
          </cell>
          <cell r="D141">
            <v>0.0011</v>
          </cell>
          <cell r="E141">
            <v>0.0011</v>
          </cell>
          <cell r="F141">
            <v>0.0013</v>
          </cell>
          <cell r="G141">
            <v>0.0013</v>
          </cell>
          <cell r="H141">
            <v>0.0013</v>
          </cell>
          <cell r="I141">
            <v>0.001</v>
          </cell>
        </row>
        <row r="142">
          <cell r="B142" t="str">
            <v>Debt Retirement Charge</v>
          </cell>
          <cell r="C142" t="str">
            <v>$/kWh</v>
          </cell>
          <cell r="D142">
            <v>0.007</v>
          </cell>
          <cell r="E142">
            <v>0.007</v>
          </cell>
          <cell r="F142">
            <v>0.007</v>
          </cell>
          <cell r="G142">
            <v>0.007</v>
          </cell>
          <cell r="H142">
            <v>0.007</v>
          </cell>
          <cell r="I142">
            <v>0.007</v>
          </cell>
        </row>
        <row r="143">
          <cell r="B143" t="str">
            <v>SPC</v>
          </cell>
          <cell r="C143" t="str">
            <v>$/kWh</v>
          </cell>
          <cell r="G143">
            <v>0.0004</v>
          </cell>
        </row>
        <row r="144">
          <cell r="B144" t="str">
            <v>Total </v>
          </cell>
          <cell r="D144">
            <v>0.0133</v>
          </cell>
          <cell r="E144">
            <v>0.0133</v>
          </cell>
          <cell r="F144">
            <v>0.0135</v>
          </cell>
          <cell r="G144">
            <v>0.0139</v>
          </cell>
          <cell r="H144">
            <v>0.0135</v>
          </cell>
          <cell r="I144">
            <v>0.0132</v>
          </cell>
        </row>
        <row r="146">
          <cell r="B146" t="str">
            <v>Admin charge</v>
          </cell>
          <cell r="D146">
            <v>0.25</v>
          </cell>
          <cell r="E146">
            <v>0.25</v>
          </cell>
          <cell r="F146">
            <v>0.25</v>
          </cell>
        </row>
      </sheetData>
      <sheetData sheetId="13">
        <row r="9">
          <cell r="C9" t="str">
            <v>Arrears certificate </v>
          </cell>
          <cell r="E9">
            <v>15</v>
          </cell>
        </row>
        <row r="10">
          <cell r="C10" t="str">
            <v>Statement of account</v>
          </cell>
          <cell r="D10">
            <v>1</v>
          </cell>
          <cell r="E10">
            <v>15</v>
          </cell>
        </row>
        <row r="11">
          <cell r="C11" t="str">
            <v>Pulling post dated cheques</v>
          </cell>
          <cell r="E11">
            <v>15</v>
          </cell>
        </row>
        <row r="12">
          <cell r="C12" t="str">
            <v>Duplicate invoices for previous billing </v>
          </cell>
          <cell r="E12">
            <v>15</v>
          </cell>
        </row>
        <row r="13">
          <cell r="C13" t="str">
            <v>Request for other billing information</v>
          </cell>
          <cell r="E13">
            <v>15</v>
          </cell>
        </row>
        <row r="14">
          <cell r="C14" t="str">
            <v>Easement letter</v>
          </cell>
          <cell r="E14">
            <v>15</v>
          </cell>
        </row>
        <row r="15">
          <cell r="C15" t="str">
            <v>Income tax letter </v>
          </cell>
          <cell r="E15">
            <v>15</v>
          </cell>
        </row>
        <row r="16">
          <cell r="C16" t="str">
            <v>Notification charge</v>
          </cell>
          <cell r="E16">
            <v>15</v>
          </cell>
        </row>
        <row r="17">
          <cell r="C17" t="str">
            <v>Account history</v>
          </cell>
          <cell r="E17">
            <v>15</v>
          </cell>
        </row>
        <row r="18">
          <cell r="C18" t="str">
            <v>Credit reference/credit check (plus credit agency costs)</v>
          </cell>
          <cell r="E18">
            <v>15</v>
          </cell>
        </row>
        <row r="19">
          <cell r="C19" t="str">
            <v>Returned cheque charge (plus bank charges)</v>
          </cell>
          <cell r="E19">
            <v>15</v>
          </cell>
        </row>
        <row r="20">
          <cell r="C20" t="str">
            <v>Charge to certify cheque</v>
          </cell>
          <cell r="E20">
            <v>15</v>
          </cell>
        </row>
        <row r="21">
          <cell r="C21" t="str">
            <v>Legal letter charge</v>
          </cell>
          <cell r="E21">
            <v>15</v>
          </cell>
        </row>
        <row r="22">
          <cell r="C22" t="str">
            <v>Account set up charge/change of occupancy charge (plus credit agency costs if applicable)</v>
          </cell>
          <cell r="E22">
            <v>30</v>
          </cell>
        </row>
        <row r="23">
          <cell r="C23" t="str">
            <v>Special meter reads</v>
          </cell>
          <cell r="E23">
            <v>30</v>
          </cell>
        </row>
        <row r="24">
          <cell r="C24" t="str">
            <v>Collection of account charge - no disconnection</v>
          </cell>
          <cell r="E24">
            <v>30</v>
          </cell>
        </row>
        <row r="25">
          <cell r="C25" t="str">
            <v>Collection of account charge  - no disconnection - after regular hours</v>
          </cell>
          <cell r="E25">
            <v>165</v>
          </cell>
        </row>
        <row r="26">
          <cell r="C26" t="str">
            <v>Disconnect/Reconnect at meter - during regular hours </v>
          </cell>
          <cell r="E26">
            <v>65</v>
          </cell>
        </row>
        <row r="27">
          <cell r="C27" t="str">
            <v>Install/Remove load control device - during regular hours</v>
          </cell>
          <cell r="E27">
            <v>65</v>
          </cell>
        </row>
        <row r="28">
          <cell r="C28" t="str">
            <v>Disconnect/Reconnect at meter - after regular hours</v>
          </cell>
          <cell r="E28">
            <v>185</v>
          </cell>
        </row>
        <row r="29">
          <cell r="C29" t="str">
            <v>Install/Remove load control device - after regular hours</v>
          </cell>
          <cell r="E29">
            <v>185</v>
          </cell>
        </row>
        <row r="30">
          <cell r="C30" t="str">
            <v>Disconnect/Reconnect at pole - during regular hours </v>
          </cell>
          <cell r="E30">
            <v>185</v>
          </cell>
        </row>
        <row r="31">
          <cell r="C31" t="str">
            <v>Disconnect/Reconnect at pole - after regular hours </v>
          </cell>
          <cell r="E31">
            <v>415</v>
          </cell>
        </row>
        <row r="32">
          <cell r="C32" t="str">
            <v>Meter dispute charge plus Measurement Canada fees (if meter found correct)</v>
          </cell>
          <cell r="E32">
            <v>30</v>
          </cell>
        </row>
        <row r="33">
          <cell r="C33" t="str">
            <v>Service call - customer-owned equipment</v>
          </cell>
          <cell r="E33">
            <v>30</v>
          </cell>
        </row>
        <row r="34">
          <cell r="C34" t="str">
            <v>Service call - after regular hours</v>
          </cell>
          <cell r="E34">
            <v>165</v>
          </cell>
        </row>
        <row r="35">
          <cell r="C35" t="str">
            <v>Temporary service install &amp; remove - overhead - no transformer</v>
          </cell>
          <cell r="E35">
            <v>500</v>
          </cell>
        </row>
        <row r="36">
          <cell r="C36" t="str">
            <v>Temporary service install &amp; remove - underground - no transformer</v>
          </cell>
          <cell r="E36">
            <v>300</v>
          </cell>
        </row>
        <row r="37">
          <cell r="C37" t="str">
            <v>Temporary service install &amp; remove - overhead - with transformer</v>
          </cell>
          <cell r="E37">
            <v>1000</v>
          </cell>
        </row>
        <row r="38">
          <cell r="C38" t="str">
            <v>Specific Charge for Access to the Power Poles $/pole/year</v>
          </cell>
          <cell r="D38">
            <v>2</v>
          </cell>
          <cell r="E38">
            <v>22.35</v>
          </cell>
        </row>
        <row r="39">
          <cell r="C39" t="str">
            <v>BHDI Special Service Charges</v>
          </cell>
        </row>
        <row r="41">
          <cell r="C41" t="str">
            <v>Total Specific Charges</v>
          </cell>
        </row>
      </sheetData>
      <sheetData sheetId="26">
        <row r="19">
          <cell r="L19">
            <v>838472594.7748078</v>
          </cell>
        </row>
      </sheetData>
      <sheetData sheetId="29">
        <row r="44">
          <cell r="M44">
            <v>169487804.10558373</v>
          </cell>
        </row>
      </sheetData>
      <sheetData sheetId="31">
        <row r="18">
          <cell r="A18">
            <v>1000000</v>
          </cell>
        </row>
      </sheetData>
      <sheetData sheetId="42">
        <row r="99">
          <cell r="B99" t="str">
            <v>Reg_R</v>
          </cell>
          <cell r="C99" t="str">
            <v>Residential </v>
          </cell>
          <cell r="D99">
            <v>0</v>
          </cell>
          <cell r="E99">
            <v>-0.0006</v>
          </cell>
          <cell r="F99">
            <v>0</v>
          </cell>
          <cell r="G99">
            <v>0.0017</v>
          </cell>
          <cell r="H99">
            <v>0.0008</v>
          </cell>
          <cell r="I99">
            <v>0.003</v>
          </cell>
        </row>
        <row r="100">
          <cell r="B100" t="str">
            <v>Reg_GS</v>
          </cell>
          <cell r="C100" t="str">
            <v>General Service &lt;50 Kw </v>
          </cell>
          <cell r="D100">
            <v>0</v>
          </cell>
          <cell r="E100">
            <v>-0.0004</v>
          </cell>
          <cell r="F100">
            <v>-0.0012</v>
          </cell>
          <cell r="G100">
            <v>0.0017</v>
          </cell>
          <cell r="H100">
            <v>-0.0009</v>
          </cell>
          <cell r="I100">
            <v>0.003</v>
          </cell>
        </row>
        <row r="101">
          <cell r="B101" t="str">
            <v>Reg_GSL</v>
          </cell>
          <cell r="C101" t="str">
            <v>General Service &gt;50 Kw </v>
          </cell>
          <cell r="D101">
            <v>0</v>
          </cell>
          <cell r="E101">
            <v>-0.0705</v>
          </cell>
          <cell r="F101">
            <v>-0.5397</v>
          </cell>
          <cell r="G101">
            <v>0.0017</v>
          </cell>
          <cell r="H101">
            <v>-0.5536</v>
          </cell>
          <cell r="I101">
            <v>0.003</v>
          </cell>
        </row>
        <row r="102">
          <cell r="B102" t="str">
            <v>Reg_LU</v>
          </cell>
          <cell r="C102" t="str">
            <v>Large User </v>
          </cell>
          <cell r="D102">
            <v>0</v>
          </cell>
          <cell r="E102">
            <v>0</v>
          </cell>
          <cell r="F102">
            <v>-0.1895</v>
          </cell>
          <cell r="G102">
            <v>0.0017</v>
          </cell>
          <cell r="H102">
            <v>-0.0829</v>
          </cell>
          <cell r="I102">
            <v>0.0001</v>
          </cell>
        </row>
        <row r="103">
          <cell r="B103" t="str">
            <v>Reg_USL</v>
          </cell>
          <cell r="C103" t="str">
            <v>Unmetered Scattered Load</v>
          </cell>
          <cell r="D103">
            <v>0</v>
          </cell>
          <cell r="E103">
            <v>-0.0009</v>
          </cell>
          <cell r="F103">
            <v>-0.0022</v>
          </cell>
          <cell r="G103">
            <v>0.0017</v>
          </cell>
          <cell r="H103">
            <v>-0.0014</v>
          </cell>
          <cell r="I103">
            <v>0.003</v>
          </cell>
        </row>
        <row r="104">
          <cell r="B104" t="str">
            <v>Reg_SE</v>
          </cell>
          <cell r="C104" t="str">
            <v>Sentinel Lights</v>
          </cell>
          <cell r="D104">
            <v>0</v>
          </cell>
          <cell r="E104">
            <v>0</v>
          </cell>
          <cell r="F104">
            <v>-0.7433</v>
          </cell>
          <cell r="G104">
            <v>0.0017</v>
          </cell>
          <cell r="H104">
            <v>-0.2135</v>
          </cell>
          <cell r="I104">
            <v>0.003</v>
          </cell>
        </row>
        <row r="105">
          <cell r="B105" t="str">
            <v>Reg_SL</v>
          </cell>
          <cell r="C105" t="str">
            <v>Street Lighting</v>
          </cell>
          <cell r="D105">
            <v>0</v>
          </cell>
          <cell r="E105">
            <v>-0.1545</v>
          </cell>
          <cell r="F105">
            <v>-0.6372</v>
          </cell>
          <cell r="G105">
            <v>0.0017</v>
          </cell>
          <cell r="H105">
            <v>-0.4548</v>
          </cell>
          <cell r="I105">
            <v>0.0001</v>
          </cell>
        </row>
      </sheetData>
      <sheetData sheetId="45">
        <row r="62">
          <cell r="D62" t="str">
            <v>Residential</v>
          </cell>
        </row>
        <row r="63">
          <cell r="A63" t="str">
            <v>Fix_R</v>
          </cell>
          <cell r="C63" t="str">
            <v>Residential</v>
          </cell>
          <cell r="D63" t="str">
            <v>Service Charge</v>
          </cell>
          <cell r="E63" t="str">
            <v>$</v>
          </cell>
          <cell r="F63">
            <v>13.57</v>
          </cell>
        </row>
        <row r="64">
          <cell r="A64" t="str">
            <v>Var_R</v>
          </cell>
          <cell r="C64" t="str">
            <v>Residential - volume</v>
          </cell>
          <cell r="D64" t="str">
            <v>Distribution Volumetric Rate</v>
          </cell>
          <cell r="E64" t="str">
            <v>$/kWh</v>
          </cell>
          <cell r="F64">
            <v>0.0151</v>
          </cell>
        </row>
        <row r="65">
          <cell r="A65" t="str">
            <v>LV_R</v>
          </cell>
          <cell r="D65" t="str">
            <v>Low Voltage Charge</v>
          </cell>
          <cell r="E65" t="str">
            <v>$/kWh</v>
          </cell>
          <cell r="F65">
            <v>0.0003</v>
          </cell>
        </row>
        <row r="66">
          <cell r="C66" t="str">
            <v>Residential - Rate Rider 1</v>
          </cell>
          <cell r="E66" t="str">
            <v>$/kWh</v>
          </cell>
        </row>
        <row r="67">
          <cell r="C67" t="str">
            <v>Residential - Rate Rider 2</v>
          </cell>
          <cell r="E67" t="str">
            <v>$/kWh</v>
          </cell>
        </row>
        <row r="68">
          <cell r="A68" t="str">
            <v>GEA_R</v>
          </cell>
          <cell r="C68" t="str">
            <v>Residential - reg asset</v>
          </cell>
          <cell r="D68" t="str">
            <v>GEA Rate Adder</v>
          </cell>
          <cell r="E68" t="str">
            <v>$/kWh</v>
          </cell>
          <cell r="F68">
            <v>0.2</v>
          </cell>
        </row>
        <row r="69">
          <cell r="A69" t="str">
            <v>TN_R</v>
          </cell>
          <cell r="C69" t="str">
            <v>Residential - RTR Network 1</v>
          </cell>
          <cell r="D69" t="str">
            <v>Retail Transmission Rate – Network Service Rate</v>
          </cell>
          <cell r="E69" t="str">
            <v>$/kWh</v>
          </cell>
          <cell r="F69">
            <v>0.0071</v>
          </cell>
        </row>
        <row r="70">
          <cell r="A70" t="str">
            <v>TC_R</v>
          </cell>
          <cell r="C70" t="str">
            <v>Residential - RTR Connection 1</v>
          </cell>
          <cell r="D70" t="str">
            <v>Retail Transmission Rate – Line and Transformation Connection Service Rate</v>
          </cell>
          <cell r="E70" t="str">
            <v>$/kWh</v>
          </cell>
          <cell r="F70">
            <v>0.0032</v>
          </cell>
        </row>
        <row r="71">
          <cell r="C71" t="str">
            <v>Residential - WMSR</v>
          </cell>
          <cell r="D71" t="str">
            <v>Wholesale Market Service Rate </v>
          </cell>
          <cell r="E71" t="str">
            <v>$/kWh</v>
          </cell>
          <cell r="F71">
            <v>0.0052</v>
          </cell>
        </row>
        <row r="72">
          <cell r="C72" t="str">
            <v>Residential - RRPC</v>
          </cell>
          <cell r="D72" t="str">
            <v>Rural Rate Protection Charge</v>
          </cell>
          <cell r="E72" t="str">
            <v>$/kWh</v>
          </cell>
          <cell r="F72">
            <v>0.0011</v>
          </cell>
        </row>
        <row r="73">
          <cell r="C73" t="str">
            <v>Residential - RPP</v>
          </cell>
          <cell r="D73" t="str">
            <v>Regulated Price Plan – Administration Charge</v>
          </cell>
          <cell r="E73" t="str">
            <v>$</v>
          </cell>
          <cell r="F73">
            <v>0.25</v>
          </cell>
        </row>
        <row r="75">
          <cell r="D75" t="str">
            <v>General Service Less Than 50 kW</v>
          </cell>
        </row>
        <row r="76">
          <cell r="A76" t="str">
            <v>Fix_GS</v>
          </cell>
          <cell r="C76" t="str">
            <v>General Service Less Than 50 kW</v>
          </cell>
          <cell r="D76" t="str">
            <v>Service Charge</v>
          </cell>
          <cell r="E76" t="str">
            <v>$</v>
          </cell>
          <cell r="F76">
            <v>27.91</v>
          </cell>
        </row>
        <row r="77">
          <cell r="A77" t="str">
            <v>Var_GS</v>
          </cell>
          <cell r="C77" t="str">
            <v>General Service Less Than 50 kW - volume</v>
          </cell>
          <cell r="D77" t="str">
            <v>Distribution Volumetric Rate</v>
          </cell>
          <cell r="E77" t="str">
            <v>$/kWh</v>
          </cell>
          <cell r="F77">
            <v>0.0148</v>
          </cell>
        </row>
        <row r="78">
          <cell r="A78" t="str">
            <v>LV_GS</v>
          </cell>
          <cell r="D78" t="str">
            <v>Low Voltage Charge</v>
          </cell>
          <cell r="E78" t="str">
            <v>$/kWh</v>
          </cell>
          <cell r="F78">
            <v>0.0003</v>
          </cell>
        </row>
        <row r="79">
          <cell r="C79" t="str">
            <v>General Service Less Than 50 kW - Rate Rider 1</v>
          </cell>
          <cell r="E79" t="str">
            <v>$/kWh</v>
          </cell>
        </row>
        <row r="80">
          <cell r="C80" t="str">
            <v>General Service Less Than 50 kW - Rate Rider 2</v>
          </cell>
          <cell r="E80" t="str">
            <v>$/kWh</v>
          </cell>
        </row>
        <row r="81">
          <cell r="A81" t="str">
            <v>GEA_GS</v>
          </cell>
          <cell r="C81" t="str">
            <v>General Service Less Than 50 kW - reg asset</v>
          </cell>
          <cell r="D81" t="str">
            <v>GEA Rate Adder</v>
          </cell>
          <cell r="E81" t="str">
            <v>$/kWh</v>
          </cell>
          <cell r="F81">
            <v>0.2</v>
          </cell>
        </row>
        <row r="82">
          <cell r="A82" t="str">
            <v>TN_GS</v>
          </cell>
          <cell r="C82" t="str">
            <v>General Service Less Than 50 kW - RTR Network 1</v>
          </cell>
          <cell r="D82" t="str">
            <v>Retail Transmission Rate – Network Service Rate</v>
          </cell>
          <cell r="E82" t="str">
            <v>$/kWh</v>
          </cell>
          <cell r="F82">
            <v>0.0065</v>
          </cell>
        </row>
        <row r="83">
          <cell r="A83" t="str">
            <v>TC_GS</v>
          </cell>
          <cell r="C83" t="str">
            <v>General Service Less Than 50 kW - RTR Connection 1</v>
          </cell>
          <cell r="D83" t="str">
            <v>Retail Transmission Rate – Line and Transformation Connection Service Rate</v>
          </cell>
          <cell r="E83" t="str">
            <v>$/kWh</v>
          </cell>
          <cell r="F83">
            <v>0.0028</v>
          </cell>
        </row>
        <row r="84">
          <cell r="C84" t="str">
            <v>General Service Less Than 50 kW - WMSR</v>
          </cell>
          <cell r="D84" t="str">
            <v>Wholesale Market Service Rate </v>
          </cell>
          <cell r="E84" t="str">
            <v>$/kWh</v>
          </cell>
          <cell r="F84">
            <v>0.0052</v>
          </cell>
        </row>
        <row r="85">
          <cell r="C85" t="str">
            <v>General Service Less Than 50 kW - RRPC</v>
          </cell>
          <cell r="D85" t="str">
            <v>Rural Rate Protection Charge</v>
          </cell>
          <cell r="E85" t="str">
            <v>$/kWh</v>
          </cell>
          <cell r="F85">
            <v>0.0011</v>
          </cell>
        </row>
        <row r="86">
          <cell r="C86" t="str">
            <v>General Service Less Than 50 kW - RPP</v>
          </cell>
          <cell r="D86" t="str">
            <v>Regulated Price Plan – Administration Charge</v>
          </cell>
          <cell r="E86" t="str">
            <v>$</v>
          </cell>
          <cell r="F86">
            <v>0.25</v>
          </cell>
        </row>
        <row r="88">
          <cell r="D88" t="str">
            <v>General Service 50 to 4,999 kW</v>
          </cell>
        </row>
        <row r="89">
          <cell r="A89" t="str">
            <v>Fix_GSL</v>
          </cell>
          <cell r="C89" t="str">
            <v>General Service 50 to 4,999 kW</v>
          </cell>
          <cell r="D89" t="str">
            <v>Service Charge</v>
          </cell>
          <cell r="E89" t="str">
            <v>$</v>
          </cell>
          <cell r="F89">
            <v>148.18</v>
          </cell>
        </row>
        <row r="90">
          <cell r="A90" t="str">
            <v>Var_GSL</v>
          </cell>
          <cell r="C90" t="str">
            <v>General Service 50 to 4,999 kW - volume</v>
          </cell>
          <cell r="D90" t="str">
            <v>Distribution Volumetric Rate</v>
          </cell>
          <cell r="E90" t="str">
            <v>$/kW</v>
          </cell>
          <cell r="F90">
            <v>3.5449</v>
          </cell>
        </row>
        <row r="91">
          <cell r="A91" t="str">
            <v>LV_GSL</v>
          </cell>
          <cell r="D91" t="str">
            <v>Low Voltage Charge</v>
          </cell>
          <cell r="E91" t="str">
            <v>$/kW</v>
          </cell>
          <cell r="F91">
            <v>0.1191</v>
          </cell>
        </row>
        <row r="92">
          <cell r="C92" t="str">
            <v>General Service 50 to 4,999 kW - Rate Rider 1</v>
          </cell>
          <cell r="E92" t="str">
            <v>$/kW</v>
          </cell>
        </row>
        <row r="93">
          <cell r="C93" t="str">
            <v>General Service 50 to 4,999 kW - Rate Rider 2</v>
          </cell>
          <cell r="E93" t="str">
            <v>$/kW</v>
          </cell>
        </row>
        <row r="94">
          <cell r="A94" t="str">
            <v>GEA_GSL</v>
          </cell>
          <cell r="C94" t="str">
            <v>General Service 50 to 4,999 kW - reg asset</v>
          </cell>
          <cell r="D94" t="str">
            <v>GEA Rate Adder</v>
          </cell>
          <cell r="E94" t="str">
            <v>$/kW</v>
          </cell>
          <cell r="F94">
            <v>0.2</v>
          </cell>
        </row>
        <row r="95">
          <cell r="A95" t="str">
            <v>TN_GSL</v>
          </cell>
          <cell r="C95" t="str">
            <v>General Service 50 to 4,999 kW - RTR Network 1</v>
          </cell>
          <cell r="D95" t="str">
            <v>Retail Transmission Rate – Network Service Rate</v>
          </cell>
          <cell r="E95" t="str">
            <v>$/kW</v>
          </cell>
          <cell r="F95">
            <v>2.603</v>
          </cell>
        </row>
        <row r="96">
          <cell r="A96" t="str">
            <v>TC_GSL</v>
          </cell>
          <cell r="C96" t="str">
            <v>General Service 50 to 4,999 kW - RTR Connection 1</v>
          </cell>
          <cell r="D96" t="str">
            <v>Retail Transmission Rate – Line and Transformation Connection Service Rate</v>
          </cell>
          <cell r="E96" t="str">
            <v>$/kW</v>
          </cell>
          <cell r="F96">
            <v>1.0984</v>
          </cell>
        </row>
        <row r="97">
          <cell r="A97" t="str">
            <v>TN_TOU</v>
          </cell>
          <cell r="C97" t="str">
            <v>Distribution Volumetric Rate - RTR Network 1</v>
          </cell>
          <cell r="D97" t="str">
            <v>Retail Transmission Rate – Network Service Rate - Interval Metered</v>
          </cell>
          <cell r="E97" t="str">
            <v>$/kW</v>
          </cell>
          <cell r="F97">
            <v>2.7288</v>
          </cell>
        </row>
        <row r="98">
          <cell r="A98" t="str">
            <v>TC_TOU</v>
          </cell>
          <cell r="C98" t="str">
            <v>Distribution Volumetric Rate - RTR Connection 1</v>
          </cell>
          <cell r="D98" t="str">
            <v>Retail Transmission Rate – Line and Transformation Connection Service Rate - Interval metered</v>
          </cell>
          <cell r="E98" t="str">
            <v>$/kW</v>
          </cell>
          <cell r="F98">
            <v>1.1884</v>
          </cell>
        </row>
        <row r="99">
          <cell r="C99" t="str">
            <v>General Service 50 to 4,999 kW - WMSR</v>
          </cell>
          <cell r="D99" t="str">
            <v>Wholesale Market Service Rate </v>
          </cell>
          <cell r="E99" t="str">
            <v>$/kWh</v>
          </cell>
          <cell r="F99">
            <v>0.0052</v>
          </cell>
        </row>
        <row r="100">
          <cell r="C100" t="str">
            <v>General Service 50 to 4,999 kW - RRPC</v>
          </cell>
          <cell r="D100" t="str">
            <v>Rural Rate Protection Charge</v>
          </cell>
          <cell r="E100" t="str">
            <v>$/kWh</v>
          </cell>
          <cell r="F100">
            <v>0.0011</v>
          </cell>
        </row>
        <row r="101">
          <cell r="C101" t="str">
            <v>General Service 50 to 4,999 kW - RPP</v>
          </cell>
          <cell r="D101" t="str">
            <v>Regulated Price Plan – Administration Charge</v>
          </cell>
          <cell r="E101" t="str">
            <v>$</v>
          </cell>
          <cell r="F101">
            <v>0.25</v>
          </cell>
        </row>
        <row r="103">
          <cell r="D103" t="str">
            <v>General Service 50 to 4,999 kW - Time Of Use</v>
          </cell>
        </row>
        <row r="104">
          <cell r="A104" t="str">
            <v>Fix_TOU</v>
          </cell>
          <cell r="C104" t="str">
            <v>General Service 50 to 4,999 kW - Time Of Use</v>
          </cell>
          <cell r="D104" t="str">
            <v>Service Charge</v>
          </cell>
          <cell r="E104" t="str">
            <v>$</v>
          </cell>
          <cell r="F104">
            <v>0</v>
          </cell>
        </row>
        <row r="105">
          <cell r="A105" t="str">
            <v>Var_TOU</v>
          </cell>
          <cell r="C105" t="str">
            <v>General Service 50 to 4,999 kW - Time Of Use - volume</v>
          </cell>
          <cell r="D105" t="str">
            <v>Distribution Volumetric Rate</v>
          </cell>
          <cell r="E105" t="str">
            <v>$/kW</v>
          </cell>
          <cell r="F105">
            <v>0</v>
          </cell>
        </row>
        <row r="106">
          <cell r="C106" t="str">
            <v>General Service 50 to 4,999 kW - Time Of Use - Rate Rider 1</v>
          </cell>
          <cell r="D106" t="str">
            <v>LRAM / SSM Rider </v>
          </cell>
          <cell r="E106" t="str">
            <v>$/kW</v>
          </cell>
          <cell r="F106">
            <v>0</v>
          </cell>
        </row>
        <row r="107">
          <cell r="C107" t="str">
            <v>General Service 50 to 4,999 kW - Time Of Use - Rate Rider 2</v>
          </cell>
          <cell r="D107" t="str">
            <v>Rate Rider 2 (if applicable)</v>
          </cell>
          <cell r="E107" t="str">
            <v>$/kW</v>
          </cell>
          <cell r="F107">
            <v>0</v>
          </cell>
        </row>
        <row r="108">
          <cell r="A108" t="str">
            <v>Reg_TOU</v>
          </cell>
          <cell r="C108" t="str">
            <v>General Service 50 to 4,999 kW - Time Of Use - reg asset</v>
          </cell>
          <cell r="D108" t="str">
            <v>Regulatory Asset Recovery</v>
          </cell>
          <cell r="E108" t="str">
            <v>$/kW</v>
          </cell>
          <cell r="F108">
            <v>0</v>
          </cell>
        </row>
        <row r="109">
          <cell r="A109" t="str">
            <v>TN_TOU</v>
          </cell>
          <cell r="C109" t="str">
            <v>General Service 50 to 4,999 kW - Time Of Use - RTR Network 1</v>
          </cell>
          <cell r="D109" t="str">
            <v>Retail Transmission Rate – Network Service Rate</v>
          </cell>
          <cell r="E109" t="str">
            <v>$/kW</v>
          </cell>
          <cell r="F109">
            <v>2.7288</v>
          </cell>
        </row>
        <row r="110">
          <cell r="A110" t="str">
            <v>TC_TOU</v>
          </cell>
          <cell r="C110" t="str">
            <v>General Service 50 to 4,999 kW - Time Of Use - RTR Connection 1</v>
          </cell>
          <cell r="D110" t="str">
            <v>Retail Transmission Rate – Line and Transformation Connection Service Rate</v>
          </cell>
          <cell r="E110" t="str">
            <v>$/kW</v>
          </cell>
          <cell r="F110">
            <v>1.1884</v>
          </cell>
        </row>
        <row r="111">
          <cell r="C111" t="str">
            <v>General Service 50 to 4,999 kW - Time Of Use - RTR Network 2</v>
          </cell>
          <cell r="D111" t="str">
            <v>Retail Transmission Rate – Network Service Rate (if applicable)</v>
          </cell>
          <cell r="E111" t="str">
            <v>$/kW</v>
          </cell>
          <cell r="F111">
            <v>0</v>
          </cell>
        </row>
        <row r="112">
          <cell r="C112" t="str">
            <v>General Service 50 to 4,999 kW - Time Of Use - RTR Connection 2</v>
          </cell>
          <cell r="D112" t="str">
            <v>Retail Transmission Rate – Line and Transformation Connection Service Rate (if applicable)</v>
          </cell>
          <cell r="E112" t="str">
            <v>$/kW</v>
          </cell>
          <cell r="F112">
            <v>0</v>
          </cell>
        </row>
        <row r="113">
          <cell r="C113" t="str">
            <v>General Service 50 to 4,999 kW - Time Of Use - RTR Network 3</v>
          </cell>
          <cell r="D113" t="str">
            <v>Retail Transmission Rate – Network Service Rate (if applicable)</v>
          </cell>
          <cell r="E113" t="str">
            <v>$/kW</v>
          </cell>
          <cell r="F113">
            <v>0</v>
          </cell>
        </row>
        <row r="114">
          <cell r="C114" t="str">
            <v>General Service 50 to 4,999 kW - Time Of Use - RTR Connection 3</v>
          </cell>
          <cell r="D114" t="str">
            <v>Retail Transmission Rate – Line and Transformation Connection Service Rate (if applicable)</v>
          </cell>
          <cell r="E114" t="str">
            <v>$/kW</v>
          </cell>
          <cell r="F114">
            <v>0</v>
          </cell>
        </row>
        <row r="115">
          <cell r="C115" t="str">
            <v>General Service 50 to 4,999 kW - Time Of Use - WMSR</v>
          </cell>
          <cell r="D115" t="str">
            <v>Wholesale Market Service Rate </v>
          </cell>
          <cell r="E115" t="str">
            <v>$/kWh</v>
          </cell>
          <cell r="F115">
            <v>0</v>
          </cell>
        </row>
        <row r="116">
          <cell r="C116" t="str">
            <v>General Service 50 to 4,999 kW - Time Of Use - RRPC</v>
          </cell>
          <cell r="D116" t="str">
            <v>Rural Rate Protection Charge</v>
          </cell>
          <cell r="E116" t="str">
            <v>$/kWh</v>
          </cell>
          <cell r="F116">
            <v>0</v>
          </cell>
        </row>
        <row r="117">
          <cell r="C117" t="str">
            <v>General Service 50 to 4,999 kW - Time Of Use - RPP</v>
          </cell>
          <cell r="D117" t="str">
            <v>Regulated Price Plan – Administration Charge</v>
          </cell>
          <cell r="E117" t="str">
            <v>$</v>
          </cell>
          <cell r="F117">
            <v>0.25</v>
          </cell>
        </row>
        <row r="119">
          <cell r="D119" t="str">
            <v>Large Use</v>
          </cell>
        </row>
        <row r="120">
          <cell r="A120" t="str">
            <v>Fix_LU</v>
          </cell>
          <cell r="C120" t="str">
            <v>Large Use</v>
          </cell>
          <cell r="D120" t="str">
            <v>Service Charge</v>
          </cell>
          <cell r="E120" t="str">
            <v>$</v>
          </cell>
          <cell r="F120">
            <v>6017.469999999999</v>
          </cell>
        </row>
        <row r="121">
          <cell r="A121" t="str">
            <v>Var_LU</v>
          </cell>
          <cell r="C121" t="str">
            <v>Large Use - volume</v>
          </cell>
          <cell r="D121" t="str">
            <v>Distribution Volumetric Rate</v>
          </cell>
          <cell r="E121" t="str">
            <v>$/kW</v>
          </cell>
          <cell r="F121">
            <v>1.7969</v>
          </cell>
        </row>
        <row r="122">
          <cell r="A122" t="str">
            <v>LV_LU</v>
          </cell>
          <cell r="D122" t="str">
            <v>Low Voltage Charge</v>
          </cell>
          <cell r="E122" t="str">
            <v>$/kW</v>
          </cell>
          <cell r="F122">
            <v>0.1439</v>
          </cell>
        </row>
        <row r="123">
          <cell r="C123" t="str">
            <v>Large Use - Rate Rider 1</v>
          </cell>
          <cell r="E123" t="str">
            <v>$/kW</v>
          </cell>
        </row>
        <row r="124">
          <cell r="C124" t="str">
            <v>Large Use - Rate Rider 2</v>
          </cell>
          <cell r="E124" t="str">
            <v>$/kW</v>
          </cell>
        </row>
        <row r="125">
          <cell r="A125" t="str">
            <v>GEA_LU</v>
          </cell>
          <cell r="C125" t="str">
            <v>Large Use - reg asset</v>
          </cell>
          <cell r="D125" t="str">
            <v>GEA Rate Adder</v>
          </cell>
          <cell r="E125" t="str">
            <v>$/kW</v>
          </cell>
          <cell r="F125">
            <v>0.2</v>
          </cell>
        </row>
        <row r="126">
          <cell r="A126" t="str">
            <v>TN_LU</v>
          </cell>
          <cell r="C126" t="str">
            <v>Large Use - RTR Network 1</v>
          </cell>
          <cell r="D126" t="str">
            <v>Retail Transmission Rate – Network Service Rate</v>
          </cell>
          <cell r="E126" t="str">
            <v>$/kW</v>
          </cell>
          <cell r="F126">
            <v>3.0886</v>
          </cell>
        </row>
        <row r="127">
          <cell r="A127" t="str">
            <v>TC_LU</v>
          </cell>
          <cell r="C127" t="str">
            <v>Large Use - RTR Connection 1</v>
          </cell>
          <cell r="D127" t="str">
            <v>Retail Transmission Rate – Line and Transformation Connection Service Rate</v>
          </cell>
          <cell r="E127" t="str">
            <v>$/kW</v>
          </cell>
          <cell r="F127">
            <v>1.1266</v>
          </cell>
        </row>
        <row r="128">
          <cell r="C128" t="str">
            <v>Large Use - WMSR</v>
          </cell>
          <cell r="D128" t="str">
            <v>Wholesale Market Service Rate </v>
          </cell>
          <cell r="E128" t="str">
            <v>$/kWh</v>
          </cell>
          <cell r="F128">
            <v>0.0052</v>
          </cell>
        </row>
        <row r="129">
          <cell r="C129" t="str">
            <v>Large Use - RRPC</v>
          </cell>
          <cell r="D129" t="str">
            <v>Rural Rate Protection Charge</v>
          </cell>
          <cell r="E129" t="str">
            <v>$/kWh</v>
          </cell>
          <cell r="F129">
            <v>0.0011</v>
          </cell>
        </row>
        <row r="130">
          <cell r="C130" t="str">
            <v>Large Use - RPP</v>
          </cell>
          <cell r="D130" t="str">
            <v>Regulated Price Plan – Administration Charge</v>
          </cell>
          <cell r="E130" t="str">
            <v>$</v>
          </cell>
          <cell r="F130">
            <v>0.25</v>
          </cell>
        </row>
        <row r="132">
          <cell r="D132" t="str">
            <v>Unmetered Scattered Load</v>
          </cell>
        </row>
        <row r="133">
          <cell r="A133" t="str">
            <v>Fix_USL</v>
          </cell>
          <cell r="C133" t="str">
            <v>Unmetered Scattered Load</v>
          </cell>
          <cell r="D133" t="str">
            <v>Service Charge</v>
          </cell>
          <cell r="E133" t="str">
            <v>$</v>
          </cell>
          <cell r="F133">
            <v>8.059999999999999</v>
          </cell>
        </row>
        <row r="134">
          <cell r="A134" t="str">
            <v>Var_USL</v>
          </cell>
          <cell r="C134" t="str">
            <v>Unmetered Scattered Load - volume</v>
          </cell>
          <cell r="D134" t="str">
            <v>Distribution Volumetric Rate</v>
          </cell>
          <cell r="E134" t="str">
            <v>$/kWh</v>
          </cell>
          <cell r="F134">
            <v>0.0156</v>
          </cell>
        </row>
        <row r="135">
          <cell r="A135" t="str">
            <v>LV_USL</v>
          </cell>
          <cell r="D135" t="str">
            <v>Low Voltage Charge</v>
          </cell>
          <cell r="E135" t="str">
            <v>$/kWh</v>
          </cell>
          <cell r="F135">
            <v>0.0003</v>
          </cell>
        </row>
        <row r="136">
          <cell r="C136" t="str">
            <v>Unmetered Scattered Load - Rate Rider 1</v>
          </cell>
          <cell r="E136" t="str">
            <v>$/kWh</v>
          </cell>
          <cell r="F136">
            <v>0</v>
          </cell>
        </row>
        <row r="138">
          <cell r="C138" t="str">
            <v>Unmetered Scattered Load - Rate Rider 2</v>
          </cell>
          <cell r="E138" t="str">
            <v>$/kWh</v>
          </cell>
        </row>
        <row r="139">
          <cell r="A139" t="str">
            <v>GEA_USL</v>
          </cell>
          <cell r="C139" t="str">
            <v>Unmetered Scattered Load - reg asset</v>
          </cell>
          <cell r="D139" t="str">
            <v>GEA Rate Adder</v>
          </cell>
          <cell r="E139" t="str">
            <v>$/kWh</v>
          </cell>
          <cell r="F139">
            <v>0.2</v>
          </cell>
        </row>
        <row r="140">
          <cell r="A140" t="str">
            <v>TN_USL</v>
          </cell>
          <cell r="C140" t="str">
            <v>Unmetered Scattered Load - RTR Network 1</v>
          </cell>
          <cell r="D140" t="str">
            <v>Retail Transmission Rate – Network Service Rate</v>
          </cell>
          <cell r="E140" t="str">
            <v>$/kWh</v>
          </cell>
          <cell r="F140">
            <v>0.0064</v>
          </cell>
        </row>
        <row r="141">
          <cell r="A141" t="str">
            <v>TC_USL</v>
          </cell>
          <cell r="C141" t="str">
            <v>Unmetered Scattered Load - RTR Connection 1</v>
          </cell>
          <cell r="D141" t="str">
            <v>Retail Transmission Rate – Line and Transformation Connection Service Rate</v>
          </cell>
          <cell r="E141" t="str">
            <v>$/kWh</v>
          </cell>
          <cell r="F141">
            <v>0.0031</v>
          </cell>
        </row>
        <row r="142">
          <cell r="C142" t="str">
            <v>Unmetered Scattered Load - WMSR</v>
          </cell>
          <cell r="D142" t="str">
            <v>Wholesale Market Service Rate </v>
          </cell>
          <cell r="E142" t="str">
            <v>$/kWh</v>
          </cell>
          <cell r="F142">
            <v>0.0052</v>
          </cell>
        </row>
        <row r="143">
          <cell r="C143" t="str">
            <v>Unmetered Scattered Load - RRPC</v>
          </cell>
          <cell r="D143" t="str">
            <v>Rural Rate Protection Charge</v>
          </cell>
          <cell r="E143" t="str">
            <v>$/kWh</v>
          </cell>
          <cell r="F143">
            <v>0.0011</v>
          </cell>
        </row>
        <row r="144">
          <cell r="C144" t="str">
            <v>Unmetered Scattered Load - RPP</v>
          </cell>
          <cell r="D144" t="str">
            <v>Regulated Price Plan – Administration Charge</v>
          </cell>
          <cell r="E144" t="str">
            <v>$</v>
          </cell>
          <cell r="F144">
            <v>0.25</v>
          </cell>
        </row>
        <row r="146">
          <cell r="D146" t="str">
            <v>Sentinel Lighting</v>
          </cell>
        </row>
        <row r="147">
          <cell r="A147" t="str">
            <v>Fix_SE</v>
          </cell>
          <cell r="C147" t="str">
            <v>Sentinel Lighting</v>
          </cell>
          <cell r="D147" t="str">
            <v>Service Charge (per connection)</v>
          </cell>
          <cell r="E147" t="str">
            <v>$</v>
          </cell>
          <cell r="F147">
            <v>3.51</v>
          </cell>
        </row>
        <row r="148">
          <cell r="A148" t="str">
            <v>Var_SE</v>
          </cell>
          <cell r="C148" t="str">
            <v>Sentinel Lighting - volume</v>
          </cell>
          <cell r="D148" t="str">
            <v>Distribution Volumetric Rate</v>
          </cell>
          <cell r="E148" t="str">
            <v>$/kW</v>
          </cell>
          <cell r="F148">
            <v>8.7473</v>
          </cell>
        </row>
        <row r="149">
          <cell r="A149" t="str">
            <v>LV_SE</v>
          </cell>
          <cell r="D149" t="str">
            <v>Low Voltage Charge</v>
          </cell>
          <cell r="E149" t="str">
            <v>$/kW</v>
          </cell>
          <cell r="F149">
            <v>0.1033</v>
          </cell>
        </row>
        <row r="150">
          <cell r="C150" t="str">
            <v>Sentinel Lighting - Rate Rider 1</v>
          </cell>
          <cell r="E150" t="str">
            <v>$/kW</v>
          </cell>
          <cell r="F150">
            <v>0</v>
          </cell>
        </row>
        <row r="151">
          <cell r="C151" t="str">
            <v>Sentinel Lighting - Rate Rider 2</v>
          </cell>
          <cell r="E151" t="str">
            <v>$/kW</v>
          </cell>
        </row>
        <row r="152">
          <cell r="A152" t="str">
            <v>GEA_SE</v>
          </cell>
          <cell r="C152" t="str">
            <v>Sentinel Lighting - reg asset</v>
          </cell>
          <cell r="D152" t="str">
            <v>GEA Rate Adder</v>
          </cell>
          <cell r="E152" t="str">
            <v>$/kW</v>
          </cell>
          <cell r="F152">
            <v>0.2</v>
          </cell>
        </row>
        <row r="153">
          <cell r="A153" t="str">
            <v>TN_SE</v>
          </cell>
          <cell r="C153" t="str">
            <v>Sentinel Lighting - RTR Network 1</v>
          </cell>
          <cell r="D153" t="str">
            <v>Retail Transmission Rate – Network Service Rate</v>
          </cell>
          <cell r="E153" t="str">
            <v>$/kW</v>
          </cell>
          <cell r="F153">
            <v>2.0118</v>
          </cell>
        </row>
        <row r="154">
          <cell r="A154" t="str">
            <v>TC_SE</v>
          </cell>
          <cell r="C154" t="str">
            <v>Sentinel Lighting - RTR Connection 1</v>
          </cell>
          <cell r="D154" t="str">
            <v>Retail Transmission Rate – Line and Transformation Connection Service Rate</v>
          </cell>
          <cell r="E154" t="str">
            <v>$/kW</v>
          </cell>
          <cell r="F154">
            <v>0.8084</v>
          </cell>
        </row>
        <row r="155">
          <cell r="C155" t="str">
            <v>Sentinel Lighting - WMSR</v>
          </cell>
          <cell r="D155" t="str">
            <v>Wholesale Market Service Rate </v>
          </cell>
          <cell r="E155" t="str">
            <v>$/kWh</v>
          </cell>
          <cell r="F155">
            <v>0.0052</v>
          </cell>
        </row>
        <row r="156">
          <cell r="C156" t="str">
            <v>Sentinel Lighting - RRPC</v>
          </cell>
          <cell r="D156" t="str">
            <v>Rural Rate Protection Charge</v>
          </cell>
          <cell r="E156" t="str">
            <v>$/kWh</v>
          </cell>
          <cell r="F156">
            <v>0.0011</v>
          </cell>
        </row>
        <row r="157">
          <cell r="C157" t="str">
            <v>Sentinel Lighting - RPP</v>
          </cell>
          <cell r="D157" t="str">
            <v>Regulated Price Plan – Administration Charge</v>
          </cell>
          <cell r="E157" t="str">
            <v>$</v>
          </cell>
          <cell r="F157">
            <v>0.25</v>
          </cell>
        </row>
        <row r="159">
          <cell r="D159" t="str">
            <v>Street Lighting</v>
          </cell>
        </row>
        <row r="160">
          <cell r="A160" t="str">
            <v>Fix_SL</v>
          </cell>
          <cell r="C160" t="str">
            <v>Street Lighting</v>
          </cell>
          <cell r="D160" t="str">
            <v>Service Charge (per connection)</v>
          </cell>
          <cell r="E160" t="str">
            <v>$</v>
          </cell>
          <cell r="F160">
            <v>1.34</v>
          </cell>
        </row>
        <row r="161">
          <cell r="A161" t="str">
            <v>Var_SL</v>
          </cell>
          <cell r="C161" t="str">
            <v>Street Lighting - volume</v>
          </cell>
          <cell r="D161" t="str">
            <v>Distribution Volumetric Rate</v>
          </cell>
          <cell r="E161" t="str">
            <v>$/kW</v>
          </cell>
          <cell r="F161">
            <v>5.885</v>
          </cell>
        </row>
        <row r="162">
          <cell r="A162" t="str">
            <v>LV_SL</v>
          </cell>
          <cell r="D162" t="str">
            <v>Low Voltage Charge</v>
          </cell>
          <cell r="E162" t="str">
            <v>$/kW</v>
          </cell>
          <cell r="F162">
            <v>0.0918</v>
          </cell>
        </row>
        <row r="163">
          <cell r="C163" t="str">
            <v>Street Lighting - Rate Rider 1</v>
          </cell>
          <cell r="D163" t="str">
            <v>LRAM / SSM Rider </v>
          </cell>
          <cell r="E163" t="str">
            <v>$/kW</v>
          </cell>
          <cell r="F163">
            <v>0</v>
          </cell>
        </row>
        <row r="164">
          <cell r="C164" t="str">
            <v>Street Lighting - Rate Rider 2</v>
          </cell>
          <cell r="E164" t="str">
            <v>$/kW</v>
          </cell>
        </row>
        <row r="165">
          <cell r="C165" t="str">
            <v>Street Lighting - reg asset</v>
          </cell>
          <cell r="E165" t="str">
            <v>$/kW</v>
          </cell>
        </row>
        <row r="166">
          <cell r="A166" t="str">
            <v>TN_SL</v>
          </cell>
          <cell r="C166" t="str">
            <v>Street Lighting - RTR Network 1</v>
          </cell>
          <cell r="D166" t="str">
            <v>Retail Transmission Rate – Network Service Rate</v>
          </cell>
          <cell r="E166" t="str">
            <v>$/kW</v>
          </cell>
          <cell r="F166">
            <v>1.9798</v>
          </cell>
        </row>
        <row r="167">
          <cell r="A167" t="str">
            <v>TC_SL</v>
          </cell>
          <cell r="C167" t="str">
            <v>Street Lighting - RTR Connection 1</v>
          </cell>
          <cell r="D167" t="str">
            <v>Retail Transmission Rate – Line and Transformation Connection Service Rate</v>
          </cell>
          <cell r="E167" t="str">
            <v>$/kW</v>
          </cell>
          <cell r="F167">
            <v>0.8901</v>
          </cell>
        </row>
        <row r="168">
          <cell r="C168" t="str">
            <v>Street Lighting - WMSR</v>
          </cell>
          <cell r="D168" t="str">
            <v>Wholesale Market Service Rate </v>
          </cell>
          <cell r="E168" t="str">
            <v>$/kWh</v>
          </cell>
          <cell r="F168">
            <v>0.0052</v>
          </cell>
        </row>
        <row r="169">
          <cell r="C169" t="str">
            <v>Street Lighting - RRPC</v>
          </cell>
          <cell r="D169" t="str">
            <v>Rural Rate Protection Charge</v>
          </cell>
          <cell r="E169" t="str">
            <v>$/kWh</v>
          </cell>
          <cell r="F169">
            <v>0.0011</v>
          </cell>
        </row>
        <row r="170">
          <cell r="C170" t="str">
            <v>Street Lighting - RPP</v>
          </cell>
          <cell r="D170" t="str">
            <v>Regulated Price Plan – Administration Charge</v>
          </cell>
          <cell r="E170" t="str">
            <v>$</v>
          </cell>
          <cell r="F170">
            <v>0.25</v>
          </cell>
        </row>
        <row r="172">
          <cell r="D172" t="str">
            <v>Stand By Power - Approved On An Interim Basis</v>
          </cell>
        </row>
        <row r="173">
          <cell r="C173" t="str">
            <v>Stand By Power - Approved On An Interim Basis</v>
          </cell>
          <cell r="D173" t="str">
            <v>Distribution Volumetric Rate</v>
          </cell>
          <cell r="E173" t="str">
            <v>$/kW</v>
          </cell>
          <cell r="F173">
            <v>2.6854</v>
          </cell>
        </row>
        <row r="175">
          <cell r="D175" t="str">
            <v>microFIT Generator</v>
          </cell>
        </row>
        <row r="176">
          <cell r="D176" t="str">
            <v>Service Charge </v>
          </cell>
          <cell r="E176" t="str">
            <v>$</v>
          </cell>
          <cell r="F176">
            <v>5.25</v>
          </cell>
        </row>
        <row r="178">
          <cell r="D178" t="str">
            <v>Deferral  and Variance Account Disposition Rate Riders by rate zone are shown separately.</v>
          </cell>
        </row>
        <row r="180">
          <cell r="B180" t="str">
            <v>RATE RIDERS FOR REGULATORY ASSET RECOVERY</v>
          </cell>
        </row>
        <row r="182">
          <cell r="B182" t="str">
            <v>POWESTREAM SOUTH</v>
          </cell>
        </row>
        <row r="184">
          <cell r="D184" t="str">
            <v>Residential</v>
          </cell>
        </row>
        <row r="185">
          <cell r="A185" t="str">
            <v>Reg_R</v>
          </cell>
          <cell r="D185" t="str">
            <v>Rate Rider for Deferral/Variance Account disposition -- Effective until Dec.31, 2014</v>
          </cell>
          <cell r="E185" t="str">
            <v>$/kWh</v>
          </cell>
          <cell r="F185">
            <v>0</v>
          </cell>
        </row>
        <row r="186">
          <cell r="A186" t="str">
            <v>Reg_R</v>
          </cell>
          <cell r="D186" t="str">
            <v>Rate Rider for Global Adjustment sub-Account disposition  (Applicable only for non-RPP customers) - Effective until Dec.31, 2014</v>
          </cell>
          <cell r="E186" t="str">
            <v>$/kWh</v>
          </cell>
          <cell r="F186">
            <v>0.0017</v>
          </cell>
        </row>
        <row r="188">
          <cell r="D188" t="str">
            <v>General Service Less Than 50 kW</v>
          </cell>
        </row>
        <row r="189">
          <cell r="A189" t="str">
            <v>Reg_GS</v>
          </cell>
          <cell r="D189" t="str">
            <v>Rate Rider for Deferral/Variance Account disposition -- Effective until Dec.31, 2014</v>
          </cell>
          <cell r="E189" t="str">
            <v>$/kWh</v>
          </cell>
          <cell r="F189">
            <v>-0.0012</v>
          </cell>
        </row>
        <row r="190">
          <cell r="A190" t="str">
            <v>Reg_GS</v>
          </cell>
          <cell r="D190" t="str">
            <v>Rate Rider for Global Adjustment sub-Account disposition  (Applicable only for non-RPP customers) - Effective until Dec.31, 2014</v>
          </cell>
          <cell r="E190" t="str">
            <v>$/kWh</v>
          </cell>
          <cell r="F190">
            <v>0.0017</v>
          </cell>
        </row>
        <row r="192">
          <cell r="D192" t="str">
            <v>General Service 50 to 4,999 kW</v>
          </cell>
        </row>
        <row r="193">
          <cell r="A193" t="str">
            <v>Reg_GSL</v>
          </cell>
          <cell r="D193" t="str">
            <v>Rate Rider for Deferral/Variance Account disposition -- Effective until Dec.31, 2014</v>
          </cell>
          <cell r="E193" t="str">
            <v>$/kW</v>
          </cell>
          <cell r="F193">
            <v>-0.5397</v>
          </cell>
        </row>
        <row r="194">
          <cell r="A194" t="str">
            <v>Reg_GSL</v>
          </cell>
          <cell r="D194" t="str">
            <v>Rate Rider for Global Adjustment sub-Account disposition  (Applicable only for non-RPP customers) - Effective until Dec.31, 2014</v>
          </cell>
          <cell r="E194" t="str">
            <v>$/kWh</v>
          </cell>
          <cell r="F194">
            <v>0.0017</v>
          </cell>
        </row>
        <row r="196">
          <cell r="D196" t="str">
            <v>Large Use</v>
          </cell>
        </row>
        <row r="197">
          <cell r="A197" t="str">
            <v>Reg_LU</v>
          </cell>
          <cell r="D197" t="str">
            <v>Rate Rider for Deferral/Variance Account disposition -- Effective until Dec.31, 2014</v>
          </cell>
          <cell r="E197" t="str">
            <v>$/kW</v>
          </cell>
          <cell r="F197">
            <v>-0.1895</v>
          </cell>
        </row>
        <row r="198">
          <cell r="A198" t="str">
            <v>Reg_LU</v>
          </cell>
          <cell r="D198" t="str">
            <v>Rate Rider for Global Adjustment sub-Account disposition  (Applicable only for non-RPP customers) - Effective until Dec.31, 2014</v>
          </cell>
          <cell r="E198" t="str">
            <v>$/kWh</v>
          </cell>
          <cell r="F198">
            <v>0.0017</v>
          </cell>
        </row>
        <row r="200">
          <cell r="D200" t="str">
            <v>Unmetered Scattered Load</v>
          </cell>
        </row>
        <row r="201">
          <cell r="A201" t="str">
            <v>Reg_USL</v>
          </cell>
          <cell r="D201" t="str">
            <v>Rate Rider for Deferral/Variance Account disposition -- Effective until Dec.31, 2014</v>
          </cell>
          <cell r="E201" t="str">
            <v>$/kWh</v>
          </cell>
          <cell r="F201">
            <v>-0.0022</v>
          </cell>
        </row>
        <row r="202">
          <cell r="A202" t="str">
            <v>Reg_USL</v>
          </cell>
          <cell r="D202" t="str">
            <v>Rate Rider for Global Adjustment sub-Account disposition  (Applicable only for non-RPP customers) - Effective until Dec.31, 2014</v>
          </cell>
          <cell r="E202" t="str">
            <v>$/kWh</v>
          </cell>
          <cell r="F202">
            <v>0.0017</v>
          </cell>
        </row>
        <row r="204">
          <cell r="D204" t="str">
            <v>Sentinel Lighting</v>
          </cell>
        </row>
        <row r="205">
          <cell r="A205" t="str">
            <v>Reg_SE</v>
          </cell>
          <cell r="D205" t="str">
            <v>Rate Rider for Deferral/Variance Account disposition -- Effective until Dec.31, 2014</v>
          </cell>
          <cell r="E205" t="str">
            <v>$/kW</v>
          </cell>
          <cell r="F205">
            <v>-0.7433</v>
          </cell>
        </row>
        <row r="206">
          <cell r="A206" t="str">
            <v>Reg_SE</v>
          </cell>
          <cell r="D206" t="str">
            <v>Rate Rider for Global Adjustment sub-Account disposition  (Applicable only for non-RPP customers) - Effective until Dec.31, 2014</v>
          </cell>
          <cell r="E206" t="str">
            <v>$/kWh</v>
          </cell>
          <cell r="F206">
            <v>0.0017</v>
          </cell>
        </row>
        <row r="208">
          <cell r="D208" t="str">
            <v>Street Lighting</v>
          </cell>
        </row>
        <row r="209">
          <cell r="A209" t="str">
            <v>Reg_SL</v>
          </cell>
          <cell r="D209" t="str">
            <v>Rate Rider for Deferral/Variance Account disposition -- Effective until Dec.31, 2014</v>
          </cell>
          <cell r="E209" t="str">
            <v>$/kW</v>
          </cell>
          <cell r="F209">
            <v>-0.6372</v>
          </cell>
        </row>
        <row r="210">
          <cell r="A210" t="str">
            <v>Reg_SL</v>
          </cell>
          <cell r="D210" t="str">
            <v>Rate Rider for Global Adjustment sub-Account disposition  (Applicable only for non-RPP customers) - Effective until Dec.31, 2014</v>
          </cell>
          <cell r="E210" t="str">
            <v>$/kWh</v>
          </cell>
          <cell r="F210">
            <v>0.0017</v>
          </cell>
        </row>
        <row r="213">
          <cell r="B213" t="str">
            <v>POWESTREAM BARRIE</v>
          </cell>
        </row>
        <row r="215">
          <cell r="D215" t="str">
            <v>Residential</v>
          </cell>
        </row>
        <row r="216">
          <cell r="A216" t="str">
            <v>LRAM_R</v>
          </cell>
          <cell r="D216" t="str">
            <v>Rate Rider for LRAM Recovery (2012) - Effective until April 30,2013</v>
          </cell>
          <cell r="E216" t="str">
            <v>$/kWh</v>
          </cell>
          <cell r="F216">
            <v>0.0004</v>
          </cell>
        </row>
        <row r="217">
          <cell r="A217" t="str">
            <v>Reg_R</v>
          </cell>
          <cell r="D217" t="str">
            <v>Rate Rider for Deferral/Variance Account disposition (2012) - effective Until April 2013</v>
          </cell>
          <cell r="E217" t="str">
            <v>$/kWh</v>
          </cell>
          <cell r="F217">
            <v>-0.0006</v>
          </cell>
        </row>
        <row r="218">
          <cell r="A218" t="str">
            <v>Reg_R</v>
          </cell>
          <cell r="D218" t="str">
            <v>Rate Rider for Deferral/Variance Account disposition -- Effective until Dec.31, 2014</v>
          </cell>
          <cell r="E218" t="str">
            <v>$/kWh</v>
          </cell>
          <cell r="F218">
            <v>0.0008</v>
          </cell>
        </row>
        <row r="219">
          <cell r="A219" t="str">
            <v>Reg_R</v>
          </cell>
          <cell r="D219" t="str">
            <v>Rate Rider for Global Adjustment sub-Account disposition  (Applicable only for non-RPP customers) - Effective until Dec.31, 2014</v>
          </cell>
          <cell r="E219" t="str">
            <v>$/kWh</v>
          </cell>
          <cell r="F219">
            <v>0.003</v>
          </cell>
        </row>
        <row r="221">
          <cell r="D221" t="str">
            <v>General Service Less Than 50 kW</v>
          </cell>
        </row>
        <row r="222">
          <cell r="A222" t="str">
            <v>LRAM_GS</v>
          </cell>
          <cell r="D222" t="str">
            <v>Rate Rider for LRAM Recovery (2012) - Effective until April 30,2013</v>
          </cell>
          <cell r="E222" t="str">
            <v>$/kWh</v>
          </cell>
          <cell r="F222">
            <v>0.0007</v>
          </cell>
        </row>
        <row r="223">
          <cell r="A223" t="str">
            <v>Reg_GS</v>
          </cell>
          <cell r="D223" t="str">
            <v>Rate Rider for Deferral/Variance Account disposition (2012) - effective Until April 2013</v>
          </cell>
          <cell r="E223" t="str">
            <v>$/kWh</v>
          </cell>
          <cell r="F223">
            <v>-0.0004</v>
          </cell>
        </row>
        <row r="224">
          <cell r="A224" t="str">
            <v>Reg_GS</v>
          </cell>
          <cell r="D224" t="str">
            <v>Rate Rider for Deferral/Variance Account disposition -- Effective until Dec.31, 2014</v>
          </cell>
          <cell r="E224" t="str">
            <v>$/kWh</v>
          </cell>
          <cell r="F224">
            <v>-0.0009</v>
          </cell>
        </row>
        <row r="225">
          <cell r="A225" t="str">
            <v>Reg_GS</v>
          </cell>
          <cell r="D225" t="str">
            <v>Rate Rider for Global Adjustment sub-Account disposition  (Applicable only for non-RPP customers) - Effective until Dec.31, 2014</v>
          </cell>
          <cell r="E225" t="str">
            <v>$/kWh</v>
          </cell>
          <cell r="F225">
            <v>0.003</v>
          </cell>
        </row>
        <row r="227">
          <cell r="D227" t="str">
            <v>General Service 50 to 4,999 kW</v>
          </cell>
        </row>
        <row r="228">
          <cell r="A228" t="str">
            <v>LRAM_GSL</v>
          </cell>
          <cell r="D228" t="str">
            <v>Rate Rider for LRAM Recovery (2012) - Effective until April 30,2013</v>
          </cell>
          <cell r="E228" t="str">
            <v>$/kW</v>
          </cell>
          <cell r="F228">
            <v>0.0012</v>
          </cell>
        </row>
        <row r="229">
          <cell r="A229" t="str">
            <v>Reg_GSL</v>
          </cell>
          <cell r="D229" t="str">
            <v>Rate Rider for Deferral/Variance Account disposition (2012) - effective Until April 2013</v>
          </cell>
          <cell r="E229" t="str">
            <v>$/kW</v>
          </cell>
          <cell r="F229">
            <v>-0.0705</v>
          </cell>
        </row>
        <row r="230">
          <cell r="A230" t="str">
            <v>Reg_GSL</v>
          </cell>
          <cell r="D230" t="str">
            <v>Rate Rider for Deferral/Variance Account disposition -- Effective until Dec.31, 2014</v>
          </cell>
          <cell r="E230" t="str">
            <v>$/kW</v>
          </cell>
          <cell r="F230">
            <v>-0.5536</v>
          </cell>
        </row>
        <row r="231">
          <cell r="A231" t="str">
            <v>Reg_GSL</v>
          </cell>
          <cell r="D231" t="str">
            <v>Rate Rider for Global Adjustment sub-Account disposition  (Applicable only for non-RPP customers) - Effective until Dec.31, 2014</v>
          </cell>
          <cell r="E231" t="str">
            <v>$/kWh</v>
          </cell>
          <cell r="F231">
            <v>0.003</v>
          </cell>
        </row>
        <row r="233">
          <cell r="D233" t="str">
            <v>Large Use</v>
          </cell>
        </row>
        <row r="234">
          <cell r="A234" t="str">
            <v>Reg_LU</v>
          </cell>
          <cell r="D234" t="str">
            <v>Rate Rider for Deferral/Variance Account disposition -- Effective until Dec.31, 2014</v>
          </cell>
          <cell r="E234" t="str">
            <v>$/kW</v>
          </cell>
          <cell r="F234">
            <v>-0.0829</v>
          </cell>
        </row>
        <row r="235">
          <cell r="A235" t="str">
            <v>Reg_LU</v>
          </cell>
          <cell r="D235" t="str">
            <v>Rate Rider for Global Adjustment sub-Account disposition  (Applicable only for non-RPP customers) - Effective until Dec.31, 2014</v>
          </cell>
          <cell r="E235" t="str">
            <v>$/kWh</v>
          </cell>
          <cell r="F235">
            <v>0.0001</v>
          </cell>
        </row>
        <row r="237">
          <cell r="D237" t="str">
            <v>Unmetered Scattered Load</v>
          </cell>
        </row>
        <row r="238">
          <cell r="A238" t="str">
            <v>Reg_USL</v>
          </cell>
          <cell r="D238" t="str">
            <v>Rate Rider for Deferral/Variance Account disposition (2012) - effective Until April 2013</v>
          </cell>
          <cell r="E238" t="str">
            <v>$/kWh</v>
          </cell>
          <cell r="F238">
            <v>-0.0009</v>
          </cell>
        </row>
        <row r="239">
          <cell r="A239" t="str">
            <v>Reg_USL</v>
          </cell>
          <cell r="D239" t="str">
            <v>Rate Rider for Deferral/Variance Account disposition -- Effective until Dec.31, 2014</v>
          </cell>
          <cell r="E239" t="str">
            <v>$/kWh</v>
          </cell>
          <cell r="F239">
            <v>-0.0014</v>
          </cell>
        </row>
        <row r="240">
          <cell r="A240" t="str">
            <v>Reg_USL</v>
          </cell>
          <cell r="D240" t="str">
            <v>Rate Rider for Global Adjustment sub-Account disposition  (Applicable only for non-RPP customers) - Effective until Dec.31, 2014</v>
          </cell>
          <cell r="E240" t="str">
            <v>$/kWh</v>
          </cell>
          <cell r="F240">
            <v>0.003</v>
          </cell>
        </row>
        <row r="242">
          <cell r="D242" t="str">
            <v>Street Lighting</v>
          </cell>
        </row>
        <row r="243">
          <cell r="A243" t="str">
            <v>Reg_SL</v>
          </cell>
          <cell r="D243" t="str">
            <v>Rate Rider for Deferral/Variance Account disposition (2012) - effective Until April 2013</v>
          </cell>
          <cell r="E243" t="str">
            <v>$/kW</v>
          </cell>
          <cell r="F243">
            <v>-0.1545</v>
          </cell>
        </row>
        <row r="244">
          <cell r="A244" t="str">
            <v>Reg_SL</v>
          </cell>
          <cell r="D244" t="str">
            <v>Rate Rider for Deferral/Variance Account disposition -- Effective until Dec.31, 2014</v>
          </cell>
          <cell r="E244" t="str">
            <v>$/kW</v>
          </cell>
          <cell r="F244">
            <v>-0.4548</v>
          </cell>
        </row>
        <row r="245">
          <cell r="A245" t="str">
            <v>Reg_SL</v>
          </cell>
          <cell r="D245" t="str">
            <v>Rate Rider for Global Adjustment sub-Account disposition  (Applicable only for non-RPP customers) - Effective until Dec.31, 2014</v>
          </cell>
          <cell r="E245" t="str">
            <v>$/kWh</v>
          </cell>
          <cell r="F245">
            <v>0.0001</v>
          </cell>
        </row>
        <row r="250">
          <cell r="D250" t="str">
            <v>Specific Service Charges</v>
          </cell>
        </row>
        <row r="251">
          <cell r="D251" t="str">
            <v>Customer Administration</v>
          </cell>
        </row>
        <row r="252">
          <cell r="D252" t="str">
            <v>Arrears certificate </v>
          </cell>
          <cell r="E252" t="str">
            <v>$</v>
          </cell>
          <cell r="F252">
            <v>15</v>
          </cell>
        </row>
        <row r="253">
          <cell r="D253" t="str">
            <v>Statement of account</v>
          </cell>
          <cell r="E253" t="str">
            <v>$</v>
          </cell>
          <cell r="F253">
            <v>15</v>
          </cell>
        </row>
        <row r="254">
          <cell r="D254" t="str">
            <v>Duplicate invoices for previous billing </v>
          </cell>
          <cell r="E254" t="str">
            <v>$</v>
          </cell>
          <cell r="F254">
            <v>15</v>
          </cell>
        </row>
        <row r="255">
          <cell r="D255" t="str">
            <v>Request for other billing information</v>
          </cell>
          <cell r="E255" t="str">
            <v>$</v>
          </cell>
          <cell r="F255">
            <v>15</v>
          </cell>
        </row>
        <row r="256">
          <cell r="D256" t="str">
            <v>Easement letter</v>
          </cell>
          <cell r="E256" t="str">
            <v>$</v>
          </cell>
          <cell r="F256">
            <v>15</v>
          </cell>
        </row>
        <row r="257">
          <cell r="D257" t="str">
            <v>Income tax letter </v>
          </cell>
          <cell r="E257" t="str">
            <v>$</v>
          </cell>
          <cell r="F257">
            <v>15</v>
          </cell>
        </row>
        <row r="258">
          <cell r="D258" t="str">
            <v>Account history</v>
          </cell>
          <cell r="E258" t="str">
            <v>$</v>
          </cell>
          <cell r="F258">
            <v>15</v>
          </cell>
        </row>
        <row r="259">
          <cell r="D259" t="str">
            <v>Returned cheque charge (plus bank charges)</v>
          </cell>
          <cell r="E259" t="str">
            <v>$</v>
          </cell>
          <cell r="F259">
            <v>15</v>
          </cell>
        </row>
        <row r="260">
          <cell r="D260" t="str">
            <v>Legal letter charge</v>
          </cell>
          <cell r="E260" t="str">
            <v>$</v>
          </cell>
          <cell r="F260">
            <v>15</v>
          </cell>
        </row>
        <row r="261">
          <cell r="D261" t="str">
            <v>Account set up charge/change of occupancy charge (plus credit agency costs if applicable)</v>
          </cell>
          <cell r="E261" t="str">
            <v>$</v>
          </cell>
          <cell r="F261">
            <v>30</v>
          </cell>
        </row>
        <row r="262">
          <cell r="D262" t="str">
            <v>Special meter reads</v>
          </cell>
          <cell r="E262" t="str">
            <v>$</v>
          </cell>
          <cell r="F262">
            <v>30</v>
          </cell>
        </row>
        <row r="263">
          <cell r="D263" t="str">
            <v>Meter dispute charge plus Measurement Canada fees (if meter found correct)</v>
          </cell>
          <cell r="E263" t="str">
            <v>$</v>
          </cell>
          <cell r="F263">
            <v>30</v>
          </cell>
        </row>
        <row r="264">
          <cell r="E264" t="str">
            <v>$</v>
          </cell>
          <cell r="F264" t="e">
            <v>#N/A</v>
          </cell>
        </row>
        <row r="265">
          <cell r="E265" t="str">
            <v>$</v>
          </cell>
          <cell r="F265" t="e">
            <v>#N/A</v>
          </cell>
        </row>
        <row r="266">
          <cell r="E266" t="str">
            <v>$</v>
          </cell>
          <cell r="F266" t="e">
            <v>#N/A</v>
          </cell>
        </row>
        <row r="267">
          <cell r="E267" t="str">
            <v>$</v>
          </cell>
          <cell r="F267" t="e">
            <v>#N/A</v>
          </cell>
        </row>
        <row r="268">
          <cell r="E268" t="str">
            <v>$</v>
          </cell>
          <cell r="F268" t="e">
            <v>#N/A</v>
          </cell>
        </row>
        <row r="270">
          <cell r="D270" t="str">
            <v>Non-Payment of Account</v>
          </cell>
        </row>
        <row r="271">
          <cell r="D271" t="str">
            <v>Late Payment - per month</v>
          </cell>
          <cell r="E271" t="str">
            <v>%</v>
          </cell>
          <cell r="F271">
            <v>1.5</v>
          </cell>
        </row>
        <row r="272">
          <cell r="D272" t="str">
            <v>Late Payment - per annum</v>
          </cell>
          <cell r="E272" t="str">
            <v>%</v>
          </cell>
          <cell r="F272">
            <v>19.56</v>
          </cell>
        </row>
        <row r="273">
          <cell r="D273" t="str">
            <v>Collection of account charge - no disconnection</v>
          </cell>
          <cell r="E273" t="str">
            <v>$</v>
          </cell>
          <cell r="F273">
            <v>30</v>
          </cell>
        </row>
        <row r="274">
          <cell r="D274" t="str">
            <v>Disconnect/Reconnect at meter - during regular hours (for non-payment)</v>
          </cell>
          <cell r="E274" t="str">
            <v>$</v>
          </cell>
          <cell r="F274">
            <v>65</v>
          </cell>
        </row>
        <row r="275">
          <cell r="D275" t="str">
            <v>Disconnect/Reconnect at meter - during regular hours </v>
          </cell>
          <cell r="E275" t="str">
            <v>$</v>
          </cell>
          <cell r="F275">
            <v>65</v>
          </cell>
        </row>
        <row r="276">
          <cell r="D276" t="str">
            <v>Install/Remove load control device - during regular hours</v>
          </cell>
          <cell r="E276" t="str">
            <v>$</v>
          </cell>
          <cell r="F276">
            <v>65</v>
          </cell>
        </row>
        <row r="277">
          <cell r="D277" t="str">
            <v>Disconnect/Reconnect at meter - after regular hours (for non-payment)</v>
          </cell>
          <cell r="E277" t="str">
            <v>$</v>
          </cell>
          <cell r="F277">
            <v>185</v>
          </cell>
        </row>
        <row r="278">
          <cell r="D278" t="str">
            <v>Disconnect/Reconnect at meter - after regular hours </v>
          </cell>
          <cell r="E278" t="str">
            <v>$</v>
          </cell>
          <cell r="F278">
            <v>185</v>
          </cell>
        </row>
        <row r="279">
          <cell r="D279" t="str">
            <v>Install/Remove load control device - after regular hours</v>
          </cell>
          <cell r="E279" t="str">
            <v>$</v>
          </cell>
          <cell r="F279">
            <v>185</v>
          </cell>
        </row>
        <row r="280">
          <cell r="D280" t="str">
            <v>Disconnect/Reconnect at pole - during regular hours </v>
          </cell>
          <cell r="E280" t="str">
            <v>$</v>
          </cell>
          <cell r="F280">
            <v>185</v>
          </cell>
        </row>
        <row r="281">
          <cell r="D281" t="str">
            <v>Disconnect/Reconnect at pole - after regular hours </v>
          </cell>
          <cell r="E281" t="str">
            <v>$</v>
          </cell>
          <cell r="F281">
            <v>415</v>
          </cell>
        </row>
        <row r="282">
          <cell r="E282" t="str">
            <v>$</v>
          </cell>
        </row>
        <row r="285">
          <cell r="D285" t="str">
            <v>Specific Charge for Access to the Power Poles $/pole/year</v>
          </cell>
          <cell r="E285" t="str">
            <v>$</v>
          </cell>
          <cell r="F285">
            <v>22.35</v>
          </cell>
        </row>
        <row r="286">
          <cell r="D286" t="str">
            <v>Temporary service install &amp; remove - overhead - no transformer</v>
          </cell>
          <cell r="E286" t="str">
            <v>$</v>
          </cell>
          <cell r="F286">
            <v>500</v>
          </cell>
        </row>
        <row r="287">
          <cell r="E287" t="str">
            <v>$</v>
          </cell>
          <cell r="F287" t="e">
            <v>#N/A</v>
          </cell>
        </row>
        <row r="288">
          <cell r="E288" t="str">
            <v>$</v>
          </cell>
          <cell r="F288" t="e">
            <v>#N/A</v>
          </cell>
        </row>
        <row r="289">
          <cell r="E289" t="str">
            <v>$</v>
          </cell>
          <cell r="F289" t="e">
            <v>#N/A</v>
          </cell>
        </row>
        <row r="290">
          <cell r="E290" t="str">
            <v>$</v>
          </cell>
          <cell r="F290" t="e">
            <v>#N/A</v>
          </cell>
        </row>
        <row r="291">
          <cell r="E291" t="str">
            <v>$</v>
          </cell>
          <cell r="F291" t="e">
            <v>#N/A</v>
          </cell>
        </row>
        <row r="292">
          <cell r="E292" t="str">
            <v>$</v>
          </cell>
          <cell r="F292" t="e">
            <v>#N/A</v>
          </cell>
        </row>
        <row r="293">
          <cell r="E293" t="str">
            <v>$</v>
          </cell>
          <cell r="F293" t="e">
            <v>#N/A</v>
          </cell>
        </row>
        <row r="294">
          <cell r="E294" t="str">
            <v>$</v>
          </cell>
          <cell r="F294" t="e">
            <v>#N/A</v>
          </cell>
        </row>
        <row r="295">
          <cell r="E295" t="str">
            <v>$</v>
          </cell>
          <cell r="F295" t="e">
            <v>#N/A</v>
          </cell>
        </row>
        <row r="296">
          <cell r="E296" t="str">
            <v>$</v>
          </cell>
          <cell r="F296" t="e">
            <v>#N/A</v>
          </cell>
        </row>
        <row r="297">
          <cell r="E297" t="str">
            <v>$</v>
          </cell>
          <cell r="F297" t="e">
            <v>#N/A</v>
          </cell>
        </row>
        <row r="298">
          <cell r="E298" t="str">
            <v>$</v>
          </cell>
          <cell r="F298" t="e">
            <v>#N/A</v>
          </cell>
        </row>
        <row r="299">
          <cell r="E299" t="str">
            <v>$</v>
          </cell>
          <cell r="F299" t="e">
            <v>#N/A</v>
          </cell>
        </row>
        <row r="300">
          <cell r="E300" t="str">
            <v>$</v>
          </cell>
          <cell r="F300" t="e">
            <v>#N/A</v>
          </cell>
        </row>
        <row r="301">
          <cell r="E301" t="str">
            <v>$</v>
          </cell>
          <cell r="F301" t="e">
            <v>#N/A</v>
          </cell>
        </row>
        <row r="302">
          <cell r="E302" t="str">
            <v>$</v>
          </cell>
          <cell r="F302" t="e">
            <v>#N/A</v>
          </cell>
        </row>
        <row r="303">
          <cell r="E303" t="str">
            <v>$</v>
          </cell>
          <cell r="F303" t="e">
            <v>#N/A</v>
          </cell>
        </row>
        <row r="304">
          <cell r="E304" t="str">
            <v>$</v>
          </cell>
          <cell r="F304" t="e">
            <v>#N/A</v>
          </cell>
        </row>
        <row r="306">
          <cell r="D306" t="str">
            <v>Allowances</v>
          </cell>
        </row>
        <row r="307">
          <cell r="D307" t="str">
            <v>Transformer Allowance for Ownership - per kW of billing demand/month</v>
          </cell>
          <cell r="E307" t="str">
            <v>$</v>
          </cell>
          <cell r="F307">
            <v>-0.6</v>
          </cell>
        </row>
        <row r="308">
          <cell r="D308" t="str">
            <v>Primary Metering Allowance for transformer losses - applied to measured demand and energy</v>
          </cell>
          <cell r="E308" t="str">
            <v>%</v>
          </cell>
          <cell r="F308">
            <v>-1</v>
          </cell>
        </row>
        <row r="309">
          <cell r="E309" t="str">
            <v>$/kW</v>
          </cell>
          <cell r="F309">
            <v>0</v>
          </cell>
        </row>
        <row r="310">
          <cell r="E310" t="str">
            <v>$/kW</v>
          </cell>
          <cell r="F310">
            <v>0</v>
          </cell>
        </row>
        <row r="312">
          <cell r="D312" t="str">
            <v>LOSS FACTORS</v>
          </cell>
        </row>
        <row r="314">
          <cell r="D314" t="str">
            <v>Total Loss Factor – Secondary Metered Customer &lt; 5,000 kW</v>
          </cell>
          <cell r="F314">
            <v>1.0345</v>
          </cell>
        </row>
        <row r="315">
          <cell r="D315" t="str">
            <v>Total Loss Factor – Secondary Metered Customer &gt; 5,000 kW</v>
          </cell>
          <cell r="F315">
            <v>1.0145</v>
          </cell>
        </row>
        <row r="316">
          <cell r="D316" t="str">
            <v>Total Loss Factor – Primary Metered Customer &lt; 5,000 kW</v>
          </cell>
          <cell r="F316">
            <v>1.0243</v>
          </cell>
        </row>
        <row r="317">
          <cell r="D317" t="str">
            <v>Total Loss Factor – Primary Metered Customer &gt; 5,000 kW</v>
          </cell>
          <cell r="F317">
            <v>1.0045</v>
          </cell>
        </row>
      </sheetData>
      <sheetData sheetId="46">
        <row r="112">
          <cell r="U112" t="str">
            <v>GS&gt;50 - Current Bill</v>
          </cell>
        </row>
        <row r="113">
          <cell r="V113" t="str">
            <v>kW</v>
          </cell>
        </row>
        <row r="114">
          <cell r="U114">
            <v>10967.37</v>
          </cell>
          <cell r="V114">
            <v>60</v>
          </cell>
          <cell r="W114">
            <v>100</v>
          </cell>
          <cell r="X114">
            <v>250</v>
          </cell>
          <cell r="Y114">
            <v>500</v>
          </cell>
          <cell r="Z114">
            <v>1000</v>
          </cell>
          <cell r="AA114">
            <v>3000</v>
          </cell>
        </row>
        <row r="115">
          <cell r="U115">
            <v>15000</v>
          </cell>
          <cell r="V115">
            <v>2240.09</v>
          </cell>
          <cell r="W115">
            <v>2562.94</v>
          </cell>
          <cell r="X115">
            <v>3773.67</v>
          </cell>
          <cell r="Y115">
            <v>5791.54</v>
          </cell>
          <cell r="Z115">
            <v>9827.27</v>
          </cell>
          <cell r="AA115">
            <v>25970.23</v>
          </cell>
        </row>
        <row r="116">
          <cell r="U116">
            <v>40000</v>
          </cell>
          <cell r="V116">
            <v>5006.9</v>
          </cell>
          <cell r="W116">
            <v>5329.75</v>
          </cell>
          <cell r="X116">
            <v>6540.48</v>
          </cell>
          <cell r="Y116">
            <v>8558.35</v>
          </cell>
          <cell r="Z116">
            <v>12594.08</v>
          </cell>
          <cell r="AA116">
            <v>28737.04</v>
          </cell>
        </row>
        <row r="123">
          <cell r="V123" t="str">
            <v>kW</v>
          </cell>
        </row>
        <row r="124">
          <cell r="V124">
            <v>60</v>
          </cell>
          <cell r="W124">
            <v>100</v>
          </cell>
          <cell r="X124">
            <v>250</v>
          </cell>
          <cell r="Y124">
            <v>500</v>
          </cell>
          <cell r="Z124">
            <v>1000</v>
          </cell>
          <cell r="AA124">
            <v>3000</v>
          </cell>
        </row>
        <row r="125">
          <cell r="V125">
            <v>2326.52</v>
          </cell>
          <cell r="W125">
            <v>2635.04</v>
          </cell>
          <cell r="X125">
            <v>3792</v>
          </cell>
          <cell r="Y125">
            <v>5720.26</v>
          </cell>
          <cell r="Z125">
            <v>9576.78</v>
          </cell>
          <cell r="AA125">
            <v>25002.86</v>
          </cell>
        </row>
        <row r="126">
          <cell r="V126">
            <v>5152.83</v>
          </cell>
          <cell r="W126">
            <v>5461.35</v>
          </cell>
          <cell r="X126">
            <v>6618.31</v>
          </cell>
          <cell r="Y126">
            <v>8546.57</v>
          </cell>
          <cell r="Z126">
            <v>12403.09</v>
          </cell>
          <cell r="AA126">
            <v>27829.17</v>
          </cell>
        </row>
        <row r="162">
          <cell r="U162" t="str">
            <v>Large Use - Current Bill</v>
          </cell>
        </row>
        <row r="163">
          <cell r="V163" t="str">
            <v>kW</v>
          </cell>
        </row>
        <row r="164">
          <cell r="U164">
            <v>352621.47</v>
          </cell>
          <cell r="V164">
            <v>7350</v>
          </cell>
          <cell r="W164">
            <v>10000</v>
          </cell>
          <cell r="X164">
            <v>15000</v>
          </cell>
          <cell r="Y164">
            <v>17500</v>
          </cell>
          <cell r="Z164">
            <v>20000</v>
          </cell>
          <cell r="AA164">
            <v>22000</v>
          </cell>
        </row>
        <row r="165">
          <cell r="U165">
            <v>2800000</v>
          </cell>
          <cell r="V165">
            <v>352621.47</v>
          </cell>
          <cell r="W165">
            <v>368696.24</v>
          </cell>
          <cell r="X165">
            <v>399026.01</v>
          </cell>
          <cell r="Y165">
            <v>414190.89</v>
          </cell>
          <cell r="Z165">
            <v>429355.77</v>
          </cell>
          <cell r="AA165">
            <v>441487.68</v>
          </cell>
        </row>
        <row r="166">
          <cell r="U166">
            <v>5000000</v>
          </cell>
          <cell r="V166">
            <v>592720.22</v>
          </cell>
          <cell r="W166">
            <v>608794.99</v>
          </cell>
          <cell r="X166">
            <v>639124.76</v>
          </cell>
          <cell r="Y166">
            <v>654289.64</v>
          </cell>
          <cell r="Z166">
            <v>669454.52</v>
          </cell>
          <cell r="AA166">
            <v>681586.43</v>
          </cell>
        </row>
        <row r="173">
          <cell r="V173" t="str">
            <v>kW</v>
          </cell>
        </row>
        <row r="174">
          <cell r="V174">
            <v>7350</v>
          </cell>
          <cell r="W174">
            <v>10000</v>
          </cell>
          <cell r="X174">
            <v>15000</v>
          </cell>
          <cell r="Y174">
            <v>17500</v>
          </cell>
          <cell r="Z174">
            <v>20000</v>
          </cell>
          <cell r="AA174">
            <v>22000</v>
          </cell>
        </row>
        <row r="175">
          <cell r="V175">
            <v>367314.04</v>
          </cell>
          <cell r="W175">
            <v>385180.73</v>
          </cell>
          <cell r="X175">
            <v>418891.45</v>
          </cell>
          <cell r="Y175">
            <v>435746.81</v>
          </cell>
          <cell r="Z175">
            <v>452602.18</v>
          </cell>
          <cell r="AA175">
            <v>466086.47</v>
          </cell>
        </row>
        <row r="176">
          <cell r="V176">
            <v>611638.99</v>
          </cell>
          <cell r="W176">
            <v>629505.68</v>
          </cell>
          <cell r="X176">
            <v>663216.4</v>
          </cell>
          <cell r="Y176">
            <v>680071.76</v>
          </cell>
          <cell r="Z176">
            <v>696927.13</v>
          </cell>
          <cell r="AA176">
            <v>710411.42</v>
          </cell>
        </row>
        <row r="262">
          <cell r="U262" t="str">
            <v>Sentinel - Current Bill</v>
          </cell>
        </row>
        <row r="263">
          <cell r="V263" t="str">
            <v>kW</v>
          </cell>
        </row>
        <row r="264">
          <cell r="U264">
            <v>34.73</v>
          </cell>
          <cell r="V264">
            <v>0.3</v>
          </cell>
          <cell r="W264">
            <v>0.5</v>
          </cell>
          <cell r="X264">
            <v>0.75</v>
          </cell>
          <cell r="Y264">
            <v>1</v>
          </cell>
        </row>
        <row r="274">
          <cell r="V274" t="str">
            <v>kW</v>
          </cell>
        </row>
        <row r="275">
          <cell r="V275">
            <v>0.3</v>
          </cell>
          <cell r="W275">
            <v>0.5</v>
          </cell>
          <cell r="X275">
            <v>0.75</v>
          </cell>
          <cell r="Y275">
            <v>1</v>
          </cell>
        </row>
        <row r="312">
          <cell r="U312" t="str">
            <v>Street Lights - Current Bill</v>
          </cell>
        </row>
        <row r="313">
          <cell r="V313" t="str">
            <v>kW</v>
          </cell>
        </row>
        <row r="314">
          <cell r="U314">
            <v>38.47</v>
          </cell>
          <cell r="V314">
            <v>0.2</v>
          </cell>
          <cell r="W314">
            <v>0.3</v>
          </cell>
          <cell r="X314">
            <v>0.4</v>
          </cell>
          <cell r="Y314">
            <v>0.5</v>
          </cell>
          <cell r="Z314">
            <v>1</v>
          </cell>
        </row>
        <row r="315">
          <cell r="U315">
            <v>73</v>
          </cell>
          <cell r="V315">
            <v>10.42</v>
          </cell>
          <cell r="W315">
            <v>11.27</v>
          </cell>
          <cell r="X315">
            <v>12.13</v>
          </cell>
          <cell r="Y315">
            <v>12.98</v>
          </cell>
          <cell r="Z315">
            <v>17.24</v>
          </cell>
        </row>
        <row r="324">
          <cell r="V324" t="str">
            <v>kW</v>
          </cell>
        </row>
        <row r="325">
          <cell r="V325">
            <v>0.2</v>
          </cell>
          <cell r="W325">
            <v>0.3</v>
          </cell>
          <cell r="X325">
            <v>0.4</v>
          </cell>
          <cell r="Y325">
            <v>0.5</v>
          </cell>
          <cell r="Z325">
            <v>1</v>
          </cell>
        </row>
        <row r="326">
          <cell r="V326">
            <v>11.17</v>
          </cell>
          <cell r="W326">
            <v>12.1</v>
          </cell>
          <cell r="X326">
            <v>13.02</v>
          </cell>
          <cell r="Y326">
            <v>13.95</v>
          </cell>
          <cell r="Z326">
            <v>18.59</v>
          </cell>
        </row>
      </sheetData>
      <sheetData sheetId="47">
        <row r="113">
          <cell r="V113" t="str">
            <v>kW</v>
          </cell>
        </row>
        <row r="114">
          <cell r="V114">
            <v>60</v>
          </cell>
          <cell r="W114">
            <v>100</v>
          </cell>
          <cell r="X114">
            <v>250</v>
          </cell>
          <cell r="Y114">
            <v>500</v>
          </cell>
          <cell r="Z114">
            <v>1000</v>
          </cell>
          <cell r="AA114">
            <v>3000</v>
          </cell>
        </row>
        <row r="115">
          <cell r="V115">
            <v>2579.54</v>
          </cell>
          <cell r="W115">
            <v>2867.7</v>
          </cell>
          <cell r="X115">
            <v>3948.29</v>
          </cell>
          <cell r="Y115">
            <v>5749.29</v>
          </cell>
          <cell r="Z115">
            <v>9351.27</v>
          </cell>
          <cell r="AA115">
            <v>23759.23</v>
          </cell>
        </row>
        <row r="116">
          <cell r="V116">
            <v>5412.7</v>
          </cell>
          <cell r="W116">
            <v>5700.86</v>
          </cell>
          <cell r="X116">
            <v>6781.46</v>
          </cell>
          <cell r="Y116">
            <v>8582.45</v>
          </cell>
          <cell r="Z116">
            <v>12184.44</v>
          </cell>
          <cell r="AA116">
            <v>26592.39</v>
          </cell>
        </row>
        <row r="123">
          <cell r="V123" t="str">
            <v>kW</v>
          </cell>
        </row>
        <row r="124">
          <cell r="V124">
            <v>60</v>
          </cell>
          <cell r="W124">
            <v>100</v>
          </cell>
          <cell r="X124">
            <v>250</v>
          </cell>
          <cell r="Y124">
            <v>500</v>
          </cell>
          <cell r="Z124">
            <v>1000</v>
          </cell>
          <cell r="AA124">
            <v>3000</v>
          </cell>
        </row>
        <row r="125">
          <cell r="V125">
            <v>2342.91</v>
          </cell>
          <cell r="W125">
            <v>2647.68</v>
          </cell>
          <cell r="X125">
            <v>3790.53</v>
          </cell>
          <cell r="Y125">
            <v>5695.29</v>
          </cell>
          <cell r="Z125">
            <v>9504.8</v>
          </cell>
          <cell r="AA125">
            <v>24742.85</v>
          </cell>
        </row>
        <row r="126">
          <cell r="V126">
            <v>5205.95</v>
          </cell>
          <cell r="W126">
            <v>5510.71</v>
          </cell>
          <cell r="X126">
            <v>6653.56</v>
          </cell>
          <cell r="Y126">
            <v>8558.32</v>
          </cell>
          <cell r="Z126">
            <v>12367.83</v>
          </cell>
          <cell r="AA126">
            <v>27605.88</v>
          </cell>
        </row>
        <row r="163">
          <cell r="V163" t="str">
            <v>kW</v>
          </cell>
        </row>
        <row r="164">
          <cell r="V164">
            <v>7350</v>
          </cell>
          <cell r="W164">
            <v>10000</v>
          </cell>
          <cell r="X164">
            <v>15000</v>
          </cell>
          <cell r="Y164">
            <v>17500</v>
          </cell>
          <cell r="Z164">
            <v>20000</v>
          </cell>
          <cell r="AA164">
            <v>22000</v>
          </cell>
        </row>
        <row r="165">
          <cell r="V165">
            <v>371352.59</v>
          </cell>
          <cell r="W165">
            <v>391118.39</v>
          </cell>
          <cell r="X165">
            <v>428412.35</v>
          </cell>
          <cell r="Y165">
            <v>447059.32</v>
          </cell>
          <cell r="Z165">
            <v>465706.3</v>
          </cell>
          <cell r="AA165">
            <v>480623.88</v>
          </cell>
        </row>
        <row r="166">
          <cell r="V166">
            <v>611451.35</v>
          </cell>
          <cell r="W166">
            <v>631217.14</v>
          </cell>
          <cell r="X166">
            <v>668511.1</v>
          </cell>
          <cell r="Y166">
            <v>687158.07</v>
          </cell>
          <cell r="Z166">
            <v>705805.05</v>
          </cell>
          <cell r="AA166">
            <v>720722.63</v>
          </cell>
        </row>
        <row r="173">
          <cell r="V173" t="str">
            <v>kW</v>
          </cell>
        </row>
        <row r="174">
          <cell r="V174">
            <v>7350</v>
          </cell>
          <cell r="W174">
            <v>10000</v>
          </cell>
          <cell r="X174">
            <v>15000</v>
          </cell>
          <cell r="Y174">
            <v>17500</v>
          </cell>
          <cell r="Z174">
            <v>20000</v>
          </cell>
          <cell r="AA174">
            <v>22000</v>
          </cell>
        </row>
        <row r="175">
          <cell r="V175">
            <v>363137.01</v>
          </cell>
          <cell r="W175">
            <v>381322.91</v>
          </cell>
          <cell r="X175">
            <v>415635.92</v>
          </cell>
          <cell r="Y175">
            <v>432792.43</v>
          </cell>
          <cell r="Z175">
            <v>449948.94</v>
          </cell>
          <cell r="AA175">
            <v>463674.14</v>
          </cell>
        </row>
        <row r="176">
          <cell r="V176">
            <v>603484.36</v>
          </cell>
          <cell r="W176">
            <v>621670.26</v>
          </cell>
          <cell r="X176">
            <v>655983.27</v>
          </cell>
          <cell r="Y176">
            <v>673139.78</v>
          </cell>
          <cell r="Z176">
            <v>690296.29</v>
          </cell>
          <cell r="AA176">
            <v>704021.49</v>
          </cell>
        </row>
        <row r="313">
          <cell r="V313" t="str">
            <v>kW</v>
          </cell>
        </row>
        <row r="314">
          <cell r="V314">
            <v>0.2</v>
          </cell>
          <cell r="W314">
            <v>0.3</v>
          </cell>
          <cell r="X314">
            <v>0.4</v>
          </cell>
          <cell r="Y314">
            <v>0.5</v>
          </cell>
          <cell r="Z314">
            <v>1</v>
          </cell>
        </row>
        <row r="315">
          <cell r="V315">
            <v>14.6</v>
          </cell>
          <cell r="W315">
            <v>16.22</v>
          </cell>
          <cell r="X315">
            <v>17.85</v>
          </cell>
          <cell r="Y315">
            <v>19.47</v>
          </cell>
          <cell r="Z315">
            <v>27.58</v>
          </cell>
        </row>
        <row r="324">
          <cell r="V324" t="str">
            <v>kW</v>
          </cell>
        </row>
        <row r="325">
          <cell r="V325">
            <v>0.2</v>
          </cell>
          <cell r="W325">
            <v>0.3</v>
          </cell>
          <cell r="X325">
            <v>0.4</v>
          </cell>
          <cell r="Y325">
            <v>0.5</v>
          </cell>
          <cell r="Z325">
            <v>1</v>
          </cell>
        </row>
        <row r="326">
          <cell r="V326">
            <v>11.17</v>
          </cell>
          <cell r="W326">
            <v>12.1</v>
          </cell>
          <cell r="X326">
            <v>13.04</v>
          </cell>
          <cell r="Y326">
            <v>13.97</v>
          </cell>
          <cell r="Z326">
            <v>18.62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XES_MAY2004"/>
      <sheetName val="ADJUSTMT"/>
      <sheetName val="OPERATNG"/>
      <sheetName val="TAXES (2)"/>
      <sheetName val="MACRO"/>
      <sheetName val="NOTES"/>
      <sheetName val="Bal_ExternalReporting"/>
      <sheetName val="Operat_ExternalReporting"/>
      <sheetName val="SCHANGES_ExternalReporting"/>
      <sheetName val="Loan Interest Accrual"/>
      <sheetName val="Bal_side_land"/>
      <sheetName val="Operat_Cond_land (2)"/>
      <sheetName val="Operat_Cond_land"/>
      <sheetName val="Operating_qtr"/>
      <sheetName val="OperatQTR_Cond_land "/>
      <sheetName val="Explanation"/>
      <sheetName val="Operst_variance (2)"/>
      <sheetName val="Operst_variance"/>
      <sheetName val="Capexp"/>
      <sheetName val="Cap_Sum_Activity (2)"/>
      <sheetName val="Cap_Sum_Activity"/>
      <sheetName val="CapexpQTR"/>
      <sheetName val="BALANCE"/>
      <sheetName val="Regul_Assets"/>
      <sheetName val="DATA"/>
      <sheetName val="CapexpSum"/>
      <sheetName val="GL_DETAIL"/>
      <sheetName val="SUPPLMT"/>
      <sheetName val="TOWNOPERATING_LAND"/>
      <sheetName val="CFLOW"/>
      <sheetName val="SCHANGES"/>
      <sheetName val="LASTYR"/>
      <sheetName val="PERFORM"/>
      <sheetName val="AVGCUST"/>
      <sheetName val="Sheet1"/>
      <sheetName val="Summary of Key Ratios"/>
      <sheetName val="TAXES_by_gl"/>
      <sheetName val="TAXES_by_yr"/>
      <sheetName val="TAXES_jun-dec2004"/>
      <sheetName val="2002"/>
    </sheetNames>
    <sheetDataSet>
      <sheetData sheetId="2">
        <row r="1">
          <cell r="C1" t="str">
            <v>MARKHAM HYDRO DISTRIBUTION INC.</v>
          </cell>
        </row>
        <row r="2">
          <cell r="C2" t="str">
            <v>NON-CONSOLIDATED  INCOME STATEMENT </v>
          </cell>
          <cell r="J2" t="str">
            <v>SCHEDULE 2A</v>
          </cell>
        </row>
        <row r="3">
          <cell r="C3" t="str">
            <v>Five Months to May 31, 2004</v>
          </cell>
        </row>
        <row r="5">
          <cell r="E5" t="str">
            <v>YEAR TO DATE</v>
          </cell>
          <cell r="G5" t="str">
            <v>YEAR TO DATE</v>
          </cell>
          <cell r="I5" t="str">
            <v>YEAR TO DATE</v>
          </cell>
          <cell r="K5" t="str">
            <v>PRIOR</v>
          </cell>
          <cell r="M5" t="str">
            <v>ANNUAL</v>
          </cell>
        </row>
        <row r="6">
          <cell r="C6" t="str">
            <v>DESCRIPTION</v>
          </cell>
          <cell r="E6" t="str">
            <v>ACTUAL</v>
          </cell>
          <cell r="G6" t="str">
            <v>BUDGET</v>
          </cell>
          <cell r="I6" t="str">
            <v>VARIANCE</v>
          </cell>
          <cell r="K6" t="str">
            <v>ACTUAL</v>
          </cell>
          <cell r="M6" t="str">
            <v>BUDGET</v>
          </cell>
        </row>
        <row r="7">
          <cell r="K7" t="str">
            <v>DEC 31/03</v>
          </cell>
        </row>
        <row r="8">
          <cell r="A8">
            <v>1</v>
          </cell>
          <cell r="B8" t="str">
            <v>DISTRIBUTION REVENUE</v>
          </cell>
        </row>
        <row r="9">
          <cell r="C9" t="str">
            <v>Residential</v>
          </cell>
          <cell r="E9">
            <v>5804352</v>
          </cell>
          <cell r="G9">
            <v>5871987</v>
          </cell>
          <cell r="I9">
            <v>-67635</v>
          </cell>
          <cell r="K9">
            <v>13587240</v>
          </cell>
          <cell r="M9">
            <v>14615000</v>
          </cell>
        </row>
        <row r="10">
          <cell r="C10" t="str">
            <v>General Service</v>
          </cell>
          <cell r="E10">
            <v>4191919</v>
          </cell>
          <cell r="G10">
            <v>4014856</v>
          </cell>
          <cell r="I10">
            <v>177063</v>
          </cell>
          <cell r="K10">
            <v>9677641</v>
          </cell>
          <cell r="M10">
            <v>9932000</v>
          </cell>
        </row>
        <row r="11">
          <cell r="C11" t="str">
            <v>Large User - IBM</v>
          </cell>
          <cell r="E11">
            <v>0</v>
          </cell>
          <cell r="G11">
            <v>0</v>
          </cell>
          <cell r="I11">
            <v>0</v>
          </cell>
          <cell r="K11">
            <v>0</v>
          </cell>
          <cell r="M11">
            <v>0</v>
          </cell>
        </row>
        <row r="12">
          <cell r="C12" t="str">
            <v>Streetlighting</v>
          </cell>
          <cell r="E12">
            <v>38385</v>
          </cell>
          <cell r="G12">
            <v>34358</v>
          </cell>
          <cell r="I12">
            <v>4027</v>
          </cell>
          <cell r="K12">
            <v>80183</v>
          </cell>
          <cell r="M12">
            <v>84000</v>
          </cell>
        </row>
        <row r="13">
          <cell r="C13" t="str">
            <v>Revenue from Services</v>
          </cell>
          <cell r="E13">
            <v>148606</v>
          </cell>
          <cell r="G13">
            <v>145398</v>
          </cell>
          <cell r="I13">
            <v>3208</v>
          </cell>
          <cell r="K13">
            <v>346194</v>
          </cell>
          <cell r="M13">
            <v>353168</v>
          </cell>
        </row>
        <row r="15">
          <cell r="B15" t="str">
            <v>TOTAL DISTRIBUTION REVENUE</v>
          </cell>
          <cell r="E15">
            <v>10183262</v>
          </cell>
          <cell r="G15">
            <v>10066599</v>
          </cell>
          <cell r="I15">
            <v>116663</v>
          </cell>
          <cell r="K15">
            <v>23691258</v>
          </cell>
          <cell r="M15">
            <v>24984168</v>
          </cell>
        </row>
        <row r="17">
          <cell r="A17">
            <v>1.1</v>
          </cell>
          <cell r="B17" t="str">
            <v>COMMODITY</v>
          </cell>
          <cell r="E17">
            <v>59524904</v>
          </cell>
          <cell r="G17">
            <v>61806763</v>
          </cell>
          <cell r="I17">
            <v>-2281859</v>
          </cell>
          <cell r="K17">
            <v>134865584</v>
          </cell>
          <cell r="M17">
            <v>146948233</v>
          </cell>
        </row>
        <row r="18">
          <cell r="B18" t="str">
            <v>RETAIL SETTLEMENT VARIANCE</v>
          </cell>
          <cell r="E18">
            <v>-2581015</v>
          </cell>
          <cell r="G18">
            <v>0</v>
          </cell>
          <cell r="I18">
            <v>-2581015</v>
          </cell>
          <cell r="M18">
            <v>0</v>
          </cell>
        </row>
        <row r="20">
          <cell r="B20" t="str">
            <v>TOTAL COMMODITY REVENUE</v>
          </cell>
          <cell r="E20">
            <v>56943889</v>
          </cell>
          <cell r="G20">
            <v>61806763</v>
          </cell>
          <cell r="I20">
            <v>-4862874</v>
          </cell>
          <cell r="K20">
            <v>134865584</v>
          </cell>
          <cell r="M20">
            <v>146948233</v>
          </cell>
        </row>
        <row r="21">
          <cell r="B21" t="str">
            <v>TOTAL SERVICE REVENUE</v>
          </cell>
          <cell r="E21">
            <v>67127151</v>
          </cell>
          <cell r="G21">
            <v>71873362</v>
          </cell>
          <cell r="I21">
            <v>-4746211</v>
          </cell>
          <cell r="K21">
            <v>158556842</v>
          </cell>
          <cell r="M21">
            <v>171932401</v>
          </cell>
        </row>
        <row r="23">
          <cell r="B23" t="str">
            <v>RECOVERY OF TAXES ( OTHER THAN INCOME TAX)</v>
          </cell>
          <cell r="E23">
            <v>1858943</v>
          </cell>
          <cell r="G23">
            <v>2164135</v>
          </cell>
          <cell r="I23">
            <v>-305192</v>
          </cell>
          <cell r="K23">
            <v>6935343</v>
          </cell>
          <cell r="M23">
            <v>5193976</v>
          </cell>
        </row>
        <row r="24">
          <cell r="E24">
            <v>68986094</v>
          </cell>
          <cell r="G24">
            <v>74037497</v>
          </cell>
          <cell r="I24">
            <v>-5051403</v>
          </cell>
          <cell r="K24">
            <v>165492185</v>
          </cell>
          <cell r="M24">
            <v>177126377</v>
          </cell>
        </row>
        <row r="25">
          <cell r="A25">
            <v>2</v>
          </cell>
          <cell r="B25" t="str">
            <v>COST OF POWER</v>
          </cell>
        </row>
        <row r="26">
          <cell r="B26" t="str">
            <v>ACTUAL COST OF POWER</v>
          </cell>
          <cell r="E26">
            <v>56988889</v>
          </cell>
          <cell r="G26">
            <v>61806764</v>
          </cell>
          <cell r="I26">
            <v>4817875</v>
          </cell>
          <cell r="K26">
            <v>134865584</v>
          </cell>
          <cell r="M26">
            <v>146948233</v>
          </cell>
        </row>
        <row r="27">
          <cell r="B27" t="str">
            <v>RETAIL SETTLEMENT VARIANCE</v>
          </cell>
          <cell r="E27">
            <v>-45000</v>
          </cell>
          <cell r="I27">
            <v>45000</v>
          </cell>
          <cell r="K27">
            <v>0</v>
          </cell>
          <cell r="M27">
            <v>0</v>
          </cell>
        </row>
        <row r="28">
          <cell r="B28" t="str">
            <v>PRE-MARKET OPENING(May 1) ENERGY VARIANCE</v>
          </cell>
          <cell r="E28">
            <v>0</v>
          </cell>
          <cell r="I28">
            <v>0</v>
          </cell>
          <cell r="K28">
            <v>0</v>
          </cell>
          <cell r="M28">
            <v>0</v>
          </cell>
        </row>
        <row r="29">
          <cell r="B29" t="str">
            <v>REGULATORY COST OF POWER</v>
          </cell>
          <cell r="E29">
            <v>56943889</v>
          </cell>
          <cell r="G29">
            <v>61806764</v>
          </cell>
          <cell r="I29">
            <v>4862875</v>
          </cell>
          <cell r="K29">
            <v>134865584</v>
          </cell>
          <cell r="M29">
            <v>146948233</v>
          </cell>
        </row>
        <row r="31">
          <cell r="B31" t="str">
            <v>GROSS MARGIN</v>
          </cell>
          <cell r="E31">
            <v>12042205</v>
          </cell>
          <cell r="G31">
            <v>12230733</v>
          </cell>
          <cell r="I31">
            <v>-188528</v>
          </cell>
          <cell r="K31">
            <v>30626601</v>
          </cell>
          <cell r="M31">
            <v>30178144</v>
          </cell>
        </row>
        <row r="33">
          <cell r="A33" t="str">
            <v>1A</v>
          </cell>
          <cell r="B33" t="str">
            <v>OTHER REVENUE</v>
          </cell>
          <cell r="E33">
            <v>1804974</v>
          </cell>
          <cell r="G33">
            <v>1248335</v>
          </cell>
          <cell r="I33">
            <v>556639</v>
          </cell>
          <cell r="K33">
            <v>4616094</v>
          </cell>
          <cell r="M33">
            <v>2996430</v>
          </cell>
        </row>
        <row r="35">
          <cell r="E35">
            <v>13847179</v>
          </cell>
          <cell r="G35">
            <v>13479068</v>
          </cell>
          <cell r="I35">
            <v>368111</v>
          </cell>
          <cell r="K35">
            <v>35242695</v>
          </cell>
          <cell r="M35">
            <v>33174574</v>
          </cell>
        </row>
        <row r="36">
          <cell r="B36" t="str">
            <v>OPERATION, MAINTENANCE &amp; ADMINISTRATION EXPENSES</v>
          </cell>
        </row>
        <row r="37">
          <cell r="A37">
            <v>3</v>
          </cell>
          <cell r="C37" t="str">
            <v>TRANSFORMER STATION - EQUIPMENT</v>
          </cell>
          <cell r="E37">
            <v>85726</v>
          </cell>
          <cell r="G37">
            <v>81790</v>
          </cell>
          <cell r="I37">
            <v>-3936</v>
          </cell>
          <cell r="K37">
            <v>252049</v>
          </cell>
          <cell r="M37">
            <v>196471</v>
          </cell>
        </row>
        <row r="38">
          <cell r="A38">
            <v>4</v>
          </cell>
          <cell r="C38" t="str">
            <v>TRANSFORMER STATION - BUILDINGS</v>
          </cell>
          <cell r="E38">
            <v>10076</v>
          </cell>
          <cell r="G38">
            <v>19615</v>
          </cell>
          <cell r="I38">
            <v>9539</v>
          </cell>
          <cell r="K38">
            <v>30462</v>
          </cell>
          <cell r="M38">
            <v>47188</v>
          </cell>
        </row>
        <row r="39">
          <cell r="A39">
            <v>5</v>
          </cell>
          <cell r="C39" t="str">
            <v>DISTRIBUTION STATION EQUIPMENT</v>
          </cell>
          <cell r="E39">
            <v>26138</v>
          </cell>
          <cell r="G39">
            <v>45110</v>
          </cell>
          <cell r="I39">
            <v>18972</v>
          </cell>
          <cell r="K39">
            <v>46181</v>
          </cell>
          <cell r="M39">
            <v>108361</v>
          </cell>
        </row>
        <row r="40">
          <cell r="A40">
            <v>6</v>
          </cell>
          <cell r="C40" t="str">
            <v>DISTRIBUTION STATION BUILDINGS</v>
          </cell>
          <cell r="E40">
            <v>10429</v>
          </cell>
          <cell r="G40">
            <v>6560</v>
          </cell>
          <cell r="I40">
            <v>-3869</v>
          </cell>
          <cell r="K40">
            <v>21753</v>
          </cell>
          <cell r="M40">
            <v>15800</v>
          </cell>
        </row>
        <row r="41">
          <cell r="A41">
            <v>7</v>
          </cell>
          <cell r="C41" t="str">
            <v>WASTE MANAGEMENT</v>
          </cell>
          <cell r="E41">
            <v>2338</v>
          </cell>
          <cell r="G41">
            <v>2565</v>
          </cell>
          <cell r="I41">
            <v>227</v>
          </cell>
          <cell r="K41">
            <v>4663</v>
          </cell>
          <cell r="M41">
            <v>6205</v>
          </cell>
        </row>
        <row r="42">
          <cell r="A42">
            <v>8</v>
          </cell>
          <cell r="C42" t="str">
            <v>LINES OVERHEAD</v>
          </cell>
          <cell r="E42">
            <v>308281</v>
          </cell>
          <cell r="G42">
            <v>261658</v>
          </cell>
          <cell r="I42">
            <v>-46623</v>
          </cell>
          <cell r="K42">
            <v>715145</v>
          </cell>
          <cell r="M42">
            <v>627066</v>
          </cell>
        </row>
        <row r="43">
          <cell r="A43">
            <v>9</v>
          </cell>
          <cell r="C43" t="str">
            <v>TREE TRIMMING</v>
          </cell>
          <cell r="E43">
            <v>78566</v>
          </cell>
          <cell r="G43">
            <v>56835</v>
          </cell>
          <cell r="I43">
            <v>-21731</v>
          </cell>
          <cell r="K43">
            <v>92593</v>
          </cell>
          <cell r="M43">
            <v>136446</v>
          </cell>
        </row>
        <row r="44">
          <cell r="A44">
            <v>10</v>
          </cell>
          <cell r="C44" t="str">
            <v>LINES UNDERGROUND/Switchgear</v>
          </cell>
          <cell r="E44">
            <v>631162</v>
          </cell>
          <cell r="G44">
            <v>381923</v>
          </cell>
          <cell r="I44">
            <v>-249239</v>
          </cell>
          <cell r="K44">
            <v>1228999</v>
          </cell>
          <cell r="M44">
            <v>918498</v>
          </cell>
        </row>
        <row r="45">
          <cell r="A45">
            <v>11</v>
          </cell>
          <cell r="C45" t="str">
            <v>TRANSFORMERS - OVERHEAD</v>
          </cell>
          <cell r="E45">
            <v>37119</v>
          </cell>
          <cell r="G45">
            <v>32780</v>
          </cell>
          <cell r="I45">
            <v>-4339</v>
          </cell>
          <cell r="K45">
            <v>90277</v>
          </cell>
          <cell r="M45">
            <v>78744</v>
          </cell>
        </row>
        <row r="46">
          <cell r="A46">
            <v>12</v>
          </cell>
          <cell r="C46" t="str">
            <v>TRANSFORMERS - UNDERGROUND</v>
          </cell>
          <cell r="E46">
            <v>49571</v>
          </cell>
          <cell r="G46">
            <v>87120</v>
          </cell>
          <cell r="I46">
            <v>37549</v>
          </cell>
          <cell r="K46">
            <v>169587</v>
          </cell>
          <cell r="M46">
            <v>209227</v>
          </cell>
        </row>
        <row r="47">
          <cell r="A47">
            <v>13</v>
          </cell>
          <cell r="C47" t="str">
            <v>METERS</v>
          </cell>
          <cell r="E47">
            <v>179420</v>
          </cell>
          <cell r="G47">
            <v>160785</v>
          </cell>
          <cell r="I47">
            <v>-18635</v>
          </cell>
          <cell r="K47">
            <v>351779</v>
          </cell>
          <cell r="M47">
            <v>386063</v>
          </cell>
        </row>
        <row r="48">
          <cell r="A48">
            <v>14</v>
          </cell>
          <cell r="C48" t="str">
            <v>S.C.A.D.A.</v>
          </cell>
          <cell r="E48">
            <v>95303</v>
          </cell>
          <cell r="G48">
            <v>99070</v>
          </cell>
          <cell r="I48">
            <v>3767</v>
          </cell>
          <cell r="K48">
            <v>230397</v>
          </cell>
          <cell r="M48">
            <v>237886</v>
          </cell>
        </row>
        <row r="49">
          <cell r="A49">
            <v>15</v>
          </cell>
          <cell r="C49" t="str">
            <v>CONTROL ROOM</v>
          </cell>
          <cell r="E49">
            <v>287494</v>
          </cell>
          <cell r="G49">
            <v>308410</v>
          </cell>
          <cell r="I49">
            <v>20916</v>
          </cell>
          <cell r="K49">
            <v>665341</v>
          </cell>
          <cell r="M49">
            <v>740319</v>
          </cell>
        </row>
        <row r="50">
          <cell r="A50">
            <v>16</v>
          </cell>
          <cell r="C50" t="str">
            <v>CUSTOMER Trouble/Service Calls</v>
          </cell>
          <cell r="E50">
            <v>18476</v>
          </cell>
          <cell r="G50">
            <v>12795</v>
          </cell>
          <cell r="I50">
            <v>-5681</v>
          </cell>
          <cell r="K50">
            <v>41918</v>
          </cell>
          <cell r="M50">
            <v>30728</v>
          </cell>
        </row>
        <row r="51">
          <cell r="A51">
            <v>17</v>
          </cell>
          <cell r="C51" t="str">
            <v>CABLE LOCATES &amp; INSPECTION</v>
          </cell>
          <cell r="E51">
            <v>205839</v>
          </cell>
          <cell r="G51">
            <v>189190</v>
          </cell>
          <cell r="I51">
            <v>-16649</v>
          </cell>
          <cell r="K51">
            <v>342787</v>
          </cell>
          <cell r="M51">
            <v>454166</v>
          </cell>
        </row>
        <row r="52">
          <cell r="A52">
            <v>18</v>
          </cell>
          <cell r="C52" t="str">
            <v>CUSTOMER PREMISES</v>
          </cell>
          <cell r="E52">
            <v>216522</v>
          </cell>
          <cell r="G52">
            <v>110040</v>
          </cell>
          <cell r="I52">
            <v>-106482</v>
          </cell>
          <cell r="K52">
            <v>488390</v>
          </cell>
          <cell r="M52">
            <v>264177</v>
          </cell>
        </row>
        <row r="53">
          <cell r="A53">
            <v>19</v>
          </cell>
          <cell r="C53" t="str">
            <v>WATER HEATERS</v>
          </cell>
          <cell r="E53">
            <v>90992</v>
          </cell>
          <cell r="G53">
            <v>56875</v>
          </cell>
          <cell r="I53">
            <v>-34117</v>
          </cell>
          <cell r="K53">
            <v>131599</v>
          </cell>
          <cell r="M53">
            <v>136565</v>
          </cell>
        </row>
        <row r="54">
          <cell r="A54">
            <v>20</v>
          </cell>
          <cell r="C54" t="str">
            <v>PROMOTIONS</v>
          </cell>
          <cell r="E54">
            <v>70490</v>
          </cell>
          <cell r="G54">
            <v>132185</v>
          </cell>
          <cell r="I54">
            <v>61695</v>
          </cell>
          <cell r="K54">
            <v>187377</v>
          </cell>
          <cell r="M54">
            <v>317448</v>
          </cell>
        </row>
        <row r="55">
          <cell r="A55">
            <v>21</v>
          </cell>
          <cell r="C55" t="str">
            <v>BILLING AND COLLECTIONS</v>
          </cell>
          <cell r="E55">
            <v>785922.7</v>
          </cell>
          <cell r="G55">
            <v>714855</v>
          </cell>
          <cell r="I55">
            <v>-71067.69999999995</v>
          </cell>
          <cell r="K55">
            <v>1667011</v>
          </cell>
          <cell r="M55">
            <v>1715921</v>
          </cell>
        </row>
        <row r="56">
          <cell r="A56">
            <v>22</v>
          </cell>
          <cell r="C56" t="str">
            <v>RETAILER BILLING AND COLLECTION</v>
          </cell>
          <cell r="E56">
            <v>41767.299999999996</v>
          </cell>
          <cell r="G56">
            <v>148765</v>
          </cell>
          <cell r="I56">
            <v>106997.70000000001</v>
          </cell>
          <cell r="K56">
            <v>110689</v>
          </cell>
          <cell r="M56">
            <v>357138</v>
          </cell>
        </row>
        <row r="57">
          <cell r="A57">
            <v>23</v>
          </cell>
          <cell r="C57" t="str">
            <v>DATA PROCESSING</v>
          </cell>
          <cell r="E57">
            <v>117835</v>
          </cell>
          <cell r="G57">
            <v>81335</v>
          </cell>
          <cell r="I57">
            <v>-36500</v>
          </cell>
          <cell r="K57">
            <v>261215</v>
          </cell>
          <cell r="M57">
            <v>195273</v>
          </cell>
        </row>
        <row r="58">
          <cell r="A58">
            <v>24</v>
          </cell>
          <cell r="C58" t="str">
            <v>INFORMATION TECHNOLOGY</v>
          </cell>
          <cell r="E58">
            <v>158630</v>
          </cell>
          <cell r="G58">
            <v>169375</v>
          </cell>
          <cell r="I58">
            <v>10745</v>
          </cell>
          <cell r="K58">
            <v>365835</v>
          </cell>
          <cell r="M58">
            <v>406561</v>
          </cell>
        </row>
        <row r="59">
          <cell r="A59">
            <v>25</v>
          </cell>
          <cell r="C59" t="str">
            <v>GENERAL ADMINISTRATION</v>
          </cell>
          <cell r="E59">
            <v>335377</v>
          </cell>
          <cell r="G59">
            <v>305155</v>
          </cell>
          <cell r="I59">
            <v>-30222</v>
          </cell>
          <cell r="K59">
            <v>669726</v>
          </cell>
          <cell r="M59">
            <v>732440</v>
          </cell>
        </row>
        <row r="60">
          <cell r="A60">
            <v>26</v>
          </cell>
          <cell r="C60" t="str">
            <v>ACCOUNTING</v>
          </cell>
          <cell r="E60">
            <v>340114</v>
          </cell>
          <cell r="G60">
            <v>284105</v>
          </cell>
          <cell r="I60">
            <v>-56009</v>
          </cell>
          <cell r="K60">
            <v>633731</v>
          </cell>
          <cell r="M60">
            <v>681976</v>
          </cell>
        </row>
        <row r="61">
          <cell r="A61">
            <v>27</v>
          </cell>
          <cell r="C61" t="str">
            <v>CORPORATE</v>
          </cell>
          <cell r="E61">
            <v>444973</v>
          </cell>
          <cell r="G61">
            <v>323657</v>
          </cell>
          <cell r="I61">
            <v>-121316</v>
          </cell>
          <cell r="K61">
            <v>752213</v>
          </cell>
          <cell r="M61">
            <v>820454</v>
          </cell>
        </row>
        <row r="62">
          <cell r="A62">
            <v>28</v>
          </cell>
          <cell r="C62" t="str">
            <v>EXECUTIVE/BOARD OF DIRECTORS</v>
          </cell>
          <cell r="E62">
            <v>344434</v>
          </cell>
          <cell r="G62">
            <v>309985</v>
          </cell>
          <cell r="I62">
            <v>-34449</v>
          </cell>
          <cell r="K62">
            <v>625642</v>
          </cell>
          <cell r="M62">
            <v>744065</v>
          </cell>
        </row>
        <row r="63">
          <cell r="A63">
            <v>29</v>
          </cell>
          <cell r="C63" t="str">
            <v>BUILDING AND GROUNDS -8100 WARDEN</v>
          </cell>
          <cell r="E63">
            <v>382236</v>
          </cell>
          <cell r="G63">
            <v>405590</v>
          </cell>
          <cell r="I63">
            <v>23354</v>
          </cell>
          <cell r="K63">
            <v>915659</v>
          </cell>
          <cell r="M63">
            <v>973600</v>
          </cell>
        </row>
        <row r="64">
          <cell r="A64">
            <v>30</v>
          </cell>
          <cell r="C64" t="str">
            <v>REGULATORY EXPENSES</v>
          </cell>
          <cell r="E64">
            <v>99731</v>
          </cell>
          <cell r="G64">
            <v>108785</v>
          </cell>
          <cell r="I64">
            <v>9054</v>
          </cell>
          <cell r="K64">
            <v>274452</v>
          </cell>
          <cell r="M64">
            <v>261186</v>
          </cell>
        </row>
        <row r="65">
          <cell r="A65">
            <v>31</v>
          </cell>
          <cell r="C65" t="str">
            <v>AMOUNTS IN LIEU OF TAXES</v>
          </cell>
          <cell r="E65">
            <v>330021</v>
          </cell>
          <cell r="G65">
            <v>374145</v>
          </cell>
          <cell r="I65">
            <v>44124</v>
          </cell>
          <cell r="K65">
            <v>748492</v>
          </cell>
          <cell r="M65">
            <v>897950</v>
          </cell>
        </row>
        <row r="67">
          <cell r="C67" t="str">
            <v>TOTAL</v>
          </cell>
          <cell r="E67">
            <v>5784983</v>
          </cell>
          <cell r="G67">
            <v>5271058</v>
          </cell>
          <cell r="I67">
            <v>-513925</v>
          </cell>
          <cell r="K67">
            <v>12115962</v>
          </cell>
          <cell r="M67">
            <v>12697922</v>
          </cell>
        </row>
        <row r="68">
          <cell r="A68">
            <v>32</v>
          </cell>
          <cell r="C68" t="str">
            <v>AMORTIZATION</v>
          </cell>
          <cell r="E68">
            <v>3519769</v>
          </cell>
          <cell r="G68">
            <v>3666175</v>
          </cell>
          <cell r="I68">
            <v>146406</v>
          </cell>
          <cell r="K68">
            <v>7730668</v>
          </cell>
          <cell r="M68">
            <v>8804117</v>
          </cell>
        </row>
        <row r="70">
          <cell r="C70" t="str">
            <v>EARNINGS BEFORE INTEREST &amp; TAXES</v>
          </cell>
          <cell r="E70">
            <v>4542427</v>
          </cell>
          <cell r="G70">
            <v>4541835</v>
          </cell>
          <cell r="I70">
            <v>592</v>
          </cell>
          <cell r="K70">
            <v>15396065</v>
          </cell>
          <cell r="M70">
            <v>11672535</v>
          </cell>
        </row>
        <row r="72">
          <cell r="A72">
            <v>33</v>
          </cell>
          <cell r="C72" t="str">
            <v>INTEREST</v>
          </cell>
          <cell r="E72">
            <v>2237480</v>
          </cell>
          <cell r="G72">
            <v>2318630</v>
          </cell>
          <cell r="I72">
            <v>81150</v>
          </cell>
          <cell r="K72">
            <v>5625049</v>
          </cell>
          <cell r="M72">
            <v>5564740</v>
          </cell>
        </row>
        <row r="73">
          <cell r="C73" t="str">
            <v>EQUITY IN EARNINGS OF RICHMONDHILL HYDRO</v>
          </cell>
          <cell r="E73">
            <v>781610.5</v>
          </cell>
          <cell r="G73">
            <v>532564.3333333335</v>
          </cell>
          <cell r="I73">
            <v>249046.1666666665</v>
          </cell>
          <cell r="K73">
            <v>2671702</v>
          </cell>
          <cell r="M73">
            <v>3506000</v>
          </cell>
        </row>
        <row r="74">
          <cell r="E74">
            <v>3086557.5</v>
          </cell>
          <cell r="G74">
            <v>2755769.3333333335</v>
          </cell>
          <cell r="I74">
            <v>330788.1666666665</v>
          </cell>
          <cell r="K74">
            <v>12442718</v>
          </cell>
          <cell r="M74">
            <v>9613795</v>
          </cell>
        </row>
        <row r="77">
          <cell r="A77">
            <v>34</v>
          </cell>
          <cell r="C77" t="str">
            <v>UNUSUAL ITEMS</v>
          </cell>
          <cell r="E77">
            <v>0</v>
          </cell>
          <cell r="I77">
            <v>0</v>
          </cell>
          <cell r="M77">
            <v>0</v>
          </cell>
        </row>
        <row r="79">
          <cell r="A79">
            <v>35</v>
          </cell>
          <cell r="C79" t="str">
            <v>NET INCOME BEFORE TAXES</v>
          </cell>
          <cell r="E79">
            <v>3086557.5</v>
          </cell>
          <cell r="G79">
            <v>2755769.3333333335</v>
          </cell>
          <cell r="I79">
            <v>330788.1666666665</v>
          </cell>
          <cell r="K79">
            <v>12442718</v>
          </cell>
          <cell r="M79">
            <v>9613795</v>
          </cell>
        </row>
        <row r="81">
          <cell r="A81">
            <v>36</v>
          </cell>
          <cell r="C81" t="str">
            <v>AMOUNTS IN LIEU OF INCOME TAXES</v>
          </cell>
          <cell r="E81">
            <v>1354224</v>
          </cell>
          <cell r="G81">
            <v>1106070</v>
          </cell>
          <cell r="I81">
            <v>-248154</v>
          </cell>
          <cell r="K81">
            <v>3556084</v>
          </cell>
          <cell r="M81">
            <v>2654578</v>
          </cell>
        </row>
        <row r="83">
          <cell r="C83" t="str">
            <v>NET INCOME</v>
          </cell>
          <cell r="E83">
            <v>1732334</v>
          </cell>
          <cell r="G83">
            <v>1649699.3333333335</v>
          </cell>
          <cell r="I83">
            <v>82634.16666666651</v>
          </cell>
          <cell r="K83">
            <v>8886634</v>
          </cell>
          <cell r="M83">
            <v>6959217</v>
          </cell>
        </row>
        <row r="86">
          <cell r="A86">
            <v>37</v>
          </cell>
          <cell r="C86" t="str">
            <v>NET INCOME (LOSS)</v>
          </cell>
          <cell r="E86">
            <v>1732334</v>
          </cell>
          <cell r="G86">
            <v>1649699.3333333335</v>
          </cell>
          <cell r="I86">
            <v>82634.16666666651</v>
          </cell>
          <cell r="K86">
            <v>8886634</v>
          </cell>
          <cell r="M86">
            <v>6959217</v>
          </cell>
        </row>
        <row r="88">
          <cell r="C88" t="str">
            <v>GROSS MARGIN %</v>
          </cell>
          <cell r="E88">
            <v>0.1794</v>
          </cell>
          <cell r="G88">
            <v>0.1702</v>
          </cell>
          <cell r="K88">
            <v>0.1932</v>
          </cell>
          <cell r="M88">
            <v>0.1755</v>
          </cell>
        </row>
        <row r="90">
          <cell r="C90" t="str">
            <v>NET INCOME (LOSS) AS A % OF TOTAL REVENUE</v>
          </cell>
          <cell r="E90">
            <v>0.025131011121447364</v>
          </cell>
          <cell r="G90">
            <v>0.022561009946655552</v>
          </cell>
          <cell r="K90">
            <v>0.054461445738771284</v>
          </cell>
          <cell r="M90">
            <v>0.03978313329036081</v>
          </cell>
        </row>
        <row r="92">
          <cell r="C92" t="str">
            <v>SERVICE REVENUE INCREASE OVER PREVIOUS YEAR</v>
          </cell>
          <cell r="E92">
            <v>-0.5766366802386238</v>
          </cell>
          <cell r="K92">
            <v>-0.0272</v>
          </cell>
        </row>
        <row r="94">
          <cell r="C94" t="str">
            <v>NUMBER OF BILLING CUSTOMERS</v>
          </cell>
          <cell r="E94">
            <v>0</v>
          </cell>
          <cell r="K94">
            <v>72249</v>
          </cell>
        </row>
        <row r="95">
          <cell r="E95">
            <v>82060</v>
          </cell>
        </row>
        <row r="99">
          <cell r="C99" t="str">
            <v>P:\finstmnt\2004\[fs-may04 .XLS]Bal_ExternalReporting</v>
          </cell>
        </row>
      </sheetData>
      <sheetData sheetId="18">
        <row r="1">
          <cell r="J1" t="str">
            <v>MARKHAM HYDRO DISTRIBUTION INC.</v>
          </cell>
        </row>
        <row r="2">
          <cell r="J2" t="str">
            <v>CAPITAL EXPENDITURE STATEMENT-LINE ITEMS</v>
          </cell>
        </row>
        <row r="3">
          <cell r="C3" t="str">
            <v>NOT REVISED</v>
          </cell>
          <cell r="J3" t="str">
            <v>Five Months to May 31, 2004</v>
          </cell>
          <cell r="P3" t="str">
            <v>BUDGET TRANSFERS</v>
          </cell>
          <cell r="T3" t="str">
            <v>SCHEDULE 1A</v>
          </cell>
        </row>
        <row r="4">
          <cell r="C4" t="str">
            <v>TO BE REVISED TO AGREE WITH CAPEX SUM</v>
          </cell>
          <cell r="J4" t="str">
            <v> </v>
          </cell>
          <cell r="P4" t="str">
            <v>&amp; ACTUAL ASSETS ADJUSTMENTS</v>
          </cell>
        </row>
        <row r="5">
          <cell r="J5" t="str">
            <v>WORK IN PROCESS ADJUSTMENT</v>
          </cell>
          <cell r="P5" t="str">
            <v>TO BE INCORPORATED</v>
          </cell>
        </row>
        <row r="7">
          <cell r="D7" t="str">
            <v>OPENING</v>
          </cell>
          <cell r="E7" t="str">
            <v>  </v>
          </cell>
          <cell r="F7" t="str">
            <v>CLOSING</v>
          </cell>
          <cell r="J7">
            <v>2002</v>
          </cell>
          <cell r="L7" t="str">
            <v>Opening WIP</v>
          </cell>
          <cell r="N7" t="str">
            <v>Adjusted 2002</v>
          </cell>
          <cell r="P7">
            <v>2002</v>
          </cell>
          <cell r="R7">
            <v>2001</v>
          </cell>
          <cell r="T7">
            <v>2002</v>
          </cell>
          <cell r="V7">
            <v>2002</v>
          </cell>
        </row>
        <row r="8">
          <cell r="D8" t="str">
            <v>BALANCE</v>
          </cell>
          <cell r="F8" t="str">
            <v>BALANCE</v>
          </cell>
          <cell r="J8" t="str">
            <v>YTD</v>
          </cell>
          <cell r="L8" t="str">
            <v>Distributed</v>
          </cell>
          <cell r="N8" t="str">
            <v>YTD Actual</v>
          </cell>
          <cell r="P8" t="str">
            <v>ANNUAL</v>
          </cell>
          <cell r="R8" t="str">
            <v>CARRYOVER</v>
          </cell>
          <cell r="T8" t="str">
            <v> </v>
          </cell>
          <cell r="V8" t="str">
            <v>YTD</v>
          </cell>
        </row>
        <row r="9">
          <cell r="C9" t="str">
            <v>DESCRIPTION</v>
          </cell>
          <cell r="D9" t="str">
            <v>JAN. 1/02</v>
          </cell>
          <cell r="F9" t="str">
            <v>CURR. YR.</v>
          </cell>
          <cell r="J9" t="str">
            <v>ACTUAL</v>
          </cell>
          <cell r="P9" t="str">
            <v>BUDGET</v>
          </cell>
          <cell r="R9" t="str">
            <v>TO 2002</v>
          </cell>
          <cell r="T9" t="str">
            <v>TRANSFERS</v>
          </cell>
          <cell r="V9" t="str">
            <v>VARIANCE</v>
          </cell>
        </row>
        <row r="11">
          <cell r="A11">
            <v>1</v>
          </cell>
          <cell r="C11" t="str">
            <v>LAND</v>
          </cell>
          <cell r="D11">
            <v>1548662</v>
          </cell>
          <cell r="F11">
            <v>1574483.5</v>
          </cell>
          <cell r="J11">
            <v>25821.5</v>
          </cell>
          <cell r="L11">
            <v>0</v>
          </cell>
          <cell r="N11">
            <v>25821.64</v>
          </cell>
          <cell r="P11">
            <v>500000</v>
          </cell>
          <cell r="R11">
            <v>0</v>
          </cell>
          <cell r="V11">
            <v>474178.36</v>
          </cell>
        </row>
        <row r="12">
          <cell r="J12" t="str">
            <v> </v>
          </cell>
        </row>
        <row r="13">
          <cell r="A13">
            <v>2</v>
          </cell>
          <cell r="C13" t="str">
            <v>BUILDING &amp; LEASEHOLD IMPROVEMENTS</v>
          </cell>
          <cell r="D13">
            <v>806520.84</v>
          </cell>
          <cell r="F13">
            <v>955248.35</v>
          </cell>
          <cell r="J13">
            <v>148727.51</v>
          </cell>
          <cell r="L13">
            <v>-33752.16</v>
          </cell>
          <cell r="N13">
            <v>114975.35</v>
          </cell>
          <cell r="P13">
            <v>10000</v>
          </cell>
          <cell r="R13">
            <v>0</v>
          </cell>
          <cell r="T13">
            <v>227970</v>
          </cell>
          <cell r="V13">
            <v>122994.65</v>
          </cell>
        </row>
        <row r="15">
          <cell r="A15">
            <v>3</v>
          </cell>
          <cell r="C15" t="str">
            <v>TRANSFORMER STATION EQPT</v>
          </cell>
          <cell r="D15">
            <v>14183954.95</v>
          </cell>
          <cell r="F15">
            <v>23106837.560000002</v>
          </cell>
          <cell r="J15">
            <v>8922883.110000003</v>
          </cell>
          <cell r="L15">
            <v>-8722.05</v>
          </cell>
          <cell r="N15">
            <v>8914161.060000002</v>
          </cell>
          <cell r="P15">
            <v>5524258</v>
          </cell>
          <cell r="R15">
            <v>1050000</v>
          </cell>
          <cell r="V15">
            <v>-2339903.0600000024</v>
          </cell>
        </row>
        <row r="17">
          <cell r="A17">
            <v>4</v>
          </cell>
          <cell r="C17" t="str">
            <v>MUNICIPAL STATION EQPT</v>
          </cell>
          <cell r="D17">
            <v>2182085.78</v>
          </cell>
          <cell r="F17">
            <v>2209301.78</v>
          </cell>
          <cell r="J17">
            <v>27216</v>
          </cell>
          <cell r="L17">
            <v>0</v>
          </cell>
          <cell r="N17">
            <v>27216</v>
          </cell>
          <cell r="P17">
            <v>36599</v>
          </cell>
          <cell r="R17">
            <v>36524</v>
          </cell>
          <cell r="V17">
            <v>45907</v>
          </cell>
        </row>
        <row r="19">
          <cell r="A19">
            <v>5</v>
          </cell>
          <cell r="C19" t="str">
            <v>OVERHEAD - LINES</v>
          </cell>
          <cell r="D19">
            <v>35995969.85</v>
          </cell>
          <cell r="F19">
            <v>40855251.11</v>
          </cell>
          <cell r="J19">
            <v>4859281.259999998</v>
          </cell>
          <cell r="L19">
            <v>-721948.3099999999</v>
          </cell>
          <cell r="N19">
            <v>4137332.949999998</v>
          </cell>
          <cell r="P19">
            <v>1001189</v>
          </cell>
          <cell r="R19">
            <v>2491530</v>
          </cell>
          <cell r="T19">
            <v>109948</v>
          </cell>
          <cell r="V19">
            <v>-534665.9499999979</v>
          </cell>
        </row>
        <row r="21">
          <cell r="A21">
            <v>6</v>
          </cell>
          <cell r="C21" t="str">
            <v>OVERHEAD - TRANSFORMERS</v>
          </cell>
          <cell r="D21">
            <v>8936246.580000002</v>
          </cell>
          <cell r="F21">
            <v>9327711.03</v>
          </cell>
          <cell r="J21">
            <v>391464.4499999974</v>
          </cell>
          <cell r="L21">
            <v>-11719.89</v>
          </cell>
          <cell r="N21">
            <v>379744.5599999974</v>
          </cell>
          <cell r="P21">
            <v>282702</v>
          </cell>
          <cell r="R21">
            <v>64454</v>
          </cell>
          <cell r="T21">
            <v>-109948</v>
          </cell>
          <cell r="V21">
            <v>-142536.55999999738</v>
          </cell>
        </row>
        <row r="23">
          <cell r="A23">
            <v>7</v>
          </cell>
          <cell r="C23" t="str">
            <v>UNDERGROUND - LINES</v>
          </cell>
          <cell r="D23">
            <v>93838717.31</v>
          </cell>
          <cell r="F23">
            <v>109189706.41000001</v>
          </cell>
          <cell r="J23">
            <v>15350989.100000009</v>
          </cell>
          <cell r="L23">
            <v>-1279303.69</v>
          </cell>
          <cell r="N23">
            <v>14071685.41000001</v>
          </cell>
          <cell r="P23">
            <v>10486138</v>
          </cell>
          <cell r="R23">
            <v>640549</v>
          </cell>
          <cell r="T23">
            <v>-50000</v>
          </cell>
          <cell r="V23">
            <v>-2994998.4100000095</v>
          </cell>
        </row>
        <row r="25">
          <cell r="A25">
            <v>8</v>
          </cell>
          <cell r="C25" t="str">
            <v>UNDERGROUND - TRANSFORMERS</v>
          </cell>
          <cell r="D25">
            <v>38037669.3</v>
          </cell>
          <cell r="F25">
            <v>43118620.89</v>
          </cell>
          <cell r="J25">
            <v>5080951.590000004</v>
          </cell>
          <cell r="L25">
            <v>-243200.7</v>
          </cell>
          <cell r="N25">
            <v>4837750.890000003</v>
          </cell>
          <cell r="P25">
            <v>2081171</v>
          </cell>
          <cell r="R25">
            <v>53438</v>
          </cell>
          <cell r="V25">
            <v>-2703141.8900000034</v>
          </cell>
        </row>
        <row r="27">
          <cell r="A27">
            <v>9</v>
          </cell>
          <cell r="C27" t="str">
            <v>METERS</v>
          </cell>
          <cell r="D27">
            <v>9277419.96</v>
          </cell>
          <cell r="F27">
            <v>10293098.26</v>
          </cell>
          <cell r="J27">
            <v>1015678.2999999989</v>
          </cell>
          <cell r="L27">
            <v>0</v>
          </cell>
          <cell r="N27">
            <v>1015678.2999999989</v>
          </cell>
          <cell r="P27">
            <v>483137</v>
          </cell>
          <cell r="R27">
            <v>0</v>
          </cell>
          <cell r="V27">
            <v>-532541.2999999989</v>
          </cell>
        </row>
        <row r="29">
          <cell r="A29">
            <v>10</v>
          </cell>
          <cell r="C29" t="str">
            <v>GENERAL OFFICE EQPT</v>
          </cell>
          <cell r="D29">
            <v>1258688.73</v>
          </cell>
          <cell r="F29">
            <v>1673312.09</v>
          </cell>
          <cell r="J29">
            <v>414623.3600000001</v>
          </cell>
          <cell r="L29">
            <v>0</v>
          </cell>
          <cell r="N29">
            <v>414623.3600000001</v>
          </cell>
          <cell r="P29">
            <v>220398</v>
          </cell>
          <cell r="R29">
            <v>0</v>
          </cell>
          <cell r="T29">
            <v>109300</v>
          </cell>
          <cell r="V29">
            <v>-84925.3600000001</v>
          </cell>
        </row>
        <row r="31">
          <cell r="A31">
            <v>11</v>
          </cell>
          <cell r="C31" t="str">
            <v>COMPUTER EQPT</v>
          </cell>
          <cell r="D31">
            <v>1486183.66</v>
          </cell>
          <cell r="F31">
            <v>2018550.46</v>
          </cell>
          <cell r="J31">
            <v>532366.8</v>
          </cell>
          <cell r="L31">
            <v>0</v>
          </cell>
          <cell r="N31">
            <v>532366.8</v>
          </cell>
          <cell r="P31">
            <v>118700</v>
          </cell>
          <cell r="R31">
            <v>2520577</v>
          </cell>
          <cell r="V31">
            <v>2106910.2</v>
          </cell>
        </row>
        <row r="33">
          <cell r="A33">
            <v>12</v>
          </cell>
          <cell r="C33" t="str">
            <v>STORES WAREHOUSE EQPT</v>
          </cell>
          <cell r="D33">
            <v>114006.77</v>
          </cell>
          <cell r="F33">
            <v>113530.41</v>
          </cell>
          <cell r="J33">
            <v>-476.3600000000006</v>
          </cell>
          <cell r="L33">
            <v>0</v>
          </cell>
          <cell r="N33">
            <v>-476.3600000000006</v>
          </cell>
          <cell r="P33">
            <v>0</v>
          </cell>
          <cell r="R33">
            <v>0</v>
          </cell>
          <cell r="V33">
            <v>476.3600000000006</v>
          </cell>
        </row>
        <row r="35">
          <cell r="A35">
            <v>13</v>
          </cell>
          <cell r="C35" t="str">
            <v>ROLLING STOCK </v>
          </cell>
          <cell r="D35">
            <v>2634551.72</v>
          </cell>
          <cell r="F35">
            <v>2593483.68</v>
          </cell>
          <cell r="J35">
            <v>-41068.04000000004</v>
          </cell>
          <cell r="L35">
            <v>0</v>
          </cell>
          <cell r="N35">
            <v>-41068.04000000004</v>
          </cell>
          <cell r="P35">
            <v>150000</v>
          </cell>
          <cell r="R35">
            <v>290000</v>
          </cell>
          <cell r="T35">
            <v>-25727</v>
          </cell>
          <cell r="V35">
            <v>455341.04000000004</v>
          </cell>
        </row>
        <row r="37">
          <cell r="A37">
            <v>14</v>
          </cell>
          <cell r="C37" t="str">
            <v>MAJOR TOOLS &amp; EQPT</v>
          </cell>
          <cell r="D37">
            <v>1264214.98</v>
          </cell>
          <cell r="F37">
            <v>1579896.07</v>
          </cell>
          <cell r="J37">
            <v>315681.0900000001</v>
          </cell>
          <cell r="L37">
            <v>0</v>
          </cell>
          <cell r="N37">
            <v>315681.0900000001</v>
          </cell>
          <cell r="P37">
            <v>1000</v>
          </cell>
          <cell r="R37">
            <v>22500</v>
          </cell>
          <cell r="T37">
            <v>15800</v>
          </cell>
          <cell r="V37">
            <v>-276381.0900000001</v>
          </cell>
        </row>
        <row r="39">
          <cell r="A39">
            <v>15</v>
          </cell>
          <cell r="C39" t="str">
            <v>RADIO &amp; TELEPHONE EQPT</v>
          </cell>
          <cell r="D39">
            <v>472959.5</v>
          </cell>
          <cell r="F39">
            <v>554667.94</v>
          </cell>
          <cell r="J39">
            <v>81708.43999999994</v>
          </cell>
          <cell r="L39">
            <v>0</v>
          </cell>
          <cell r="N39">
            <v>81708.43999999994</v>
          </cell>
          <cell r="P39">
            <v>124400</v>
          </cell>
          <cell r="R39">
            <v>0</v>
          </cell>
          <cell r="T39">
            <v>1840</v>
          </cell>
          <cell r="V39">
            <v>44531.560000000056</v>
          </cell>
        </row>
        <row r="41">
          <cell r="A41">
            <v>16</v>
          </cell>
          <cell r="C41" t="str">
            <v>WATER HEATER EQPT</v>
          </cell>
          <cell r="D41">
            <v>1053694.33</v>
          </cell>
          <cell r="F41">
            <v>935931.04</v>
          </cell>
          <cell r="J41">
            <v>-117763.29000000004</v>
          </cell>
          <cell r="L41">
            <v>0</v>
          </cell>
          <cell r="N41">
            <v>-117763.29000000004</v>
          </cell>
          <cell r="P41">
            <v>139743</v>
          </cell>
          <cell r="R41">
            <v>0</v>
          </cell>
          <cell r="V41">
            <v>257506.29000000004</v>
          </cell>
        </row>
        <row r="43">
          <cell r="A43">
            <v>17</v>
          </cell>
          <cell r="C43" t="str">
            <v>LEASED PROPERTY</v>
          </cell>
          <cell r="D43">
            <v>951039.9</v>
          </cell>
          <cell r="F43">
            <v>981701.38</v>
          </cell>
          <cell r="J43">
            <v>30661.47999999998</v>
          </cell>
          <cell r="L43">
            <v>0</v>
          </cell>
          <cell r="N43">
            <v>30661.47999999998</v>
          </cell>
          <cell r="P43">
            <v>107150</v>
          </cell>
          <cell r="R43">
            <v>20300</v>
          </cell>
          <cell r="V43">
            <v>96788.52000000002</v>
          </cell>
        </row>
        <row r="44">
          <cell r="J44">
            <v>0</v>
          </cell>
        </row>
        <row r="45">
          <cell r="A45">
            <v>18</v>
          </cell>
          <cell r="C45" t="str">
            <v>S.C.A.D.A.</v>
          </cell>
          <cell r="D45">
            <v>2310274.74</v>
          </cell>
          <cell r="F45">
            <v>3478610.0999999996</v>
          </cell>
          <cell r="J45">
            <v>1168335.3599999994</v>
          </cell>
          <cell r="L45">
            <v>-589177.2</v>
          </cell>
          <cell r="N45">
            <v>579158.1599999995</v>
          </cell>
          <cell r="P45">
            <v>405213</v>
          </cell>
          <cell r="R45">
            <v>770098</v>
          </cell>
          <cell r="V45">
            <v>596152.8400000005</v>
          </cell>
        </row>
        <row r="47">
          <cell r="C47" t="str">
            <v>SUB-TOTALS</v>
          </cell>
          <cell r="D47">
            <v>216352860.90000004</v>
          </cell>
          <cell r="F47">
            <v>254559942.05999997</v>
          </cell>
          <cell r="J47">
            <v>38207081.660000004</v>
          </cell>
          <cell r="K47" t="str">
            <v>***</v>
          </cell>
          <cell r="L47">
            <v>-2887824</v>
          </cell>
          <cell r="N47">
            <v>35319257.800000004</v>
          </cell>
          <cell r="P47">
            <v>21671798</v>
          </cell>
          <cell r="R47">
            <v>7959970</v>
          </cell>
          <cell r="T47">
            <v>279183</v>
          </cell>
          <cell r="V47">
            <v>-5408306.800000005</v>
          </cell>
        </row>
        <row r="48">
          <cell r="A48" t="str">
            <v>  </v>
          </cell>
        </row>
        <row r="49">
          <cell r="A49">
            <v>19</v>
          </cell>
          <cell r="C49" t="str">
            <v>WORK-IN-PROCESS</v>
          </cell>
          <cell r="D49">
            <v>2887824</v>
          </cell>
          <cell r="F49">
            <v>0</v>
          </cell>
          <cell r="J49">
            <v>-2887824</v>
          </cell>
          <cell r="L49">
            <v>2887824</v>
          </cell>
          <cell r="N49">
            <v>0</v>
          </cell>
          <cell r="V49">
            <v>0</v>
          </cell>
        </row>
        <row r="50">
          <cell r="C50" t="str">
            <v>      SUBTOTAL</v>
          </cell>
          <cell r="D50">
            <v>219240684.90000004</v>
          </cell>
          <cell r="F50">
            <v>254559942.05999997</v>
          </cell>
          <cell r="J50">
            <v>35319257.660000004</v>
          </cell>
          <cell r="L50">
            <v>0</v>
          </cell>
          <cell r="N50">
            <v>35319257.800000004</v>
          </cell>
        </row>
        <row r="51">
          <cell r="J51">
            <v>0</v>
          </cell>
          <cell r="L51">
            <v>0</v>
          </cell>
          <cell r="N51">
            <v>0</v>
          </cell>
        </row>
        <row r="52">
          <cell r="C52" t="str">
            <v>TOTAL CAPITAL EXPENDITURES</v>
          </cell>
          <cell r="J52">
            <v>35319257.660000004</v>
          </cell>
          <cell r="L52">
            <v>0</v>
          </cell>
          <cell r="N52">
            <v>35319257.800000004</v>
          </cell>
          <cell r="P52">
            <v>21671798</v>
          </cell>
          <cell r="R52">
            <v>7959970</v>
          </cell>
          <cell r="T52">
            <v>279183</v>
          </cell>
          <cell r="V52">
            <v>-5408306.800000005</v>
          </cell>
        </row>
        <row r="54">
          <cell r="C54" t="str">
            <v>CONTRIBUTED CAPITAL</v>
          </cell>
        </row>
        <row r="55">
          <cell r="C55" t="str">
            <v>OVERHEAD - LINES &amp; TRANSFORMERS</v>
          </cell>
          <cell r="D55">
            <v>-1401712.5</v>
          </cell>
          <cell r="F55">
            <v>-3970233.91</v>
          </cell>
          <cell r="J55">
            <v>2568521.41</v>
          </cell>
          <cell r="L55">
            <v>-111184.78</v>
          </cell>
          <cell r="N55">
            <v>2457336.6300000004</v>
          </cell>
          <cell r="P55">
            <v>83453</v>
          </cell>
          <cell r="R55">
            <v>192223</v>
          </cell>
          <cell r="V55">
            <v>-2181660.6300000004</v>
          </cell>
        </row>
        <row r="57">
          <cell r="C57" t="str">
            <v>UNDERGROUND - LINES &amp; TRANSFORMERS</v>
          </cell>
          <cell r="D57">
            <v>-12674182.82</v>
          </cell>
          <cell r="F57">
            <v>-23759387.29</v>
          </cell>
          <cell r="J57">
            <v>11085204.469999999</v>
          </cell>
          <cell r="L57">
            <v>-746207.8999999999</v>
          </cell>
          <cell r="N57">
            <v>10338996.569999998</v>
          </cell>
          <cell r="P57">
            <v>4370664</v>
          </cell>
          <cell r="R57">
            <v>59000</v>
          </cell>
          <cell r="V57">
            <v>-5909332.569999998</v>
          </cell>
        </row>
        <row r="59">
          <cell r="C59" t="str">
            <v>EQUIPMENT &amp; ROLLING STOCK&amp; METERS</v>
          </cell>
          <cell r="D59">
            <v>-42520.380000000005</v>
          </cell>
          <cell r="F59">
            <v>-137699</v>
          </cell>
          <cell r="J59">
            <v>95178.62</v>
          </cell>
          <cell r="L59">
            <v>0</v>
          </cell>
          <cell r="N59">
            <v>95178.62</v>
          </cell>
          <cell r="P59">
            <v>295087</v>
          </cell>
          <cell r="R59">
            <v>0</v>
          </cell>
          <cell r="V59">
            <v>199908.38</v>
          </cell>
        </row>
        <row r="63">
          <cell r="C63" t="str">
            <v> CONTRIBUTED CAPITAL (excluding wip)</v>
          </cell>
          <cell r="D63">
            <v>-14118415.700000001</v>
          </cell>
          <cell r="F63">
            <v>-27867320.2</v>
          </cell>
          <cell r="J63">
            <v>13748904.499999998</v>
          </cell>
          <cell r="L63">
            <v>-857392.6799999999</v>
          </cell>
          <cell r="N63">
            <v>12891511.819999998</v>
          </cell>
          <cell r="P63">
            <v>4749204</v>
          </cell>
          <cell r="R63">
            <v>251223</v>
          </cell>
          <cell r="T63">
            <v>0</v>
          </cell>
          <cell r="V63">
            <v>-7891084.819999999</v>
          </cell>
        </row>
        <row r="65">
          <cell r="C65" t="str">
            <v>WORK-IN -PROCESS CONTRIBUTED CAPITAL</v>
          </cell>
          <cell r="D65">
            <v>-857393</v>
          </cell>
          <cell r="F65">
            <v>0</v>
          </cell>
          <cell r="J65">
            <v>-857393</v>
          </cell>
          <cell r="L65">
            <v>857392.6799999999</v>
          </cell>
          <cell r="N65">
            <v>-0.3200000000651926</v>
          </cell>
          <cell r="P65">
            <v>0</v>
          </cell>
          <cell r="R65">
            <v>0</v>
          </cell>
          <cell r="T65">
            <v>0</v>
          </cell>
          <cell r="V65">
            <v>0.3200000000651926</v>
          </cell>
        </row>
        <row r="67">
          <cell r="C67" t="str">
            <v>TOTAL CONTRIBUTED CAPITAL</v>
          </cell>
          <cell r="D67">
            <v>-14975808.700000001</v>
          </cell>
          <cell r="F67">
            <v>-27867320.2</v>
          </cell>
          <cell r="J67">
            <v>12891511.499999998</v>
          </cell>
          <cell r="L67">
            <v>0</v>
          </cell>
          <cell r="N67">
            <v>12891511.499999998</v>
          </cell>
          <cell r="P67">
            <v>4749204</v>
          </cell>
          <cell r="R67">
            <v>251223</v>
          </cell>
          <cell r="T67">
            <v>0</v>
          </cell>
          <cell r="V67">
            <v>-7891084.499999998</v>
          </cell>
        </row>
        <row r="68">
          <cell r="C68" t="str">
            <v>UPSTREAM CHARGES</v>
          </cell>
          <cell r="D68">
            <v>-667040</v>
          </cell>
          <cell r="F68">
            <v>0</v>
          </cell>
          <cell r="J68">
            <v>-667040</v>
          </cell>
          <cell r="N68">
            <v>-667040</v>
          </cell>
          <cell r="P68">
            <v>1213000</v>
          </cell>
          <cell r="R68">
            <v>0</v>
          </cell>
          <cell r="V68">
            <v>1880040</v>
          </cell>
        </row>
        <row r="69">
          <cell r="C69" t="str">
            <v>TOTAL CONTRIBUTION</v>
          </cell>
          <cell r="J69">
            <v>12224471.499999998</v>
          </cell>
          <cell r="L69">
            <v>0</v>
          </cell>
          <cell r="N69">
            <v>12224471.499999998</v>
          </cell>
          <cell r="P69">
            <v>5962204</v>
          </cell>
          <cell r="R69">
            <v>251223</v>
          </cell>
          <cell r="T69">
            <v>0</v>
          </cell>
          <cell r="V69">
            <v>-6011044.499999998</v>
          </cell>
        </row>
        <row r="71">
          <cell r="C71" t="str">
            <v>NET CAPITAL EXPENDITURES</v>
          </cell>
          <cell r="J71">
            <v>23094786.160000004</v>
          </cell>
          <cell r="L71">
            <v>0</v>
          </cell>
          <cell r="N71">
            <v>23094786.300000004</v>
          </cell>
          <cell r="P71">
            <v>15709594</v>
          </cell>
          <cell r="R71">
            <v>7708747</v>
          </cell>
          <cell r="T71">
            <v>279183</v>
          </cell>
          <cell r="V71">
            <v>602738.1999999927</v>
          </cell>
        </row>
        <row r="73">
          <cell r="C73" t="str">
            <v>OTHER ASSETS</v>
          </cell>
        </row>
        <row r="75">
          <cell r="C75" t="str">
            <v>INTANGIBLE ASSETS (ORGANIZATION)</v>
          </cell>
          <cell r="D75">
            <v>201051</v>
          </cell>
          <cell r="F75">
            <v>579834</v>
          </cell>
          <cell r="J75">
            <v>378783</v>
          </cell>
          <cell r="N75">
            <v>378783</v>
          </cell>
          <cell r="P75">
            <v>0</v>
          </cell>
          <cell r="R75">
            <v>0</v>
          </cell>
          <cell r="T75">
            <v>0</v>
          </cell>
          <cell r="V75">
            <v>-757566</v>
          </cell>
        </row>
        <row r="77">
          <cell r="C77" t="str">
            <v>DEFERRED CHARGES (Qualifying transition costs)</v>
          </cell>
          <cell r="J77">
            <v>-3564016</v>
          </cell>
          <cell r="N77">
            <v>-3564016</v>
          </cell>
          <cell r="P77">
            <v>0</v>
          </cell>
          <cell r="R77">
            <v>0</v>
          </cell>
          <cell r="T77">
            <v>0</v>
          </cell>
          <cell r="V77">
            <v>3564016</v>
          </cell>
        </row>
        <row r="79">
          <cell r="C79" t="str">
            <v>WORK-IN-PROCESS - TRANSITION</v>
          </cell>
          <cell r="D79">
            <v>860826</v>
          </cell>
          <cell r="F79">
            <v>0</v>
          </cell>
          <cell r="J79">
            <v>-860825.7</v>
          </cell>
          <cell r="N79">
            <v>-860825.7</v>
          </cell>
          <cell r="P79">
            <v>0</v>
          </cell>
          <cell r="R79">
            <v>0</v>
          </cell>
          <cell r="T79">
            <v>0</v>
          </cell>
          <cell r="V79">
            <v>1721651.9</v>
          </cell>
        </row>
        <row r="80">
          <cell r="A80" t="str">
            <v>FOR YEAR END</v>
          </cell>
        </row>
        <row r="81">
          <cell r="B81" t="str">
            <v>*</v>
          </cell>
          <cell r="C81" t="str">
            <v>2001 DEVELOPMENT CHARGES  ( SEE SCHEDULE 11)</v>
          </cell>
        </row>
        <row r="82">
          <cell r="C82" t="str">
            <v>Opening Balance January 1, 2001 </v>
          </cell>
          <cell r="P82">
            <v>2936509</v>
          </cell>
        </row>
        <row r="83">
          <cell r="C83" t="str">
            <v>Development Charges 2001 (Received from Town of Markham)</v>
          </cell>
          <cell r="P83">
            <v>-6269</v>
          </cell>
          <cell r="R83" t="str">
            <v>Refunds applicable in 2001</v>
          </cell>
        </row>
        <row r="84">
          <cell r="C84" t="str">
            <v>Interest on Development Charge Fund</v>
          </cell>
          <cell r="P84">
            <v>107302</v>
          </cell>
        </row>
        <row r="85">
          <cell r="R85" t="str">
            <v>Effective September 1,1999 the balance in the administration </v>
          </cell>
        </row>
        <row r="86">
          <cell r="C86" t="str">
            <v>Less: Transfers in 2001 to</v>
          </cell>
          <cell r="R86" t="str">
            <v>component was transferred to grid  expansion</v>
          </cell>
        </row>
        <row r="87">
          <cell r="C87" t="str">
            <v>Overhead - Lines &amp; Transformers</v>
          </cell>
          <cell r="P87">
            <v>-966792</v>
          </cell>
        </row>
        <row r="88">
          <cell r="C88" t="str">
            <v>Underground - Lines &amp; Transformers</v>
          </cell>
          <cell r="P88">
            <v>-894523</v>
          </cell>
          <cell r="R88" t="str">
            <v>Applied DC funds for pre-2000 DC is transferred to equity as per </v>
          </cell>
        </row>
        <row r="89">
          <cell r="C89" t="str">
            <v>Equipment &amp; Rolling Stock</v>
          </cell>
          <cell r="P89">
            <v>0</v>
          </cell>
          <cell r="R89" t="str">
            <v> Article 430 of the OEB Accounting pratices handbook - see below</v>
          </cell>
        </row>
        <row r="90">
          <cell r="C90" t="str">
            <v>         Closing balance December 31,2001 -  Reserve for grid expansion</v>
          </cell>
          <cell r="P90">
            <v>1176227</v>
          </cell>
        </row>
        <row r="92">
          <cell r="C92" t="str">
            <v>Developement Charge transfer to equity a/c 3022-723 in 2001</v>
          </cell>
          <cell r="P92">
            <v>1204000</v>
          </cell>
        </row>
        <row r="94">
          <cell r="C94" t="str">
            <v>***  Includes 2001 expenditures which are classified as WIP $2,887,824 on balance sheet</v>
          </cell>
        </row>
      </sheetData>
      <sheetData sheetId="24">
        <row r="1">
          <cell r="A1" t="str">
            <v>CONTROL total</v>
          </cell>
        </row>
        <row r="230">
          <cell r="C230">
            <v>0</v>
          </cell>
        </row>
        <row r="244">
          <cell r="C244">
            <v>-12000435.88</v>
          </cell>
        </row>
      </sheetData>
      <sheetData sheetId="27">
        <row r="1">
          <cell r="B1" t="str">
            <v>MARKHAM HYDRO DISTRIBUTION INC.</v>
          </cell>
        </row>
        <row r="2">
          <cell r="B2" t="str">
            <v>SUPPLEMENT TO CASH POSITION STATEMENT</v>
          </cell>
        </row>
        <row r="3">
          <cell r="B3" t="str">
            <v>For Five Months to May 31, 2004</v>
          </cell>
        </row>
        <row r="6">
          <cell r="A6" t="str">
            <v>MISCELLANEOUS BREAKDOWN</v>
          </cell>
        </row>
        <row r="8">
          <cell r="A8" t="str">
            <v>PREPAID EXPENSES</v>
          </cell>
          <cell r="E8">
            <v>-179535</v>
          </cell>
        </row>
        <row r="9">
          <cell r="A9" t="str">
            <v>DEVEL'T CHARGE DEPOSIT/RECEIVABLE</v>
          </cell>
          <cell r="E9">
            <v>0</v>
          </cell>
        </row>
        <row r="10">
          <cell r="A10" t="str">
            <v>MISCELLANEOUS CREDITS/(DEBITS)</v>
          </cell>
          <cell r="E10">
            <v>0</v>
          </cell>
          <cell r="F10" t="str">
            <v>  CLEARING ACCOUNTS</v>
          </cell>
        </row>
        <row r="11">
          <cell r="A11" t="str">
            <v>VARIANCE</v>
          </cell>
          <cell r="E11">
            <v>0</v>
          </cell>
        </row>
        <row r="12">
          <cell r="A12" t="str">
            <v>MISC.CREDIT- DEFERRED REV.</v>
          </cell>
          <cell r="E12">
            <v>-15823</v>
          </cell>
          <cell r="F12" t="str">
            <v>  A/C 363-ELEMENT</v>
          </cell>
        </row>
        <row r="14">
          <cell r="E14">
            <v>-195358</v>
          </cell>
        </row>
        <row r="16">
          <cell r="A16" t="str">
            <v>ANALYSIS OF CHANGES IN DEFERRED CHARGES</v>
          </cell>
        </row>
        <row r="17">
          <cell r="A17" t="str">
            <v>&amp; OTHER NONCURRENT BALANCE SHEET ITEMS</v>
          </cell>
          <cell r="E17">
            <v>180905</v>
          </cell>
        </row>
        <row r="18">
          <cell r="A18" t="str">
            <v>DETAILS:    </v>
          </cell>
          <cell r="D18" t="str">
            <v>USOA</v>
          </cell>
        </row>
        <row r="19">
          <cell r="A19" t="str">
            <v>amortization long term debt issue expense</v>
          </cell>
          <cell r="D19">
            <v>1425</v>
          </cell>
          <cell r="E19" t="str">
            <v>a/c 1425-232</v>
          </cell>
          <cell r="F19">
            <v>13666</v>
          </cell>
          <cell r="G19" t="str">
            <v>key in</v>
          </cell>
          <cell r="H19" t="str">
            <v>put in positive #'s  See g/l 9103(offset of g/l 1425; g/l9104 for amort on debt </v>
          </cell>
        </row>
        <row r="20">
          <cell r="A20" t="str">
            <v>amortization discount on long term debt </v>
          </cell>
          <cell r="D20">
            <v>1445</v>
          </cell>
          <cell r="E20" t="str">
            <v>a/c 1445-232</v>
          </cell>
          <cell r="F20">
            <v>59413</v>
          </cell>
          <cell r="G20" t="str">
            <v>key in</v>
          </cell>
          <cell r="H20" t="str">
            <v>put in positive #'s </v>
          </cell>
        </row>
        <row r="21">
          <cell r="A21" t="str">
            <v>amortization debenture issue/disc cost</v>
          </cell>
          <cell r="D21">
            <v>1445</v>
          </cell>
          <cell r="E21" t="str">
            <v>a/c 281-232</v>
          </cell>
          <cell r="F21">
            <v>0</v>
          </cell>
          <cell r="G21" t="str">
            <v>key in</v>
          </cell>
          <cell r="H21" t="str">
            <v>put in positive #'s </v>
          </cell>
        </row>
        <row r="22">
          <cell r="A22" t="str">
            <v>amortization misc deferred charges</v>
          </cell>
          <cell r="D22">
            <v>1525</v>
          </cell>
          <cell r="E22" t="str">
            <v>a/c 291-233</v>
          </cell>
          <cell r="F22">
            <v>0</v>
          </cell>
          <cell r="G22" t="str">
            <v>key in</v>
          </cell>
          <cell r="H22" t="str">
            <v>put in positive #'s </v>
          </cell>
        </row>
        <row r="23">
          <cell r="A23" t="str">
            <v>addtnl debenture issue/disc cost</v>
          </cell>
          <cell r="D23">
            <v>1445</v>
          </cell>
          <cell r="E23" t="str">
            <v>a/c 281</v>
          </cell>
          <cell r="F23">
            <v>0</v>
          </cell>
          <cell r="G23" t="str">
            <v>key in</v>
          </cell>
          <cell r="H23" t="str">
            <v>put in positive #'s </v>
          </cell>
        </row>
        <row r="24">
          <cell r="A24" t="str">
            <v>addtnl debenture issue/disc cost</v>
          </cell>
          <cell r="D24">
            <v>1425</v>
          </cell>
          <cell r="E24" t="str">
            <v>a/c 1425-338</v>
          </cell>
          <cell r="F24">
            <v>0</v>
          </cell>
          <cell r="G24" t="str">
            <v>key in</v>
          </cell>
          <cell r="H24" t="str">
            <v>put in positive #'s </v>
          </cell>
        </row>
        <row r="25">
          <cell r="A25" t="str">
            <v>addtnl misc deferred charges</v>
          </cell>
          <cell r="D25">
            <v>1525</v>
          </cell>
          <cell r="E25" t="str">
            <v>a/c 291</v>
          </cell>
          <cell r="F25">
            <v>0</v>
          </cell>
          <cell r="G25" t="str">
            <v>key in</v>
          </cell>
          <cell r="H25" t="str">
            <v>put in positive #'s </v>
          </cell>
        </row>
        <row r="26">
          <cell r="A26" t="str">
            <v>net clearing accounts</v>
          </cell>
          <cell r="E26" t="str">
            <v>vrs.</v>
          </cell>
          <cell r="F26">
            <v>0</v>
          </cell>
          <cell r="G26" t="str">
            <v>                                                                                                                                                                                                                                                </v>
          </cell>
        </row>
        <row r="27">
          <cell r="A27" t="str">
            <v>long term investment (auto. calc. )</v>
          </cell>
          <cell r="D27">
            <v>1405</v>
          </cell>
          <cell r="E27" t="str">
            <v>a/c 293-999</v>
          </cell>
          <cell r="F27">
            <v>-73079</v>
          </cell>
          <cell r="G27" t="str">
            <v>increase in debenture/premium discount</v>
          </cell>
        </row>
        <row r="29">
          <cell r="A29" t="str">
            <v>GAIN/LOSS ON DISPOSAL OF FIXED ASSET</v>
          </cell>
        </row>
        <row r="30">
          <cell r="C30" t="str">
            <v>USOA</v>
          </cell>
          <cell r="D30" t="str">
            <v>DETAIL A/C</v>
          </cell>
        </row>
        <row r="31">
          <cell r="A31" t="str">
            <v>net book value of disposals</v>
          </cell>
          <cell r="E31" t="str">
            <v/>
          </cell>
          <cell r="F31">
            <v>0</v>
          </cell>
          <cell r="G31" t="str">
            <v>key in</v>
          </cell>
        </row>
        <row r="32">
          <cell r="A32" t="str">
            <v>proceeds on disposal</v>
          </cell>
          <cell r="C32">
            <v>4355</v>
          </cell>
          <cell r="D32" t="str">
            <v>a/c 9920,9919</v>
          </cell>
          <cell r="F32">
            <v>112233.75</v>
          </cell>
          <cell r="G32" t="str">
            <v>key in</v>
          </cell>
        </row>
        <row r="34">
          <cell r="A34" t="str">
            <v>(gain)loss on disposal</v>
          </cell>
          <cell r="F34">
            <v>-112233.75</v>
          </cell>
        </row>
        <row r="39">
          <cell r="A39" t="str">
            <v>FIXED ASSETS ADDITIONS ANALYSIS</v>
          </cell>
        </row>
        <row r="41">
          <cell r="A41" t="str">
            <v>net change per balance sheet </v>
          </cell>
          <cell r="F41">
            <v>7383624</v>
          </cell>
        </row>
        <row r="43">
          <cell r="A43" t="str">
            <v>add: net book value of disposal</v>
          </cell>
          <cell r="F43">
            <v>0</v>
          </cell>
        </row>
        <row r="44">
          <cell r="A44" t="str">
            <v>add: net book value of lease option exercised</v>
          </cell>
          <cell r="F44">
            <v>0</v>
          </cell>
          <cell r="G44" t="str">
            <v>key in</v>
          </cell>
        </row>
        <row r="45">
          <cell r="A45" t="str">
            <v>add: depreciation adjusted for following</v>
          </cell>
          <cell r="F45" t="str">
            <v> </v>
          </cell>
        </row>
        <row r="46">
          <cell r="A46" t="str">
            <v>depreciation (acc. dep net change per b/s)</v>
          </cell>
          <cell r="C46" t="str">
            <v>USOA</v>
          </cell>
          <cell r="D46" t="str">
            <v>DETAIL A/C</v>
          </cell>
          <cell r="E46">
            <v>3775787.44</v>
          </cell>
        </row>
        <row r="47">
          <cell r="A47" t="str">
            <v>less gross up on lease</v>
          </cell>
          <cell r="C47">
            <v>2105</v>
          </cell>
          <cell r="D47" t="str">
            <v>421 TO 427</v>
          </cell>
          <cell r="E47">
            <v>0</v>
          </cell>
          <cell r="G47" t="str">
            <v>key in</v>
          </cell>
        </row>
        <row r="48">
          <cell r="A48" t="str">
            <v>add lease option exercised</v>
          </cell>
          <cell r="C48">
            <v>2105</v>
          </cell>
          <cell r="D48" t="str">
            <v>462 TO 465</v>
          </cell>
          <cell r="E48">
            <v>0</v>
          </cell>
          <cell r="G48" t="str">
            <v>key in</v>
          </cell>
        </row>
        <row r="49">
          <cell r="A49" t="str">
            <v>add disposal - elem. 237/238</v>
          </cell>
          <cell r="B49">
            <v>2105</v>
          </cell>
          <cell r="C49" t="str">
            <v>403 TO 414</v>
          </cell>
          <cell r="D49">
            <v>0</v>
          </cell>
          <cell r="G49" t="str">
            <v>key in</v>
          </cell>
        </row>
        <row r="50">
          <cell r="B50">
            <v>2105</v>
          </cell>
          <cell r="C50">
            <v>416</v>
          </cell>
          <cell r="D50">
            <v>218578.41</v>
          </cell>
          <cell r="G50" t="str">
            <v>key in</v>
          </cell>
        </row>
        <row r="51">
          <cell r="B51">
            <v>2105</v>
          </cell>
          <cell r="C51" t="str">
            <v>421 TO 427</v>
          </cell>
          <cell r="D51">
            <v>29315.660000000003</v>
          </cell>
          <cell r="E51">
            <v>247894.07</v>
          </cell>
          <cell r="G51" t="str">
            <v>key in</v>
          </cell>
        </row>
        <row r="52">
          <cell r="F52">
            <v>4023681.51</v>
          </cell>
          <cell r="G52" t="str">
            <v>AGREES WITH YEAR END FIXED ASSETS SCHEDULE</v>
          </cell>
        </row>
        <row r="53">
          <cell r="A53" t="str">
            <v> </v>
          </cell>
        </row>
        <row r="58">
          <cell r="D58" t="str">
            <v>TOTAL CAPITAL ADDIT'S</v>
          </cell>
          <cell r="F58">
            <v>11407305.51</v>
          </cell>
        </row>
        <row r="59">
          <cell r="A59" t="str">
            <v>P:\finstmnt\2004\[fs-may04 .XLS]Bal_ExternalReporting</v>
          </cell>
        </row>
      </sheetData>
      <sheetData sheetId="29">
        <row r="2">
          <cell r="B2" t="str">
            <v>MARKHAM HYDRO DISTRIBUTION INC.</v>
          </cell>
        </row>
        <row r="3">
          <cell r="B3" t="str">
            <v>Cash Flow Statement</v>
          </cell>
        </row>
        <row r="4">
          <cell r="B4" t="str">
            <v>Five Months to May 31, 2004</v>
          </cell>
        </row>
        <row r="6">
          <cell r="A6" t="str">
            <v>2004 WORKSHEET</v>
          </cell>
        </row>
        <row r="7">
          <cell r="D7" t="str">
            <v>ORIGINAL </v>
          </cell>
          <cell r="F7" t="str">
            <v>ADJUSTMENTS TO </v>
          </cell>
          <cell r="H7" t="str">
            <v>ADJUSTED</v>
          </cell>
        </row>
        <row r="8">
          <cell r="B8" t="str">
            <v>BALANCE</v>
          </cell>
          <cell r="D8" t="str">
            <v>CLOSING BALANCE</v>
          </cell>
          <cell r="F8" t="str">
            <v>CLOSING BALANCE</v>
          </cell>
          <cell r="H8" t="str">
            <v>CLOSING BALANCE</v>
          </cell>
          <cell r="J8" t="str">
            <v>Y.T.D</v>
          </cell>
        </row>
        <row r="9">
          <cell r="A9" t="str">
            <v>DESCRIPTION</v>
          </cell>
          <cell r="B9" t="str">
            <v>Five Months to May 31, 2004</v>
          </cell>
          <cell r="D9" t="str">
            <v>DEC.31/03</v>
          </cell>
          <cell r="F9" t="str">
            <v>DEC.31/03</v>
          </cell>
          <cell r="H9" t="str">
            <v>DEC.31/03</v>
          </cell>
          <cell r="J9" t="str">
            <v>CASH FLOW</v>
          </cell>
        </row>
        <row r="10">
          <cell r="C10" t="str">
            <v> </v>
          </cell>
        </row>
        <row r="12">
          <cell r="A12" t="str">
            <v>CASH</v>
          </cell>
          <cell r="B12">
            <v>9273772</v>
          </cell>
          <cell r="D12">
            <v>12568727</v>
          </cell>
          <cell r="F12">
            <v>0</v>
          </cell>
          <cell r="H12">
            <v>12568727</v>
          </cell>
          <cell r="J12">
            <v>-3294955</v>
          </cell>
        </row>
        <row r="15">
          <cell r="A15" t="str">
            <v>NONCASH ITEMS</v>
          </cell>
        </row>
        <row r="17">
          <cell r="A17" t="str">
            <v>ACCOUNTS RECEIVABLE</v>
          </cell>
          <cell r="B17">
            <v>13532138</v>
          </cell>
          <cell r="D17">
            <v>15670419</v>
          </cell>
          <cell r="F17">
            <v>0</v>
          </cell>
          <cell r="H17">
            <v>15670419</v>
          </cell>
          <cell r="J17">
            <v>2138281</v>
          </cell>
        </row>
        <row r="19">
          <cell r="A19" t="str">
            <v>CURRENT CUSTOMER DEPOSITS</v>
          </cell>
          <cell r="B19">
            <v>3118210</v>
          </cell>
          <cell r="D19">
            <v>558000</v>
          </cell>
          <cell r="F19">
            <v>0</v>
          </cell>
          <cell r="H19">
            <v>558000</v>
          </cell>
          <cell r="J19">
            <v>-2560210</v>
          </cell>
        </row>
        <row r="21">
          <cell r="A21" t="str">
            <v>UNBILLED REVENUE</v>
          </cell>
          <cell r="B21">
            <v>17070784</v>
          </cell>
          <cell r="D21">
            <v>15621341</v>
          </cell>
          <cell r="F21">
            <v>0</v>
          </cell>
          <cell r="H21">
            <v>15621341</v>
          </cell>
          <cell r="J21">
            <v>-1449443</v>
          </cell>
        </row>
        <row r="23">
          <cell r="A23" t="str">
            <v>INVENTORY</v>
          </cell>
          <cell r="B23">
            <v>3341166</v>
          </cell>
          <cell r="D23">
            <v>2681947</v>
          </cell>
          <cell r="F23">
            <v>0</v>
          </cell>
          <cell r="H23">
            <v>2681947</v>
          </cell>
          <cell r="J23">
            <v>-659219</v>
          </cell>
        </row>
        <row r="24">
          <cell r="A24" t="str">
            <v>CURRENT LIABILITY</v>
          </cell>
          <cell r="B24">
            <v>29811467</v>
          </cell>
          <cell r="D24">
            <v>28140070</v>
          </cell>
          <cell r="F24">
            <v>0</v>
          </cell>
          <cell r="H24">
            <v>28140070</v>
          </cell>
          <cell r="J24">
            <v>1671397</v>
          </cell>
        </row>
        <row r="25">
          <cell r="A25" t="str">
            <v>PREPAID EXPENSES</v>
          </cell>
          <cell r="B25">
            <v>210982</v>
          </cell>
          <cell r="D25">
            <v>31447</v>
          </cell>
          <cell r="F25">
            <v>0</v>
          </cell>
          <cell r="H25">
            <v>31447</v>
          </cell>
          <cell r="J25">
            <v>-179535</v>
          </cell>
        </row>
        <row r="27">
          <cell r="A27" t="str">
            <v>ORGANIZATION COSTS</v>
          </cell>
          <cell r="B27">
            <v>579834</v>
          </cell>
          <cell r="D27">
            <v>111695</v>
          </cell>
          <cell r="F27">
            <v>0</v>
          </cell>
          <cell r="H27">
            <v>111695</v>
          </cell>
          <cell r="J27">
            <v>-468139</v>
          </cell>
        </row>
        <row r="29">
          <cell r="A29" t="str">
            <v>CAPITAL ASSETS BEFORE AMORT.</v>
          </cell>
          <cell r="B29">
            <v>259809953</v>
          </cell>
          <cell r="D29">
            <v>248650542</v>
          </cell>
          <cell r="F29">
            <v>0</v>
          </cell>
          <cell r="H29">
            <v>248650542</v>
          </cell>
          <cell r="J29">
            <v>-11159411</v>
          </cell>
        </row>
        <row r="31">
          <cell r="A31" t="str">
            <v>CONTRIBUTIONS &amp; GRANTS BEFORE AMORT.</v>
          </cell>
          <cell r="B31">
            <v>-29983929</v>
          </cell>
          <cell r="D31">
            <v>-27872186</v>
          </cell>
          <cell r="F31">
            <v>0</v>
          </cell>
          <cell r="H31">
            <v>-27872186</v>
          </cell>
          <cell r="J31">
            <v>2111743</v>
          </cell>
        </row>
        <row r="33">
          <cell r="A33" t="str">
            <v>debenture/premium discount</v>
          </cell>
          <cell r="B33">
            <v>1439106</v>
          </cell>
          <cell r="D33">
            <v>1512184</v>
          </cell>
          <cell r="H33">
            <v>1512184</v>
          </cell>
          <cell r="J33">
            <v>73078</v>
          </cell>
        </row>
        <row r="35">
          <cell r="A35" t="str">
            <v>DEVEL'T CHARGE DEPOSIT/RECEIVABLE</v>
          </cell>
          <cell r="B35">
            <v>0</v>
          </cell>
          <cell r="D35">
            <v>0</v>
          </cell>
          <cell r="F35">
            <v>0</v>
          </cell>
          <cell r="H35">
            <v>0</v>
          </cell>
          <cell r="J35">
            <v>0</v>
          </cell>
        </row>
        <row r="37">
          <cell r="A37" t="str">
            <v>REGULATORY ASSETS </v>
          </cell>
          <cell r="B37">
            <v>-2317996</v>
          </cell>
          <cell r="D37">
            <v>-2061840</v>
          </cell>
          <cell r="F37">
            <v>0</v>
          </cell>
          <cell r="H37">
            <v>-2061840</v>
          </cell>
          <cell r="J37">
            <v>256156</v>
          </cell>
        </row>
        <row r="38">
          <cell r="A38" t="str">
            <v>DEFERRED PAYMENTS IN LIEU OF TAXES</v>
          </cell>
          <cell r="B38">
            <v>279025</v>
          </cell>
          <cell r="D38">
            <v>1054142</v>
          </cell>
          <cell r="F38">
            <v>0</v>
          </cell>
          <cell r="H38">
            <v>1054142</v>
          </cell>
          <cell r="J38">
            <v>775117</v>
          </cell>
        </row>
        <row r="39">
          <cell r="A39" t="str">
            <v>PRE-MARKET OPENING ENERGY VARIANCE</v>
          </cell>
          <cell r="B39">
            <v>3433173</v>
          </cell>
          <cell r="D39">
            <v>3433173</v>
          </cell>
          <cell r="F39">
            <v>0</v>
          </cell>
          <cell r="H39">
            <v>3433173</v>
          </cell>
          <cell r="J39">
            <v>0</v>
          </cell>
        </row>
        <row r="40">
          <cell r="A40" t="str">
            <v>RETAIL SETTLEMENT VARIANCE</v>
          </cell>
          <cell r="B40">
            <v>-4026554</v>
          </cell>
          <cell r="D40">
            <v>-1493811</v>
          </cell>
          <cell r="F40">
            <v>0</v>
          </cell>
          <cell r="H40">
            <v>-1493811</v>
          </cell>
          <cell r="J40">
            <v>2532743</v>
          </cell>
        </row>
        <row r="42">
          <cell r="A42" t="str">
            <v>CUSTOMER DEPOSITS LONG-TERM</v>
          </cell>
          <cell r="B42">
            <v>946939</v>
          </cell>
          <cell r="D42">
            <v>3403178</v>
          </cell>
          <cell r="F42">
            <v>0</v>
          </cell>
          <cell r="H42">
            <v>3403178</v>
          </cell>
          <cell r="J42">
            <v>-2456239</v>
          </cell>
        </row>
        <row r="44">
          <cell r="A44" t="str">
            <v>DEVELOPMENT CHARGE FUND</v>
          </cell>
          <cell r="B44">
            <v>0</v>
          </cell>
          <cell r="D44">
            <v>0</v>
          </cell>
          <cell r="F44">
            <v>0</v>
          </cell>
          <cell r="H44">
            <v>0</v>
          </cell>
          <cell r="J44">
            <v>0</v>
          </cell>
        </row>
        <row r="46">
          <cell r="A46" t="str">
            <v>UPSTREAM</v>
          </cell>
          <cell r="B46">
            <v>0</v>
          </cell>
          <cell r="D46">
            <v>0</v>
          </cell>
          <cell r="F46">
            <v>0</v>
          </cell>
          <cell r="H46">
            <v>0</v>
          </cell>
          <cell r="J46">
            <v>0</v>
          </cell>
        </row>
        <row r="48">
          <cell r="A48" t="str">
            <v>LONG TERM LIAB.</v>
          </cell>
          <cell r="B48">
            <v>97866201</v>
          </cell>
          <cell r="D48">
            <v>97866201</v>
          </cell>
          <cell r="F48">
            <v>0</v>
          </cell>
          <cell r="H48">
            <v>97866201</v>
          </cell>
          <cell r="J48">
            <v>0</v>
          </cell>
        </row>
        <row r="49">
          <cell r="A49" t="str">
            <v>TOTAL DEFERRED CHARGES</v>
          </cell>
          <cell r="B49">
            <v>36000</v>
          </cell>
          <cell r="D49">
            <v>216905</v>
          </cell>
          <cell r="F49">
            <v>0</v>
          </cell>
          <cell r="H49">
            <v>216905</v>
          </cell>
          <cell r="J49">
            <v>180905</v>
          </cell>
        </row>
        <row r="50">
          <cell r="A50" t="str">
            <v>MISC. CREDITS(Debentures/leases)</v>
          </cell>
          <cell r="B50">
            <v>-776</v>
          </cell>
          <cell r="D50">
            <v>15047</v>
          </cell>
          <cell r="F50">
            <v>0</v>
          </cell>
          <cell r="H50">
            <v>15047</v>
          </cell>
          <cell r="J50">
            <v>-15823</v>
          </cell>
        </row>
        <row r="51">
          <cell r="A51" t="str">
            <v>MINIRUPTER DEPOSITS</v>
          </cell>
          <cell r="B51">
            <v>0</v>
          </cell>
          <cell r="D51">
            <v>0</v>
          </cell>
          <cell r="F51">
            <v>0</v>
          </cell>
          <cell r="H51">
            <v>0</v>
          </cell>
          <cell r="J51">
            <v>0</v>
          </cell>
        </row>
        <row r="52">
          <cell r="A52" t="str">
            <v>FIBRE OPTIC BUSINESS  STUDY</v>
          </cell>
          <cell r="B52">
            <v>0</v>
          </cell>
          <cell r="D52">
            <v>0</v>
          </cell>
          <cell r="F52">
            <v>0</v>
          </cell>
          <cell r="H52">
            <v>0</v>
          </cell>
          <cell r="J52">
            <v>0</v>
          </cell>
        </row>
        <row r="53">
          <cell r="A53" t="str">
            <v>CONTRIBUTIONS WORK IN PROCESS</v>
          </cell>
          <cell r="B53">
            <v>-1453039</v>
          </cell>
          <cell r="D53">
            <v>-1103711</v>
          </cell>
          <cell r="F53">
            <v>0</v>
          </cell>
          <cell r="H53">
            <v>-1103711</v>
          </cell>
          <cell r="J53">
            <v>349328</v>
          </cell>
        </row>
        <row r="55">
          <cell r="A55" t="str">
            <v>EMPLOYEE BENEFITS</v>
          </cell>
          <cell r="B55">
            <v>500142</v>
          </cell>
          <cell r="D55">
            <v>435539</v>
          </cell>
          <cell r="F55">
            <v>0</v>
          </cell>
          <cell r="H55">
            <v>435539</v>
          </cell>
          <cell r="J55">
            <v>64603</v>
          </cell>
        </row>
        <row r="57">
          <cell r="A57" t="str">
            <v>INVESTMENTS-SHORT TERM</v>
          </cell>
          <cell r="B57">
            <v>8543916</v>
          </cell>
          <cell r="D57">
            <v>15820637</v>
          </cell>
          <cell r="F57">
            <v>0</v>
          </cell>
          <cell r="H57">
            <v>15820637</v>
          </cell>
          <cell r="J57">
            <v>7276721</v>
          </cell>
        </row>
        <row r="59">
          <cell r="A59" t="str">
            <v>AMORTIZATION OF CONT. CAP.</v>
          </cell>
          <cell r="B59">
            <v>-2599223</v>
          </cell>
          <cell r="D59">
            <v>-2116889</v>
          </cell>
          <cell r="F59">
            <v>0</v>
          </cell>
          <cell r="H59">
            <v>-2116889</v>
          </cell>
          <cell r="J59">
            <v>-482334</v>
          </cell>
        </row>
        <row r="61">
          <cell r="A61" t="str">
            <v>OTHER SPECIAL FUNDS L.T.CUSTOMER DEP.</v>
          </cell>
          <cell r="B61">
            <v>946939</v>
          </cell>
          <cell r="D61">
            <v>3403178</v>
          </cell>
          <cell r="F61">
            <v>0</v>
          </cell>
          <cell r="H61">
            <v>3403178</v>
          </cell>
          <cell r="J61">
            <v>2456239</v>
          </cell>
        </row>
        <row r="62">
          <cell r="J62" t="str">
            <v> </v>
          </cell>
        </row>
        <row r="63">
          <cell r="A63" t="str">
            <v>INVESTMENT IN RICHMOND HILL HYDRO</v>
          </cell>
          <cell r="B63">
            <v>37179236</v>
          </cell>
          <cell r="D63">
            <v>37920202</v>
          </cell>
          <cell r="F63">
            <v>0</v>
          </cell>
          <cell r="H63">
            <v>37920202</v>
          </cell>
          <cell r="J63">
            <v>740966</v>
          </cell>
        </row>
        <row r="64">
          <cell r="A64" t="str">
            <v>DIVIDEND PAID TO MARKHAM ENERGY</v>
          </cell>
          <cell r="B64">
            <v>-10000000</v>
          </cell>
          <cell r="D64">
            <v>0</v>
          </cell>
          <cell r="F64">
            <v>0</v>
          </cell>
          <cell r="H64">
            <v>0</v>
          </cell>
          <cell r="J64">
            <v>-10000000</v>
          </cell>
        </row>
        <row r="65">
          <cell r="A65" t="str">
            <v>DC TRANSFER TO EQUITY </v>
          </cell>
          <cell r="B65">
            <v>3010564</v>
          </cell>
          <cell r="D65">
            <v>3010564</v>
          </cell>
          <cell r="F65">
            <v>0</v>
          </cell>
          <cell r="H65">
            <v>3010564</v>
          </cell>
          <cell r="J65">
            <v>0</v>
          </cell>
        </row>
        <row r="67">
          <cell r="A67" t="str">
            <v>CURRENT YR. SURPLUS</v>
          </cell>
          <cell r="B67">
            <v>1732334</v>
          </cell>
          <cell r="F67">
            <v>0</v>
          </cell>
          <cell r="H67">
            <v>0</v>
          </cell>
          <cell r="J67">
            <v>1732334</v>
          </cell>
        </row>
        <row r="69">
          <cell r="A69" t="str">
            <v>ACC.AMORTIZATION</v>
          </cell>
          <cell r="B69">
            <v>123706251</v>
          </cell>
          <cell r="D69">
            <v>119930464</v>
          </cell>
          <cell r="F69">
            <v>0</v>
          </cell>
          <cell r="H69">
            <v>119930464</v>
          </cell>
          <cell r="J69">
            <v>3775787</v>
          </cell>
        </row>
        <row r="71">
          <cell r="A71" t="str">
            <v>COMMON SHARES</v>
          </cell>
          <cell r="B71">
            <v>55526892</v>
          </cell>
          <cell r="D71">
            <v>55526892</v>
          </cell>
          <cell r="F71">
            <v>0</v>
          </cell>
          <cell r="H71">
            <v>55526892</v>
          </cell>
          <cell r="J71">
            <v>0</v>
          </cell>
        </row>
        <row r="73">
          <cell r="A73" t="str">
            <v>TOTAL NONCASH ITEMS</v>
          </cell>
          <cell r="B73">
            <v>612239735</v>
          </cell>
          <cell r="D73">
            <v>620365330</v>
          </cell>
          <cell r="F73">
            <v>0</v>
          </cell>
          <cell r="H73">
            <v>620365330</v>
          </cell>
          <cell r="J73">
            <v>-3294955</v>
          </cell>
        </row>
        <row r="77">
          <cell r="A77" t="str">
            <v>P:\finstmnt\2004\[fs-may04 .XLS]Bal_ExternalReporting</v>
          </cell>
          <cell r="D77" t="str">
            <v>VARIANCE</v>
          </cell>
          <cell r="J77">
            <v>0</v>
          </cell>
        </row>
      </sheetData>
      <sheetData sheetId="30">
        <row r="1">
          <cell r="B1" t="str">
            <v>MARKHAM HYDRO DISTRIBUTION INC.</v>
          </cell>
          <cell r="G1" t="str">
            <v>SCHEDULE 4</v>
          </cell>
        </row>
        <row r="2">
          <cell r="B2" t="str">
            <v>STATEMENT OF CASH FLOWS</v>
          </cell>
        </row>
        <row r="3">
          <cell r="B3" t="str">
            <v>Five Months to May 31, 2004</v>
          </cell>
        </row>
        <row r="4">
          <cell r="F4">
            <v>2004</v>
          </cell>
          <cell r="H4">
            <v>2003</v>
          </cell>
        </row>
        <row r="5">
          <cell r="B5" t="str">
            <v>NET INFLOW(OUTFLOW) OF CASH RELATED </v>
          </cell>
        </row>
        <row r="6">
          <cell r="B6" t="str">
            <v>    TO THE FOLLOWING ACTIVITIES</v>
          </cell>
        </row>
        <row r="8">
          <cell r="B8" t="str">
            <v>Net Earnings before extraordinary item</v>
          </cell>
          <cell r="F8">
            <v>1732334</v>
          </cell>
          <cell r="H8">
            <v>8886634</v>
          </cell>
        </row>
        <row r="9">
          <cell r="B9" t="str">
            <v>Items not affecting cash</v>
          </cell>
        </row>
        <row r="10">
          <cell r="B10" t="str">
            <v>     Depreciation</v>
          </cell>
          <cell r="F10">
            <v>4023681.51</v>
          </cell>
          <cell r="H10">
            <v>9004882.18</v>
          </cell>
        </row>
        <row r="11">
          <cell r="B11" t="str">
            <v>     Amortization of Bond Discount &amp; Issue Cost</v>
          </cell>
          <cell r="F11">
            <v>73079</v>
          </cell>
          <cell r="H11">
            <v>175388.36</v>
          </cell>
        </row>
        <row r="12">
          <cell r="B12" t="str">
            <v>     Amortization of contributed capital   </v>
          </cell>
          <cell r="F12">
            <v>-482334</v>
          </cell>
          <cell r="H12">
            <v>-973873</v>
          </cell>
        </row>
        <row r="13">
          <cell r="B13" t="str">
            <v>      Employee Future Benefits</v>
          </cell>
          <cell r="F13">
            <v>64603</v>
          </cell>
          <cell r="H13">
            <v>-8362</v>
          </cell>
        </row>
        <row r="14">
          <cell r="B14" t="str">
            <v>    (Gain) loss on disposal of capital &amp; intangible assets</v>
          </cell>
          <cell r="F14">
            <v>-112233.75</v>
          </cell>
          <cell r="H14">
            <v>-8828</v>
          </cell>
        </row>
        <row r="15">
          <cell r="B15" t="str">
            <v>     Equity in Earnings of Richmond Hill Hydro</v>
          </cell>
          <cell r="F15">
            <v>-781610.5</v>
          </cell>
          <cell r="H15">
            <v>-2671702</v>
          </cell>
        </row>
        <row r="16">
          <cell r="F16">
            <v>4517519.26</v>
          </cell>
          <cell r="H16">
            <v>14404139.54</v>
          </cell>
        </row>
        <row r="18">
          <cell r="B18" t="str">
            <v>Change in non-cash operating working capital</v>
          </cell>
        </row>
        <row r="19">
          <cell r="B19" t="str">
            <v>       Accounts Receivable</v>
          </cell>
          <cell r="F19">
            <v>2138281</v>
          </cell>
          <cell r="H19">
            <v>4451796</v>
          </cell>
        </row>
        <row r="20">
          <cell r="B20" t="str">
            <v>       Unbilled Revenue</v>
          </cell>
          <cell r="F20">
            <v>-1449443</v>
          </cell>
          <cell r="H20">
            <v>-1383672</v>
          </cell>
        </row>
        <row r="21">
          <cell r="B21" t="str">
            <v>       Inventory</v>
          </cell>
          <cell r="F21">
            <v>-659219</v>
          </cell>
          <cell r="H21">
            <v>-36297</v>
          </cell>
        </row>
        <row r="22">
          <cell r="B22" t="str">
            <v>       Current Liabilities</v>
          </cell>
          <cell r="F22">
            <v>1671396.5</v>
          </cell>
          <cell r="H22">
            <v>678101</v>
          </cell>
        </row>
        <row r="23">
          <cell r="B23" t="str">
            <v>       Prepaid Expenses</v>
          </cell>
          <cell r="F23">
            <v>-179535</v>
          </cell>
          <cell r="H23">
            <v>35778</v>
          </cell>
        </row>
        <row r="24">
          <cell r="B24" t="str">
            <v>Total non-cash operating working capital</v>
          </cell>
          <cell r="F24">
            <v>1521480.5</v>
          </cell>
          <cell r="H24">
            <v>3745706</v>
          </cell>
        </row>
        <row r="25">
          <cell r="B25" t="str">
            <v>Cash Flow from Operating Activities</v>
          </cell>
          <cell r="F25">
            <v>6038999.76</v>
          </cell>
          <cell r="H25">
            <v>18149845.54</v>
          </cell>
        </row>
        <row r="27">
          <cell r="B27" t="str">
            <v>Increase(decrease) in long term customer deposit</v>
          </cell>
          <cell r="F27">
            <v>-2456239</v>
          </cell>
          <cell r="H27">
            <v>158650</v>
          </cell>
        </row>
        <row r="28">
          <cell r="B28" t="str">
            <v>Increase(decrease) in development charge fund</v>
          </cell>
          <cell r="F28">
            <v>0</v>
          </cell>
          <cell r="H28">
            <v>0</v>
          </cell>
        </row>
        <row r="29">
          <cell r="B29" t="str">
            <v>Increase(decrease) in Upstream charge fund</v>
          </cell>
          <cell r="F29">
            <v>0</v>
          </cell>
          <cell r="H29">
            <v>-1526225</v>
          </cell>
        </row>
        <row r="30">
          <cell r="B30" t="str">
            <v>Reduction of long-term debt Richmond Hill Hydro</v>
          </cell>
          <cell r="F30">
            <v>0</v>
          </cell>
          <cell r="H30">
            <v>0</v>
          </cell>
        </row>
        <row r="31">
          <cell r="B31" t="str">
            <v>Increase in bond financing (Edfin)</v>
          </cell>
          <cell r="F31">
            <v>0</v>
          </cell>
          <cell r="H31">
            <v>0</v>
          </cell>
        </row>
        <row r="32">
          <cell r="B32" t="str">
            <v>Reduction of long-term debt debentures</v>
          </cell>
          <cell r="F32">
            <v>0</v>
          </cell>
          <cell r="H32">
            <v>0</v>
          </cell>
        </row>
        <row r="33">
          <cell r="B33" t="str">
            <v>Increase in bond premium/discount/issue cost</v>
          </cell>
          <cell r="F33">
            <v>-1</v>
          </cell>
          <cell r="H33">
            <v>0</v>
          </cell>
        </row>
        <row r="34">
          <cell r="B34" t="str">
            <v>Increase in Miscellaneous Deferred Debits</v>
          </cell>
          <cell r="F34">
            <v>180905</v>
          </cell>
          <cell r="H34">
            <v>-180905</v>
          </cell>
        </row>
        <row r="35">
          <cell r="B35" t="str">
            <v>Proceeds on sale of capital &amp; intangible assets</v>
          </cell>
          <cell r="F35">
            <v>112233.75</v>
          </cell>
          <cell r="H35">
            <v>8828</v>
          </cell>
        </row>
        <row r="36">
          <cell r="B36" t="str">
            <v>(Increase)decrease in Regulatory Assets</v>
          </cell>
          <cell r="F36">
            <v>3564016</v>
          </cell>
          <cell r="H36">
            <v>2745190</v>
          </cell>
        </row>
        <row r="37">
          <cell r="B37" t="str">
            <v>Increase(decrease) in net Capital contributions </v>
          </cell>
          <cell r="F37">
            <v>2461071</v>
          </cell>
          <cell r="H37">
            <v>6538126</v>
          </cell>
        </row>
        <row r="38">
          <cell r="B38" t="str">
            <v>Increase in Miscellaneous credits</v>
          </cell>
          <cell r="F38">
            <v>-15823</v>
          </cell>
          <cell r="H38">
            <v>15047</v>
          </cell>
        </row>
        <row r="39">
          <cell r="B39" t="str">
            <v>Increase(decrease) in Fibre Optic Business Study</v>
          </cell>
          <cell r="F39">
            <v>0</v>
          </cell>
          <cell r="H39">
            <v>0</v>
          </cell>
        </row>
        <row r="40">
          <cell r="B40" t="str">
            <v>Cash Flow from (used in) financing activities</v>
          </cell>
          <cell r="F40">
            <v>3846162.75</v>
          </cell>
          <cell r="H40">
            <v>7758711</v>
          </cell>
        </row>
        <row r="42">
          <cell r="B42" t="str">
            <v>Additions to capital assets</v>
          </cell>
          <cell r="F42">
            <v>-11407305.51</v>
          </cell>
          <cell r="H42">
            <v>-15833011</v>
          </cell>
        </row>
        <row r="43">
          <cell r="B43" t="str">
            <v>(Increase)decrease in Organization Costs</v>
          </cell>
          <cell r="F43">
            <v>-468139</v>
          </cell>
          <cell r="H43">
            <v>44678</v>
          </cell>
        </row>
        <row r="44">
          <cell r="B44" t="str">
            <v>Dividends paid to Markham Energy</v>
          </cell>
          <cell r="F44">
            <v>-10000000</v>
          </cell>
          <cell r="H44">
            <v>0</v>
          </cell>
        </row>
        <row r="45">
          <cell r="B45" t="str">
            <v>Investment in RichmondHill Hydro </v>
          </cell>
          <cell r="F45">
            <v>0</v>
          </cell>
          <cell r="H45">
            <v>0</v>
          </cell>
        </row>
        <row r="46">
          <cell r="B46" t="str">
            <v>Return of Capital from Richmond Hill Hydro</v>
          </cell>
          <cell r="F46">
            <v>0</v>
          </cell>
          <cell r="H46">
            <v>0</v>
          </cell>
        </row>
        <row r="47">
          <cell r="B47" t="str">
            <v>Dividends received from Richmond Hill Hydro</v>
          </cell>
          <cell r="F47">
            <v>1522577</v>
          </cell>
          <cell r="H47">
            <v>4724761</v>
          </cell>
        </row>
        <row r="48">
          <cell r="B48" t="str">
            <v>Cost of Richmond Hill Hydro acquisition</v>
          </cell>
          <cell r="F48">
            <v>0</v>
          </cell>
          <cell r="H48">
            <v>0</v>
          </cell>
        </row>
        <row r="49">
          <cell r="B49" t="str">
            <v>Cash Flow used in (from) Investing Activities</v>
          </cell>
          <cell r="F49">
            <v>-20352867.509999998</v>
          </cell>
          <cell r="H49">
            <v>-11063572</v>
          </cell>
        </row>
        <row r="51">
          <cell r="F51">
            <v>-10467704.999999998</v>
          </cell>
          <cell r="H51">
            <v>14844984.54</v>
          </cell>
        </row>
        <row r="53">
          <cell r="F53">
            <v>32350542</v>
          </cell>
          <cell r="H53">
            <v>17505557</v>
          </cell>
        </row>
        <row r="55">
          <cell r="F55">
            <v>21882837</v>
          </cell>
          <cell r="H55">
            <v>32350541.54</v>
          </cell>
        </row>
        <row r="56">
          <cell r="B56" t="str">
            <v>REPRESENTED BY</v>
          </cell>
        </row>
        <row r="57">
          <cell r="B57" t="str">
            <v>Cash</v>
          </cell>
          <cell r="F57">
            <v>9273772</v>
          </cell>
          <cell r="H57">
            <v>12568727</v>
          </cell>
        </row>
        <row r="58">
          <cell r="B58" t="str">
            <v>Short-term investments</v>
          </cell>
          <cell r="F58">
            <v>8543916</v>
          </cell>
          <cell r="H58">
            <v>15820637</v>
          </cell>
        </row>
        <row r="59">
          <cell r="B59" t="str">
            <v>Restricted Cash- Development Charge Fund</v>
          </cell>
          <cell r="F59">
            <v>0</v>
          </cell>
          <cell r="H59">
            <v>0</v>
          </cell>
        </row>
        <row r="60">
          <cell r="B60" t="str">
            <v>Current Customer Deposits</v>
          </cell>
          <cell r="F60">
            <v>3118210</v>
          </cell>
          <cell r="H60">
            <v>558000</v>
          </cell>
        </row>
        <row r="61">
          <cell r="B61" t="str">
            <v>Other Special Funds Long Term Customer Deposits</v>
          </cell>
          <cell r="F61">
            <v>946939</v>
          </cell>
          <cell r="H61">
            <v>3403178</v>
          </cell>
        </row>
        <row r="62">
          <cell r="F62">
            <v>21882837</v>
          </cell>
          <cell r="H62">
            <v>32350542</v>
          </cell>
        </row>
        <row r="63">
          <cell r="B63" t="str">
            <v>P:\finstmnt\2004\[fs-may04 .XLS]Bal_ExternalReporting</v>
          </cell>
        </row>
      </sheetData>
      <sheetData sheetId="31">
        <row r="1">
          <cell r="I1" t="str">
            <v>DEC31/03</v>
          </cell>
        </row>
        <row r="2">
          <cell r="A2">
            <v>1</v>
          </cell>
          <cell r="B2" t="str">
            <v>MONTH#</v>
          </cell>
          <cell r="E2">
            <v>1</v>
          </cell>
          <cell r="F2">
            <v>2</v>
          </cell>
          <cell r="G2">
            <v>3</v>
          </cell>
          <cell r="H2">
            <v>4</v>
          </cell>
          <cell r="I2">
            <v>5</v>
          </cell>
          <cell r="J2">
            <v>6</v>
          </cell>
          <cell r="K2">
            <v>7</v>
          </cell>
          <cell r="L2">
            <v>8</v>
          </cell>
          <cell r="M2">
            <v>9</v>
          </cell>
          <cell r="N2">
            <v>10</v>
          </cell>
          <cell r="O2">
            <v>11</v>
          </cell>
          <cell r="P2">
            <v>12</v>
          </cell>
        </row>
        <row r="3">
          <cell r="A3">
            <v>2</v>
          </cell>
          <cell r="B3" t="str">
            <v>CASH AND BANK</v>
          </cell>
          <cell r="G3">
            <v>11247068</v>
          </cell>
          <cell r="I3">
            <v>12568727</v>
          </cell>
          <cell r="J3">
            <v>0</v>
          </cell>
          <cell r="M3">
            <v>0</v>
          </cell>
          <cell r="P3">
            <v>0</v>
          </cell>
        </row>
        <row r="4">
          <cell r="A4">
            <v>3</v>
          </cell>
          <cell r="B4" t="str">
            <v>INVESTMENTS-SHORT TERM</v>
          </cell>
          <cell r="G4">
            <v>4999093</v>
          </cell>
          <cell r="I4">
            <v>15820637</v>
          </cell>
          <cell r="J4">
            <v>0</v>
          </cell>
          <cell r="M4">
            <v>0</v>
          </cell>
          <cell r="P4">
            <v>0</v>
          </cell>
        </row>
        <row r="5">
          <cell r="A5">
            <v>4</v>
          </cell>
          <cell r="B5" t="str">
            <v>CURRENT CUSTOMER DEPOSITS</v>
          </cell>
          <cell r="G5">
            <v>590000</v>
          </cell>
          <cell r="I5">
            <v>558000</v>
          </cell>
          <cell r="J5">
            <v>0</v>
          </cell>
          <cell r="M5">
            <v>0</v>
          </cell>
          <cell r="P5">
            <v>0</v>
          </cell>
        </row>
        <row r="6">
          <cell r="A6">
            <v>5</v>
          </cell>
          <cell r="B6" t="str">
            <v>NET ACCOUNTS RECEIVABLE</v>
          </cell>
          <cell r="G6">
            <v>23128277</v>
          </cell>
          <cell r="H6">
            <v>0</v>
          </cell>
          <cell r="I6">
            <v>15432268</v>
          </cell>
          <cell r="J6">
            <v>0</v>
          </cell>
          <cell r="M6">
            <v>0</v>
          </cell>
          <cell r="N6">
            <v>0</v>
          </cell>
          <cell r="O6">
            <v>0</v>
          </cell>
          <cell r="P6">
            <v>0</v>
          </cell>
        </row>
        <row r="7">
          <cell r="A7">
            <v>6</v>
          </cell>
          <cell r="B7" t="str">
            <v>UNBILLED REVENUE</v>
          </cell>
          <cell r="G7">
            <v>9976623</v>
          </cell>
          <cell r="I7">
            <v>15621341</v>
          </cell>
          <cell r="J7">
            <v>0</v>
          </cell>
          <cell r="M7">
            <v>0</v>
          </cell>
          <cell r="P7">
            <v>0</v>
          </cell>
        </row>
        <row r="8">
          <cell r="A8">
            <v>7</v>
          </cell>
          <cell r="B8" t="str">
            <v>INVENTORY</v>
          </cell>
          <cell r="G8">
            <v>2809980</v>
          </cell>
          <cell r="I8">
            <v>2681947</v>
          </cell>
          <cell r="J8">
            <v>0</v>
          </cell>
          <cell r="M8">
            <v>0</v>
          </cell>
          <cell r="P8">
            <v>0</v>
          </cell>
        </row>
        <row r="9">
          <cell r="A9">
            <v>8</v>
          </cell>
          <cell r="B9" t="str">
            <v>PREPAID EXPENSES</v>
          </cell>
          <cell r="G9">
            <v>290776</v>
          </cell>
          <cell r="I9">
            <v>31447</v>
          </cell>
          <cell r="J9">
            <v>0</v>
          </cell>
          <cell r="M9">
            <v>0</v>
          </cell>
          <cell r="P9">
            <v>0</v>
          </cell>
        </row>
        <row r="10">
          <cell r="A10">
            <v>9</v>
          </cell>
          <cell r="B10" t="str">
            <v>LAND &amp; BUILDING</v>
          </cell>
          <cell r="G10">
            <v>2747507</v>
          </cell>
          <cell r="I10">
            <v>2863834</v>
          </cell>
          <cell r="J10">
            <v>0</v>
          </cell>
          <cell r="M10">
            <v>0</v>
          </cell>
          <cell r="P10">
            <v>0</v>
          </cell>
        </row>
        <row r="11">
          <cell r="A11">
            <v>10</v>
          </cell>
          <cell r="B11" t="str">
            <v>TRANSMISSION &amp; DISTRIBUTION SYSTEM</v>
          </cell>
          <cell r="G11">
            <v>219605916</v>
          </cell>
          <cell r="I11">
            <v>227176422</v>
          </cell>
          <cell r="J11">
            <v>0</v>
          </cell>
          <cell r="M11">
            <v>0</v>
          </cell>
          <cell r="P11">
            <v>0</v>
          </cell>
        </row>
        <row r="12">
          <cell r="A12">
            <v>11</v>
          </cell>
          <cell r="B12" t="str">
            <v>CONSTRUCTION IN PROCESS</v>
          </cell>
          <cell r="G12">
            <v>11781</v>
          </cell>
          <cell r="I12">
            <v>6159400</v>
          </cell>
          <cell r="J12">
            <v>0</v>
          </cell>
          <cell r="M12">
            <v>0</v>
          </cell>
          <cell r="P12">
            <v>0</v>
          </cell>
        </row>
        <row r="13">
          <cell r="A13">
            <v>12</v>
          </cell>
          <cell r="B13" t="str">
            <v>OTHER</v>
          </cell>
          <cell r="G13">
            <v>12074662</v>
          </cell>
          <cell r="I13">
            <v>12450886</v>
          </cell>
          <cell r="J13">
            <v>0</v>
          </cell>
          <cell r="M13">
            <v>0</v>
          </cell>
          <cell r="P13">
            <v>0</v>
          </cell>
        </row>
        <row r="14">
          <cell r="A14">
            <v>13</v>
          </cell>
          <cell r="B14" t="str">
            <v>LESS: ACCUMULATED DEPRECIATION</v>
          </cell>
          <cell r="G14">
            <v>-113093615</v>
          </cell>
          <cell r="I14">
            <v>-119930464</v>
          </cell>
          <cell r="J14">
            <v>0</v>
          </cell>
          <cell r="M14">
            <v>0</v>
          </cell>
          <cell r="P14">
            <v>0</v>
          </cell>
        </row>
        <row r="15">
          <cell r="A15">
            <v>14</v>
          </cell>
          <cell r="B15" t="str">
            <v>CONTRIBUTIONS &amp; GRANTS B4 AMORT</v>
          </cell>
          <cell r="G15">
            <v>-22488592</v>
          </cell>
          <cell r="I15">
            <v>-27872186</v>
          </cell>
          <cell r="J15">
            <v>0</v>
          </cell>
          <cell r="M15">
            <v>0</v>
          </cell>
          <cell r="P15">
            <v>0</v>
          </cell>
        </row>
        <row r="16">
          <cell r="A16">
            <v>15</v>
          </cell>
          <cell r="B16" t="str">
            <v>CIP CONTRIBUTIONS/GRANTS</v>
          </cell>
          <cell r="G16">
            <v>0</v>
          </cell>
          <cell r="J16">
            <v>0</v>
          </cell>
          <cell r="M16">
            <v>0</v>
          </cell>
          <cell r="P16">
            <v>0</v>
          </cell>
        </row>
        <row r="17">
          <cell r="A17">
            <v>16</v>
          </cell>
          <cell r="B17" t="str">
            <v>ACCUM.DEP CONTRIB.&amp; GRANTS</v>
          </cell>
          <cell r="G17">
            <v>1243338</v>
          </cell>
          <cell r="I17">
            <v>2116889</v>
          </cell>
          <cell r="J17">
            <v>0</v>
          </cell>
          <cell r="M17">
            <v>0</v>
          </cell>
          <cell r="P17">
            <v>0</v>
          </cell>
        </row>
        <row r="18">
          <cell r="A18">
            <v>17</v>
          </cell>
          <cell r="B18" t="str">
            <v>DEVELOP'T CHARGE DEP./RECEIVABLE</v>
          </cell>
          <cell r="G18">
            <v>0</v>
          </cell>
          <cell r="I18">
            <v>0</v>
          </cell>
          <cell r="J18">
            <v>0</v>
          </cell>
          <cell r="M18">
            <v>0</v>
          </cell>
          <cell r="P18">
            <v>0</v>
          </cell>
        </row>
        <row r="19">
          <cell r="A19">
            <v>18</v>
          </cell>
          <cell r="B19" t="str">
            <v>DEBENTURE EXPENSES</v>
          </cell>
          <cell r="G19">
            <v>1643725</v>
          </cell>
          <cell r="J19">
            <v>0</v>
          </cell>
          <cell r="M19">
            <v>0</v>
          </cell>
          <cell r="P19">
            <v>0</v>
          </cell>
        </row>
        <row r="20">
          <cell r="A20">
            <v>19</v>
          </cell>
          <cell r="B20" t="str">
            <v>MISCELLANEOUS DEFERRED EXPENSE</v>
          </cell>
          <cell r="G20">
            <v>36000</v>
          </cell>
          <cell r="I20">
            <v>216905</v>
          </cell>
          <cell r="J20">
            <v>0</v>
          </cell>
          <cell r="M20">
            <v>0</v>
          </cell>
          <cell r="P20">
            <v>0</v>
          </cell>
        </row>
        <row r="21">
          <cell r="A21">
            <v>20</v>
          </cell>
          <cell r="B21" t="str">
            <v>OTHER SPECIAL FUNDS LONG TERM CUSTOMER DEPOSITS</v>
          </cell>
          <cell r="G21">
            <v>3235845</v>
          </cell>
          <cell r="I21">
            <v>3403178</v>
          </cell>
          <cell r="J21">
            <v>0</v>
          </cell>
          <cell r="M21">
            <v>0</v>
          </cell>
          <cell r="P21">
            <v>0</v>
          </cell>
        </row>
        <row r="22">
          <cell r="A22">
            <v>21</v>
          </cell>
          <cell r="B22" t="str">
            <v>QUALIFYING TRANSITION COSTS</v>
          </cell>
          <cell r="G22">
            <v>0</v>
          </cell>
          <cell r="J22">
            <v>0</v>
          </cell>
        </row>
        <row r="23">
          <cell r="A23">
            <v>22</v>
          </cell>
          <cell r="B23" t="str">
            <v>INTANGIBLES</v>
          </cell>
          <cell r="G23">
            <v>156373</v>
          </cell>
          <cell r="I23">
            <v>111695</v>
          </cell>
          <cell r="J23">
            <v>0</v>
          </cell>
          <cell r="M23">
            <v>0</v>
          </cell>
          <cell r="P23">
            <v>0</v>
          </cell>
        </row>
        <row r="24">
          <cell r="A24">
            <v>23</v>
          </cell>
          <cell r="B24" t="str">
            <v>TOTAL ASSETS</v>
          </cell>
          <cell r="G24">
            <v>158058384</v>
          </cell>
          <cell r="H24">
            <v>0</v>
          </cell>
          <cell r="I24">
            <v>169299231</v>
          </cell>
          <cell r="J24">
            <v>0</v>
          </cell>
          <cell r="K24">
            <v>0</v>
          </cell>
          <cell r="L24">
            <v>0</v>
          </cell>
          <cell r="M24">
            <v>0</v>
          </cell>
          <cell r="N24">
            <v>0</v>
          </cell>
          <cell r="O24">
            <v>0</v>
          </cell>
          <cell r="P24">
            <v>0</v>
          </cell>
        </row>
        <row r="25">
          <cell r="A25">
            <v>24</v>
          </cell>
          <cell r="B25" t="str">
            <v>A/P ASSOCIATED COMPANIES</v>
          </cell>
          <cell r="F25" t="str">
            <v>*</v>
          </cell>
          <cell r="G25">
            <v>154025</v>
          </cell>
          <cell r="I25">
            <v>64433</v>
          </cell>
          <cell r="J25">
            <v>0</v>
          </cell>
          <cell r="M25">
            <v>0</v>
          </cell>
          <cell r="P25">
            <v>0</v>
          </cell>
        </row>
        <row r="26">
          <cell r="A26">
            <v>25</v>
          </cell>
          <cell r="B26" t="str">
            <v>SUNDRY CREDITORS</v>
          </cell>
          <cell r="F26" t="str">
            <v>*</v>
          </cell>
          <cell r="G26">
            <v>2710617</v>
          </cell>
          <cell r="I26">
            <v>9966482</v>
          </cell>
          <cell r="J26">
            <v>0</v>
          </cell>
          <cell r="M26">
            <v>0</v>
          </cell>
          <cell r="P26">
            <v>0</v>
          </cell>
        </row>
        <row r="27">
          <cell r="A27">
            <v>26</v>
          </cell>
          <cell r="B27" t="str">
            <v>DEBENTURE ACCRUALS</v>
          </cell>
          <cell r="F27" t="str">
            <v>*</v>
          </cell>
          <cell r="G27">
            <v>781484</v>
          </cell>
          <cell r="I27">
            <v>731589</v>
          </cell>
          <cell r="J27">
            <v>0</v>
          </cell>
          <cell r="M27">
            <v>0</v>
          </cell>
          <cell r="P27">
            <v>0</v>
          </cell>
        </row>
        <row r="28">
          <cell r="A28">
            <v>27</v>
          </cell>
          <cell r="B28" t="str">
            <v>POWER BILL</v>
          </cell>
          <cell r="F28" t="str">
            <v>*</v>
          </cell>
          <cell r="G28">
            <v>13506695</v>
          </cell>
          <cell r="I28">
            <v>10655749</v>
          </cell>
          <cell r="J28">
            <v>0</v>
          </cell>
          <cell r="M28">
            <v>0</v>
          </cell>
          <cell r="P28">
            <v>0</v>
          </cell>
        </row>
        <row r="29">
          <cell r="A29">
            <v>28</v>
          </cell>
          <cell r="B29" t="str">
            <v>CURRENT PORTION CUSTOMERS DEPOSIT</v>
          </cell>
          <cell r="F29" t="str">
            <v>*</v>
          </cell>
          <cell r="G29">
            <v>590000</v>
          </cell>
          <cell r="I29">
            <v>558000</v>
          </cell>
          <cell r="J29">
            <v>0</v>
          </cell>
          <cell r="M29">
            <v>0</v>
          </cell>
          <cell r="P29">
            <v>0</v>
          </cell>
        </row>
        <row r="30">
          <cell r="A30">
            <v>29</v>
          </cell>
          <cell r="B30" t="str">
            <v>CURRENT PORTION CUSTOMERS DEPOSIT CONTRIBUTION</v>
          </cell>
          <cell r="F30" t="str">
            <v>* </v>
          </cell>
          <cell r="G30">
            <v>3463589</v>
          </cell>
          <cell r="I30">
            <v>3381815</v>
          </cell>
          <cell r="J30">
            <v>0</v>
          </cell>
          <cell r="M30">
            <v>0</v>
          </cell>
          <cell r="P30">
            <v>0</v>
          </cell>
        </row>
        <row r="31">
          <cell r="A31">
            <v>30</v>
          </cell>
          <cell r="B31" t="str">
            <v>CURRENT PORTION LONG TERM DEBT</v>
          </cell>
          <cell r="F31" t="str">
            <v>*</v>
          </cell>
          <cell r="G31">
            <v>0</v>
          </cell>
          <cell r="I31">
            <v>0</v>
          </cell>
          <cell r="J31">
            <v>0</v>
          </cell>
          <cell r="M31">
            <v>0</v>
          </cell>
          <cell r="P31">
            <v>0</v>
          </cell>
        </row>
        <row r="32">
          <cell r="A32">
            <v>31</v>
          </cell>
          <cell r="B32" t="str">
            <v>LOAN DUE TO AFFILIATES</v>
          </cell>
          <cell r="F32" t="str">
            <v>*</v>
          </cell>
          <cell r="G32">
            <v>5000000</v>
          </cell>
          <cell r="I32">
            <v>0</v>
          </cell>
          <cell r="J32">
            <v>0</v>
          </cell>
          <cell r="M32">
            <v>0</v>
          </cell>
          <cell r="P32">
            <v>0</v>
          </cell>
        </row>
        <row r="33">
          <cell r="A33">
            <v>32</v>
          </cell>
          <cell r="B33" t="str">
            <v>CUSTOMER DEPOSITS</v>
          </cell>
          <cell r="F33" t="str">
            <v>*</v>
          </cell>
          <cell r="G33">
            <v>3086342</v>
          </cell>
          <cell r="I33">
            <v>3403178</v>
          </cell>
          <cell r="J33">
            <v>0</v>
          </cell>
          <cell r="M33">
            <v>0</v>
          </cell>
          <cell r="P33">
            <v>0</v>
          </cell>
        </row>
        <row r="34">
          <cell r="A34">
            <v>33</v>
          </cell>
          <cell r="B34" t="str">
            <v>MISCELLANEOUS CREDITS</v>
          </cell>
          <cell r="F34" t="str">
            <v>*</v>
          </cell>
          <cell r="G34">
            <v>0</v>
          </cell>
          <cell r="I34">
            <v>15047</v>
          </cell>
          <cell r="J34">
            <v>0</v>
          </cell>
          <cell r="M34">
            <v>0</v>
          </cell>
        </row>
        <row r="35">
          <cell r="A35">
            <v>34</v>
          </cell>
          <cell r="B35" t="str">
            <v>DEVELOPMENT CHARGE FUND</v>
          </cell>
          <cell r="F35" t="str">
            <v>*</v>
          </cell>
          <cell r="G35">
            <v>0</v>
          </cell>
          <cell r="I35">
            <v>0</v>
          </cell>
          <cell r="J35">
            <v>0</v>
          </cell>
          <cell r="M35">
            <v>0</v>
          </cell>
        </row>
        <row r="36">
          <cell r="A36">
            <v>35</v>
          </cell>
          <cell r="B36" t="str">
            <v>MINIRUPTER DEPOSIT</v>
          </cell>
          <cell r="F36" t="str">
            <v>*</v>
          </cell>
          <cell r="G36">
            <v>0</v>
          </cell>
          <cell r="I36">
            <v>0</v>
          </cell>
          <cell r="J36">
            <v>0</v>
          </cell>
          <cell r="M36">
            <v>0</v>
          </cell>
        </row>
        <row r="37">
          <cell r="A37">
            <v>36</v>
          </cell>
          <cell r="B37" t="str">
            <v>DEBENTURES OUTSTANDING</v>
          </cell>
          <cell r="F37" t="str">
            <v>*</v>
          </cell>
          <cell r="G37">
            <v>30000000</v>
          </cell>
          <cell r="I37">
            <v>30000000</v>
          </cell>
          <cell r="J37">
            <v>0</v>
          </cell>
          <cell r="M37">
            <v>0</v>
          </cell>
          <cell r="P37">
            <v>0</v>
          </cell>
        </row>
        <row r="38">
          <cell r="A38">
            <v>37</v>
          </cell>
          <cell r="B38" t="str">
            <v>MISCELLANEOUS CREDITS - CURRENT LIABILITIES</v>
          </cell>
          <cell r="F38" t="str">
            <v>*</v>
          </cell>
          <cell r="G38">
            <v>228393</v>
          </cell>
          <cell r="I38">
            <v>0</v>
          </cell>
          <cell r="J38">
            <v>0</v>
          </cell>
          <cell r="M38">
            <v>0</v>
          </cell>
          <cell r="P38">
            <v>0</v>
          </cell>
        </row>
        <row r="39">
          <cell r="A39">
            <v>38</v>
          </cell>
          <cell r="B39" t="str">
            <v>NET INCOME </v>
          </cell>
          <cell r="G39">
            <v>475183</v>
          </cell>
          <cell r="H39">
            <v>0</v>
          </cell>
          <cell r="I39">
            <v>4356019</v>
          </cell>
          <cell r="J39">
            <v>0</v>
          </cell>
          <cell r="K39">
            <v>0</v>
          </cell>
          <cell r="L39">
            <v>0</v>
          </cell>
          <cell r="M39">
            <v>0</v>
          </cell>
          <cell r="N39">
            <v>0</v>
          </cell>
          <cell r="O39">
            <v>0</v>
          </cell>
          <cell r="P39">
            <v>0</v>
          </cell>
        </row>
        <row r="40">
          <cell r="A40">
            <v>39</v>
          </cell>
          <cell r="B40" t="str">
            <v>ACCUMULATED NET INCOME</v>
          </cell>
          <cell r="F40" t="str">
            <v>*</v>
          </cell>
          <cell r="G40">
            <v>14366098</v>
          </cell>
          <cell r="J40">
            <v>0</v>
          </cell>
          <cell r="M40">
            <v>0</v>
          </cell>
          <cell r="P40">
            <v>0</v>
          </cell>
        </row>
        <row r="41">
          <cell r="A41">
            <v>40</v>
          </cell>
          <cell r="B41" t="str">
            <v>DUE TO TOWN OF MARKHAM</v>
          </cell>
          <cell r="F41" t="str">
            <v>*</v>
          </cell>
          <cell r="G41">
            <v>67866201</v>
          </cell>
          <cell r="I41">
            <v>67866201</v>
          </cell>
          <cell r="J41">
            <v>0</v>
          </cell>
          <cell r="M41">
            <v>0</v>
          </cell>
          <cell r="P41">
            <v>0</v>
          </cell>
        </row>
        <row r="42">
          <cell r="A42">
            <v>41</v>
          </cell>
          <cell r="B42" t="str">
            <v>ADJUSTMENT FOR LONG TERM DEBT</v>
          </cell>
          <cell r="F42" t="str">
            <v>*</v>
          </cell>
          <cell r="G42">
            <v>0</v>
          </cell>
          <cell r="I42">
            <v>0</v>
          </cell>
          <cell r="J42">
            <v>0</v>
          </cell>
          <cell r="M42">
            <v>0</v>
          </cell>
          <cell r="P42">
            <v>0</v>
          </cell>
        </row>
        <row r="43">
          <cell r="A43">
            <v>42</v>
          </cell>
          <cell r="B43" t="str">
            <v>LIABILITY TOWN OF MARKHAM - WATER BILL</v>
          </cell>
          <cell r="F43" t="str">
            <v>*</v>
          </cell>
          <cell r="G43">
            <v>2358924</v>
          </cell>
          <cell r="I43">
            <v>2782006</v>
          </cell>
          <cell r="J43">
            <v>0</v>
          </cell>
          <cell r="M43">
            <v>0</v>
          </cell>
          <cell r="P43">
            <v>0</v>
          </cell>
        </row>
        <row r="44">
          <cell r="A44">
            <v>43</v>
          </cell>
          <cell r="B44" t="str">
            <v>COMMON SHARES</v>
          </cell>
          <cell r="F44" t="str">
            <v>*</v>
          </cell>
          <cell r="G44">
            <v>55526892</v>
          </cell>
          <cell r="I44">
            <v>55526892</v>
          </cell>
          <cell r="J44">
            <v>0</v>
          </cell>
          <cell r="M44">
            <v>0</v>
          </cell>
          <cell r="P44">
            <v>0</v>
          </cell>
        </row>
        <row r="45">
          <cell r="A45">
            <v>44</v>
          </cell>
          <cell r="B45" t="str">
            <v>DEVELOPMENT CHARGE TRANSFER TO EQUITY</v>
          </cell>
          <cell r="F45" t="str">
            <v>*</v>
          </cell>
          <cell r="G45">
            <v>3010564</v>
          </cell>
          <cell r="I45">
            <v>3010564</v>
          </cell>
          <cell r="J45">
            <v>0</v>
          </cell>
          <cell r="M45">
            <v>0</v>
          </cell>
          <cell r="P45">
            <v>0</v>
          </cell>
        </row>
        <row r="46">
          <cell r="A46">
            <v>45</v>
          </cell>
          <cell r="B46" t="str">
            <v>EMPLOYEE BENEFITS</v>
          </cell>
          <cell r="F46" t="str">
            <v>*</v>
          </cell>
          <cell r="G46">
            <v>443901</v>
          </cell>
          <cell r="I46">
            <v>435539</v>
          </cell>
          <cell r="J46">
            <v>0</v>
          </cell>
          <cell r="M46">
            <v>0</v>
          </cell>
          <cell r="P46">
            <v>0</v>
          </cell>
        </row>
        <row r="47">
          <cell r="B47" t="str">
            <v>TOTAL LIABILITY &amp; EQUITY</v>
          </cell>
          <cell r="G47">
            <v>203568908</v>
          </cell>
          <cell r="H47">
            <v>0</v>
          </cell>
          <cell r="I47">
            <v>192753514</v>
          </cell>
          <cell r="J47">
            <v>0</v>
          </cell>
          <cell r="K47">
            <v>0</v>
          </cell>
          <cell r="L47">
            <v>0</v>
          </cell>
          <cell r="M47">
            <v>0</v>
          </cell>
          <cell r="N47">
            <v>0</v>
          </cell>
          <cell r="O47">
            <v>0</v>
          </cell>
          <cell r="P47">
            <v>0</v>
          </cell>
        </row>
        <row r="48">
          <cell r="B48" t="str">
            <v>ASSETS-LIABILITY CONTROL CHECK</v>
          </cell>
          <cell r="G48">
            <v>-45510524</v>
          </cell>
          <cell r="H48">
            <v>0</v>
          </cell>
          <cell r="I48">
            <v>166288667</v>
          </cell>
          <cell r="J48">
            <v>0</v>
          </cell>
          <cell r="K48">
            <v>0</v>
          </cell>
          <cell r="L48">
            <v>0</v>
          </cell>
          <cell r="M48">
            <v>0</v>
          </cell>
          <cell r="N48">
            <v>0</v>
          </cell>
          <cell r="O48">
            <v>0</v>
          </cell>
          <cell r="P48">
            <v>0</v>
          </cell>
        </row>
        <row r="49">
          <cell r="C49" t="str">
            <v>TABLE OF LAST YEARS OPERATING STATEMENT DATA</v>
          </cell>
        </row>
        <row r="50">
          <cell r="A50">
            <v>1</v>
          </cell>
          <cell r="B50" t="str">
            <v>MONTH#</v>
          </cell>
          <cell r="F50">
            <v>2</v>
          </cell>
          <cell r="G50">
            <v>3</v>
          </cell>
          <cell r="H50">
            <v>4</v>
          </cell>
          <cell r="I50">
            <v>5</v>
          </cell>
          <cell r="J50">
            <v>6</v>
          </cell>
          <cell r="K50">
            <v>7</v>
          </cell>
          <cell r="L50">
            <v>8</v>
          </cell>
          <cell r="M50">
            <v>9</v>
          </cell>
          <cell r="N50">
            <v>10</v>
          </cell>
          <cell r="O50">
            <v>11</v>
          </cell>
          <cell r="P50">
            <v>12</v>
          </cell>
        </row>
        <row r="51">
          <cell r="A51">
            <v>2</v>
          </cell>
          <cell r="B51" t="str">
            <v>  RESIDENTIAL</v>
          </cell>
          <cell r="G51">
            <v>4246233</v>
          </cell>
          <cell r="I51">
            <v>13587240</v>
          </cell>
          <cell r="J51">
            <v>0</v>
          </cell>
          <cell r="M51">
            <v>0</v>
          </cell>
          <cell r="P51">
            <v>0</v>
          </cell>
        </row>
        <row r="52">
          <cell r="A52">
            <v>3</v>
          </cell>
          <cell r="B52" t="str">
            <v>  GENERAL SERVICE</v>
          </cell>
          <cell r="G52">
            <v>1588098</v>
          </cell>
          <cell r="I52">
            <v>9677641</v>
          </cell>
          <cell r="J52">
            <v>0</v>
          </cell>
          <cell r="M52">
            <v>0</v>
          </cell>
          <cell r="P52">
            <v>0</v>
          </cell>
        </row>
        <row r="53">
          <cell r="A53">
            <v>4</v>
          </cell>
          <cell r="B53" t="str">
            <v>  LARGE USER - IBM</v>
          </cell>
          <cell r="G53">
            <v>0</v>
          </cell>
          <cell r="I53">
            <v>0</v>
          </cell>
          <cell r="J53">
            <v>0</v>
          </cell>
          <cell r="M53">
            <v>0</v>
          </cell>
          <cell r="P53">
            <v>0</v>
          </cell>
        </row>
        <row r="54">
          <cell r="A54">
            <v>5</v>
          </cell>
          <cell r="B54" t="str">
            <v>  STREETLIGHTING</v>
          </cell>
          <cell r="G54">
            <v>13392</v>
          </cell>
          <cell r="I54">
            <v>80183</v>
          </cell>
          <cell r="J54">
            <v>0</v>
          </cell>
          <cell r="M54">
            <v>0</v>
          </cell>
          <cell r="P54">
            <v>0</v>
          </cell>
        </row>
        <row r="55">
          <cell r="A55">
            <v>6</v>
          </cell>
          <cell r="B55" t="str">
            <v>  MISCELLANEOUS</v>
          </cell>
          <cell r="G55">
            <v>50930</v>
          </cell>
          <cell r="I55">
            <v>4616094</v>
          </cell>
          <cell r="J55">
            <v>0</v>
          </cell>
          <cell r="M55">
            <v>0</v>
          </cell>
          <cell r="P55">
            <v>0</v>
          </cell>
        </row>
        <row r="56">
          <cell r="A56">
            <v>7</v>
          </cell>
          <cell r="B56" t="str">
            <v>  COMMODITY</v>
          </cell>
          <cell r="G56">
            <v>39425999</v>
          </cell>
          <cell r="I56">
            <v>134865584</v>
          </cell>
          <cell r="J56">
            <v>0</v>
          </cell>
          <cell r="M56">
            <v>0</v>
          </cell>
          <cell r="P56">
            <v>0</v>
          </cell>
        </row>
        <row r="57">
          <cell r="A57">
            <v>8</v>
          </cell>
          <cell r="B57" t="str">
            <v>TOTAL REVENUE</v>
          </cell>
          <cell r="F57">
            <v>0</v>
          </cell>
          <cell r="G57">
            <v>45324652</v>
          </cell>
          <cell r="H57">
            <v>0</v>
          </cell>
          <cell r="I57">
            <v>162826742</v>
          </cell>
          <cell r="J57">
            <v>0</v>
          </cell>
          <cell r="K57">
            <v>0</v>
          </cell>
          <cell r="L57">
            <v>0</v>
          </cell>
          <cell r="M57">
            <v>0</v>
          </cell>
          <cell r="N57">
            <v>0</v>
          </cell>
          <cell r="O57">
            <v>0</v>
          </cell>
          <cell r="P57">
            <v>0</v>
          </cell>
        </row>
        <row r="58">
          <cell r="A58">
            <v>9</v>
          </cell>
          <cell r="B58" t="str">
            <v>COST OF POWER</v>
          </cell>
          <cell r="G58">
            <v>39425999</v>
          </cell>
          <cell r="I58">
            <v>134865584</v>
          </cell>
          <cell r="J58">
            <v>0</v>
          </cell>
          <cell r="M58">
            <v>0</v>
          </cell>
          <cell r="P58">
            <v>0</v>
          </cell>
        </row>
        <row r="59">
          <cell r="A59">
            <v>10</v>
          </cell>
          <cell r="B59" t="str">
            <v>TRANSFORMER.STATN - EQUIPMENT</v>
          </cell>
          <cell r="G59">
            <v>58032</v>
          </cell>
          <cell r="I59">
            <v>252049</v>
          </cell>
          <cell r="J59">
            <v>0</v>
          </cell>
          <cell r="M59">
            <v>0</v>
          </cell>
          <cell r="P59">
            <v>0</v>
          </cell>
        </row>
        <row r="60">
          <cell r="A60">
            <v>11</v>
          </cell>
          <cell r="B60" t="str">
            <v>TRANSFORMER.STATN - BUILDINGS</v>
          </cell>
          <cell r="G60">
            <v>2302</v>
          </cell>
          <cell r="I60">
            <v>30462</v>
          </cell>
          <cell r="J60">
            <v>0</v>
          </cell>
          <cell r="M60">
            <v>0</v>
          </cell>
          <cell r="P60">
            <v>0</v>
          </cell>
        </row>
        <row r="61">
          <cell r="A61">
            <v>12</v>
          </cell>
          <cell r="B61" t="str">
            <v>MUNICIPAL STATN - EQUIPMENT</v>
          </cell>
          <cell r="G61">
            <v>8760</v>
          </cell>
          <cell r="I61">
            <v>46181</v>
          </cell>
          <cell r="J61">
            <v>0</v>
          </cell>
          <cell r="M61">
            <v>0</v>
          </cell>
          <cell r="P61">
            <v>0</v>
          </cell>
        </row>
        <row r="62">
          <cell r="A62">
            <v>13</v>
          </cell>
          <cell r="B62" t="str">
            <v>MUNICIPAL STATN - BUILDINGS</v>
          </cell>
          <cell r="G62">
            <v>522</v>
          </cell>
          <cell r="I62">
            <v>21753</v>
          </cell>
          <cell r="J62">
            <v>0</v>
          </cell>
          <cell r="M62">
            <v>0</v>
          </cell>
          <cell r="P62">
            <v>0</v>
          </cell>
        </row>
        <row r="63">
          <cell r="A63">
            <v>14</v>
          </cell>
          <cell r="B63" t="str">
            <v>PCB WASTE MANAGEMENT</v>
          </cell>
          <cell r="G63">
            <v>415</v>
          </cell>
          <cell r="I63">
            <v>4663</v>
          </cell>
          <cell r="J63">
            <v>0</v>
          </cell>
          <cell r="M63">
            <v>0</v>
          </cell>
          <cell r="P63">
            <v>0</v>
          </cell>
        </row>
        <row r="64">
          <cell r="A64">
            <v>15</v>
          </cell>
          <cell r="B64" t="str">
            <v>LINES OVERHEAD</v>
          </cell>
          <cell r="G64">
            <v>168834</v>
          </cell>
          <cell r="I64">
            <v>715145</v>
          </cell>
          <cell r="J64">
            <v>0</v>
          </cell>
          <cell r="M64">
            <v>0</v>
          </cell>
          <cell r="P64">
            <v>0</v>
          </cell>
        </row>
        <row r="65">
          <cell r="A65">
            <v>16</v>
          </cell>
          <cell r="B65" t="str">
            <v>TREE TRIMMING</v>
          </cell>
          <cell r="G65">
            <v>82</v>
          </cell>
          <cell r="I65">
            <v>92593</v>
          </cell>
          <cell r="J65">
            <v>0</v>
          </cell>
          <cell r="M65">
            <v>0</v>
          </cell>
          <cell r="P65">
            <v>0</v>
          </cell>
        </row>
        <row r="66">
          <cell r="A66">
            <v>17</v>
          </cell>
          <cell r="B66" t="str">
            <v>STORM DAMAGE</v>
          </cell>
          <cell r="G66">
            <v>0</v>
          </cell>
          <cell r="I66">
            <v>0</v>
          </cell>
          <cell r="J66">
            <v>0</v>
          </cell>
          <cell r="M66">
            <v>0</v>
          </cell>
          <cell r="P66">
            <v>0</v>
          </cell>
        </row>
        <row r="67">
          <cell r="A67">
            <v>18</v>
          </cell>
          <cell r="B67" t="str">
            <v>LINES UNDERGROUND</v>
          </cell>
          <cell r="G67">
            <v>172554</v>
          </cell>
          <cell r="I67">
            <v>1228999</v>
          </cell>
          <cell r="J67">
            <v>0</v>
          </cell>
          <cell r="M67">
            <v>0</v>
          </cell>
          <cell r="P67">
            <v>0</v>
          </cell>
        </row>
        <row r="68">
          <cell r="A68">
            <v>19</v>
          </cell>
          <cell r="B68" t="str">
            <v>SWITCHGEAR UNDERGROUND</v>
          </cell>
          <cell r="G68">
            <v>0</v>
          </cell>
          <cell r="J68">
            <v>0</v>
          </cell>
          <cell r="M68">
            <v>0</v>
          </cell>
          <cell r="P68">
            <v>0</v>
          </cell>
        </row>
        <row r="69">
          <cell r="A69">
            <v>20</v>
          </cell>
          <cell r="B69" t="str">
            <v>TRANSFORMERS - OVERHEAD</v>
          </cell>
          <cell r="G69">
            <v>21975</v>
          </cell>
          <cell r="I69">
            <v>90277</v>
          </cell>
          <cell r="J69">
            <v>0</v>
          </cell>
          <cell r="M69">
            <v>0</v>
          </cell>
          <cell r="P69">
            <v>0</v>
          </cell>
        </row>
        <row r="70">
          <cell r="A70">
            <v>21</v>
          </cell>
          <cell r="B70" t="str">
            <v>TRANSFORMERS - UNDERGROUND</v>
          </cell>
          <cell r="G70">
            <v>29267</v>
          </cell>
          <cell r="I70">
            <v>169587</v>
          </cell>
          <cell r="J70">
            <v>0</v>
          </cell>
          <cell r="M70">
            <v>0</v>
          </cell>
          <cell r="P70">
            <v>0</v>
          </cell>
        </row>
        <row r="71">
          <cell r="A71">
            <v>22</v>
          </cell>
          <cell r="B71" t="str">
            <v>S.C.A.D.A.</v>
          </cell>
          <cell r="G71">
            <v>37186</v>
          </cell>
          <cell r="I71">
            <v>230397</v>
          </cell>
          <cell r="J71">
            <v>0</v>
          </cell>
          <cell r="M71">
            <v>0</v>
          </cell>
          <cell r="P71">
            <v>0</v>
          </cell>
        </row>
        <row r="72">
          <cell r="A72">
            <v>23</v>
          </cell>
          <cell r="B72" t="str">
            <v>CONTROL ROOM</v>
          </cell>
          <cell r="G72">
            <v>144113</v>
          </cell>
          <cell r="I72">
            <v>665341</v>
          </cell>
          <cell r="J72">
            <v>0</v>
          </cell>
          <cell r="M72">
            <v>0</v>
          </cell>
          <cell r="P72">
            <v>0</v>
          </cell>
        </row>
        <row r="73">
          <cell r="A73">
            <v>24</v>
          </cell>
          <cell r="B73" t="str">
            <v>METERS</v>
          </cell>
          <cell r="G73">
            <v>72864</v>
          </cell>
          <cell r="I73">
            <v>351779</v>
          </cell>
          <cell r="J73">
            <v>0</v>
          </cell>
          <cell r="M73">
            <v>0</v>
          </cell>
          <cell r="P73">
            <v>0</v>
          </cell>
        </row>
        <row r="74">
          <cell r="A74">
            <v>25</v>
          </cell>
          <cell r="B74" t="str">
            <v>CUSTOMER CALL-OUTS</v>
          </cell>
          <cell r="G74">
            <v>10200</v>
          </cell>
          <cell r="I74">
            <v>41918</v>
          </cell>
          <cell r="J74">
            <v>0</v>
          </cell>
          <cell r="M74">
            <v>0</v>
          </cell>
          <cell r="P74">
            <v>0</v>
          </cell>
        </row>
        <row r="75">
          <cell r="A75">
            <v>26</v>
          </cell>
          <cell r="B75" t="str">
            <v>CUSTOMER PREMISES</v>
          </cell>
          <cell r="G75">
            <v>49474</v>
          </cell>
          <cell r="I75">
            <v>488390</v>
          </cell>
          <cell r="J75">
            <v>0</v>
          </cell>
          <cell r="M75">
            <v>0</v>
          </cell>
          <cell r="P75">
            <v>0</v>
          </cell>
        </row>
        <row r="76">
          <cell r="A76">
            <v>27</v>
          </cell>
          <cell r="B76" t="str">
            <v>STAKE OUTS</v>
          </cell>
          <cell r="G76">
            <v>0</v>
          </cell>
          <cell r="I76">
            <v>0</v>
          </cell>
          <cell r="J76">
            <v>0</v>
          </cell>
        </row>
        <row r="77">
          <cell r="A77">
            <v>28</v>
          </cell>
          <cell r="B77" t="str">
            <v>INSPECTIONS</v>
          </cell>
          <cell r="G77">
            <v>59260</v>
          </cell>
          <cell r="I77">
            <v>342787</v>
          </cell>
          <cell r="J77">
            <v>0</v>
          </cell>
          <cell r="M77">
            <v>0</v>
          </cell>
          <cell r="P77">
            <v>0</v>
          </cell>
        </row>
        <row r="78">
          <cell r="A78">
            <v>29</v>
          </cell>
          <cell r="B78" t="str">
            <v>WATER HEATERS</v>
          </cell>
          <cell r="G78">
            <v>27963</v>
          </cell>
          <cell r="I78">
            <v>131599</v>
          </cell>
          <cell r="J78">
            <v>0</v>
          </cell>
          <cell r="M78">
            <v>0</v>
          </cell>
          <cell r="P78">
            <v>0</v>
          </cell>
        </row>
        <row r="79">
          <cell r="A79">
            <v>30</v>
          </cell>
          <cell r="B79" t="str">
            <v>PROMOTIONS</v>
          </cell>
          <cell r="G79">
            <v>30557</v>
          </cell>
          <cell r="I79">
            <v>187377</v>
          </cell>
          <cell r="J79">
            <v>0</v>
          </cell>
          <cell r="M79">
            <v>0</v>
          </cell>
          <cell r="P79">
            <v>0</v>
          </cell>
        </row>
        <row r="80">
          <cell r="A80">
            <v>31</v>
          </cell>
          <cell r="B80" t="str">
            <v>BILLING AND COLLECTIONS</v>
          </cell>
          <cell r="G80">
            <v>452867</v>
          </cell>
          <cell r="I80">
            <v>1777700</v>
          </cell>
          <cell r="J80">
            <v>0</v>
          </cell>
          <cell r="M80">
            <v>0</v>
          </cell>
          <cell r="P80">
            <v>0</v>
          </cell>
        </row>
        <row r="81">
          <cell r="A81">
            <v>32</v>
          </cell>
          <cell r="B81" t="str">
            <v>DATA PROCESSING</v>
          </cell>
          <cell r="G81">
            <v>29833</v>
          </cell>
          <cell r="I81">
            <v>261215</v>
          </cell>
          <cell r="J81">
            <v>0</v>
          </cell>
          <cell r="M81">
            <v>0</v>
          </cell>
          <cell r="P81">
            <v>0</v>
          </cell>
        </row>
        <row r="82">
          <cell r="A82">
            <v>33</v>
          </cell>
          <cell r="B82" t="str">
            <v>GENERAL ADMINISTRATION</v>
          </cell>
          <cell r="G82">
            <v>157585</v>
          </cell>
          <cell r="I82">
            <v>669726</v>
          </cell>
          <cell r="J82">
            <v>0</v>
          </cell>
          <cell r="M82">
            <v>0</v>
          </cell>
          <cell r="P82">
            <v>0</v>
          </cell>
        </row>
        <row r="83">
          <cell r="A83">
            <v>34</v>
          </cell>
          <cell r="B83" t="str">
            <v>ACCOUNTING</v>
          </cell>
          <cell r="G83">
            <v>140752</v>
          </cell>
          <cell r="I83">
            <v>633731</v>
          </cell>
          <cell r="J83">
            <v>0</v>
          </cell>
          <cell r="M83">
            <v>0</v>
          </cell>
          <cell r="P83">
            <v>0</v>
          </cell>
        </row>
        <row r="84">
          <cell r="A84">
            <v>35</v>
          </cell>
          <cell r="B84" t="str">
            <v>EXECUTIVE/BOARD OF DIRECTORS</v>
          </cell>
          <cell r="G84">
            <v>128059</v>
          </cell>
          <cell r="I84">
            <v>625642</v>
          </cell>
          <cell r="J84">
            <v>0</v>
          </cell>
          <cell r="M84">
            <v>0</v>
          </cell>
          <cell r="P84">
            <v>0</v>
          </cell>
        </row>
        <row r="85">
          <cell r="A85">
            <v>36</v>
          </cell>
          <cell r="B85" t="str">
            <v>HEADQUARTERS - BUILDINGS</v>
          </cell>
          <cell r="G85">
            <v>251707</v>
          </cell>
          <cell r="I85">
            <v>915659</v>
          </cell>
          <cell r="J85">
            <v>0</v>
          </cell>
          <cell r="M85">
            <v>0</v>
          </cell>
          <cell r="P85">
            <v>0</v>
          </cell>
        </row>
        <row r="86">
          <cell r="A86">
            <v>37</v>
          </cell>
          <cell r="B86" t="str">
            <v>REGULATORY AFFAIRS</v>
          </cell>
          <cell r="G86">
            <v>36512</v>
          </cell>
          <cell r="I86">
            <v>274452</v>
          </cell>
          <cell r="J86">
            <v>0</v>
          </cell>
          <cell r="M86">
            <v>0</v>
          </cell>
          <cell r="P86">
            <v>0</v>
          </cell>
        </row>
        <row r="87">
          <cell r="A87">
            <v>38</v>
          </cell>
          <cell r="B87" t="str">
            <v>TOTAL CONTROLLABLE COSTS</v>
          </cell>
          <cell r="G87">
            <v>2091675</v>
          </cell>
          <cell r="H87">
            <v>0</v>
          </cell>
          <cell r="I87">
            <v>10249422</v>
          </cell>
          <cell r="J87">
            <v>0</v>
          </cell>
          <cell r="K87">
            <v>0</v>
          </cell>
          <cell r="L87">
            <v>0</v>
          </cell>
          <cell r="M87">
            <v>0</v>
          </cell>
          <cell r="N87">
            <v>0</v>
          </cell>
          <cell r="O87">
            <v>0</v>
          </cell>
          <cell r="P87">
            <v>0</v>
          </cell>
        </row>
        <row r="88">
          <cell r="A88">
            <v>39</v>
          </cell>
        </row>
        <row r="89">
          <cell r="A89">
            <v>40</v>
          </cell>
          <cell r="B89" t="str">
            <v>INTEREST</v>
          </cell>
          <cell r="G89">
            <v>1368974</v>
          </cell>
          <cell r="I89">
            <v>5625049</v>
          </cell>
          <cell r="J89">
            <v>0</v>
          </cell>
          <cell r="M89">
            <v>0</v>
          </cell>
          <cell r="P89">
            <v>0</v>
          </cell>
        </row>
        <row r="90">
          <cell r="A90">
            <v>41</v>
          </cell>
          <cell r="B90" t="str">
            <v>DEPRECIATION</v>
          </cell>
          <cell r="G90">
            <v>1962821</v>
          </cell>
          <cell r="I90">
            <v>7730668</v>
          </cell>
          <cell r="J90">
            <v>0</v>
          </cell>
          <cell r="M90">
            <v>0</v>
          </cell>
          <cell r="P90">
            <v>0</v>
          </cell>
        </row>
        <row r="91">
          <cell r="A91">
            <v>42</v>
          </cell>
          <cell r="B91" t="str">
            <v> </v>
          </cell>
        </row>
        <row r="92">
          <cell r="A92">
            <v>43</v>
          </cell>
          <cell r="B92" t="str">
            <v>TOTAL EXPENSES</v>
          </cell>
          <cell r="G92">
            <v>5423470</v>
          </cell>
          <cell r="H92">
            <v>0</v>
          </cell>
          <cell r="I92">
            <v>23605139</v>
          </cell>
          <cell r="J92">
            <v>0</v>
          </cell>
          <cell r="K92">
            <v>0</v>
          </cell>
          <cell r="L92">
            <v>0</v>
          </cell>
          <cell r="M92">
            <v>0</v>
          </cell>
          <cell r="N92">
            <v>0</v>
          </cell>
          <cell r="O92">
            <v>0</v>
          </cell>
          <cell r="P92">
            <v>0</v>
          </cell>
        </row>
        <row r="93">
          <cell r="A93">
            <v>44</v>
          </cell>
          <cell r="B93" t="str">
            <v>EXTRAORDINARY ITEMS</v>
          </cell>
        </row>
      </sheetData>
      <sheetData sheetId="32">
        <row r="1">
          <cell r="A1" t="str">
            <v>MARKHAM HYDRO DISTRIBUTION INC.</v>
          </cell>
        </row>
        <row r="2">
          <cell r="A2" t="str">
            <v>MONTHLY PERFORMANCE INDICATORS FOR</v>
          </cell>
        </row>
        <row r="3">
          <cell r="A3" t="str">
            <v>Five Months to May 31, 2004</v>
          </cell>
        </row>
        <row r="5">
          <cell r="A5" t="str">
            <v>Indicators</v>
          </cell>
          <cell r="C5" t="str">
            <v>Current Year</v>
          </cell>
          <cell r="D5" t="str">
            <v>Previous Year</v>
          </cell>
        </row>
        <row r="6">
          <cell r="A6" t="str">
            <v> </v>
          </cell>
        </row>
        <row r="7">
          <cell r="A7" t="str">
            <v>Working Capital</v>
          </cell>
          <cell r="C7">
            <v>25279495</v>
          </cell>
          <cell r="D7">
            <v>34812444</v>
          </cell>
        </row>
        <row r="8">
          <cell r="A8" t="str">
            <v> </v>
          </cell>
        </row>
        <row r="9">
          <cell r="A9" t="str">
            <v>Working Capital Ratio</v>
          </cell>
          <cell r="C9">
            <v>1.85</v>
          </cell>
          <cell r="D9">
            <v>2.24</v>
          </cell>
        </row>
        <row r="11">
          <cell r="A11" t="str">
            <v>Acid Test Ratio</v>
          </cell>
          <cell r="C11">
            <v>1.73</v>
          </cell>
          <cell r="D11">
            <v>2.14</v>
          </cell>
        </row>
        <row r="13">
          <cell r="A13" t="str">
            <v>Debt Equity Ratio</v>
          </cell>
          <cell r="C13">
            <v>0.5802989291732042</v>
          </cell>
          <cell r="D13">
            <v>0.5531802349253835</v>
          </cell>
        </row>
        <row r="15">
          <cell r="A15" t="str">
            <v>Gross Margin On Service Revenue</v>
          </cell>
          <cell r="C15">
            <v>0.1793939534243007</v>
          </cell>
          <cell r="D15">
            <v>0.19315849517234962</v>
          </cell>
        </row>
        <row r="17">
          <cell r="A17" t="str">
            <v>Controllable Expense/Avg. # of Customers</v>
          </cell>
          <cell r="C17">
            <v>160.14015418898532</v>
          </cell>
          <cell r="D17">
            <v>175.61783144056065</v>
          </cell>
        </row>
        <row r="20">
          <cell r="A20" t="str">
            <v>DEBT EQUITY RATIO CHANGED FOR OCTOBER 1994</v>
          </cell>
        </row>
        <row r="21">
          <cell r="A21" t="str">
            <v>CALCULATION DOES NOT INCLUDE CURRENT PORTION OF CUSTOMER DEPOSIT</v>
          </cell>
        </row>
        <row r="22">
          <cell r="A22" t="str">
            <v>WORKING CAPITAL AS % OF NET EXPENSES</v>
          </cell>
          <cell r="C22">
            <v>0.3888473969899903</v>
          </cell>
          <cell r="D22">
            <v>0.22811886996102626</v>
          </cell>
        </row>
        <row r="27">
          <cell r="B27" t="str">
            <v>YEAR END PERFORMANCE INDICATORS</v>
          </cell>
        </row>
        <row r="28">
          <cell r="B28" t="str">
            <v>FOR Five Months to May 31, 2004</v>
          </cell>
        </row>
        <row r="30">
          <cell r="C30" t="str">
            <v>CURRENT YR</v>
          </cell>
          <cell r="D30" t="str">
            <v>PRIOR YR</v>
          </cell>
        </row>
        <row r="32">
          <cell r="A32" t="str">
            <v>YTD AVERAGE NUMBER OF CUSTOMERS</v>
          </cell>
          <cell r="C32">
            <v>36124.5</v>
          </cell>
          <cell r="D32">
            <v>68990.5</v>
          </cell>
        </row>
        <row r="34">
          <cell r="A34" t="str">
            <v>CONTROLLABLE COSTS/AVG # CUSTOMERS</v>
          </cell>
          <cell r="C34">
            <v>160.14015418898532</v>
          </cell>
          <cell r="D34">
            <v>175.61783144056065</v>
          </cell>
        </row>
        <row r="37">
          <cell r="A37" t="str">
            <v>P:\finstmnt\2004\[fs-may04 .XLS]Bal_ExternalReporting</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rial Balance"/>
      <sheetName val="Fixed Asset Continuity"/>
      <sheetName val="Gain Loss On Disposal"/>
      <sheetName val="Capital Project Transactions"/>
      <sheetName val="Other Asset Additions"/>
      <sheetName val="CapitalBudgetvsActual"/>
      <sheetName val="Depreciation Calculations"/>
    </sheetNames>
    <sheetDataSet>
      <sheetData sheetId="5">
        <row r="4">
          <cell r="G4" t="str">
            <v>YTD</v>
          </cell>
          <cell r="H4" t="str">
            <v>CONTRIBUTED </v>
          </cell>
          <cell r="I4" t="str">
            <v>YTD</v>
          </cell>
          <cell r="J4" t="str">
            <v>VARIANCE</v>
          </cell>
          <cell r="K4" t="str">
            <v>YTD</v>
          </cell>
        </row>
        <row r="5">
          <cell r="D5" t="str">
            <v>GROSS</v>
          </cell>
          <cell r="E5" t="str">
            <v>CONTRIBUTED </v>
          </cell>
          <cell r="F5" t="str">
            <v>NET</v>
          </cell>
          <cell r="G5" t="str">
            <v>GROSS </v>
          </cell>
          <cell r="H5" t="str">
            <v>CAPITAL </v>
          </cell>
          <cell r="I5" t="str">
            <v>NET</v>
          </cell>
          <cell r="J5" t="str">
            <v>FROM</v>
          </cell>
          <cell r="K5" t="str">
            <v>% SPENT</v>
          </cell>
        </row>
        <row r="6">
          <cell r="D6" t="str">
            <v>EXPENDITURES</v>
          </cell>
          <cell r="E6" t="str">
            <v>CAPITAL</v>
          </cell>
          <cell r="F6" t="str">
            <v>EXPENDITURES</v>
          </cell>
          <cell r="G6" t="str">
            <v>EXPENDITURES</v>
          </cell>
          <cell r="H6" t="str">
            <v>REC. YTD</v>
          </cell>
          <cell r="I6" t="str">
            <v>EXPENDITURE</v>
          </cell>
          <cell r="J6" t="str">
            <v>BUDGET</v>
          </cell>
          <cell r="K6" t="str">
            <v>NET BUDGET</v>
          </cell>
        </row>
        <row r="9">
          <cell r="B9" t="str">
            <v>LAND &amp; BUILDINGS</v>
          </cell>
        </row>
        <row r="10">
          <cell r="B10" t="str">
            <v>Land</v>
          </cell>
          <cell r="D10">
            <v>2000</v>
          </cell>
          <cell r="F10">
            <v>2000</v>
          </cell>
          <cell r="I10">
            <v>0</v>
          </cell>
          <cell r="J10">
            <v>2000</v>
          </cell>
          <cell r="K10">
            <v>0</v>
          </cell>
        </row>
        <row r="11">
          <cell r="B11" t="str">
            <v>Buildings</v>
          </cell>
          <cell r="D11">
            <v>6000</v>
          </cell>
          <cell r="E11">
            <v>195000</v>
          </cell>
          <cell r="F11">
            <v>-189000</v>
          </cell>
          <cell r="G11">
            <v>4000</v>
          </cell>
          <cell r="H11">
            <v>129000</v>
          </cell>
          <cell r="I11">
            <v>-125000</v>
          </cell>
          <cell r="J11">
            <v>-64000</v>
          </cell>
          <cell r="K11">
            <v>0.6613756613756614</v>
          </cell>
        </row>
        <row r="12">
          <cell r="B12" t="str">
            <v>Transformer Station</v>
          </cell>
          <cell r="F12">
            <v>0</v>
          </cell>
          <cell r="G12">
            <v>7000</v>
          </cell>
          <cell r="I12">
            <v>7000</v>
          </cell>
          <cell r="J12">
            <v>-7000</v>
          </cell>
          <cell r="K12" t="str">
            <v>N/A</v>
          </cell>
        </row>
        <row r="13">
          <cell r="B13" t="str">
            <v>Substations</v>
          </cell>
          <cell r="F13">
            <v>0</v>
          </cell>
          <cell r="I13">
            <v>0</v>
          </cell>
          <cell r="J13">
            <v>0</v>
          </cell>
          <cell r="K13" t="str">
            <v>N/A</v>
          </cell>
        </row>
        <row r="14">
          <cell r="D14">
            <v>8000</v>
          </cell>
          <cell r="E14">
            <v>195000</v>
          </cell>
          <cell r="F14">
            <v>-187000</v>
          </cell>
          <cell r="G14">
            <v>11000</v>
          </cell>
          <cell r="H14">
            <v>129000</v>
          </cell>
          <cell r="I14">
            <v>-118000</v>
          </cell>
          <cell r="J14">
            <v>-69000</v>
          </cell>
          <cell r="K14">
            <v>0.6310160427807486</v>
          </cell>
        </row>
        <row r="16">
          <cell r="B16" t="str">
            <v>PROJECTS</v>
          </cell>
        </row>
        <row r="17">
          <cell r="B17" t="str">
            <v>Projects</v>
          </cell>
          <cell r="D17">
            <v>5818000</v>
          </cell>
          <cell r="E17">
            <v>3424000</v>
          </cell>
          <cell r="F17">
            <v>2394000</v>
          </cell>
          <cell r="G17">
            <v>5759000</v>
          </cell>
          <cell r="H17">
            <v>3648000</v>
          </cell>
          <cell r="I17">
            <v>2111000</v>
          </cell>
          <cell r="J17">
            <v>283000</v>
          </cell>
          <cell r="K17">
            <v>0.8817878028404345</v>
          </cell>
        </row>
        <row r="18">
          <cell r="B18" t="str">
            <v>Development Charges</v>
          </cell>
          <cell r="E18">
            <v>448000</v>
          </cell>
          <cell r="F18">
            <v>-448000</v>
          </cell>
          <cell r="H18">
            <v>297000</v>
          </cell>
          <cell r="I18">
            <v>-297000</v>
          </cell>
          <cell r="J18">
            <v>-151000</v>
          </cell>
          <cell r="K18">
            <v>0.6629464285714286</v>
          </cell>
        </row>
        <row r="19">
          <cell r="D19">
            <v>5818000</v>
          </cell>
          <cell r="E19">
            <v>3872000</v>
          </cell>
          <cell r="F19">
            <v>1946000</v>
          </cell>
          <cell r="G19">
            <v>5759000</v>
          </cell>
          <cell r="H19">
            <v>3945000</v>
          </cell>
          <cell r="I19">
            <v>1814000</v>
          </cell>
          <cell r="J19">
            <v>132000</v>
          </cell>
          <cell r="K19">
            <v>0.9321685508735869</v>
          </cell>
        </row>
        <row r="21">
          <cell r="B21" t="str">
            <v>OTHER CAPITAL ASSETS</v>
          </cell>
        </row>
        <row r="22">
          <cell r="B22" t="str">
            <v>Meters</v>
          </cell>
          <cell r="D22">
            <v>343000</v>
          </cell>
          <cell r="F22">
            <v>343000</v>
          </cell>
          <cell r="G22">
            <v>162000</v>
          </cell>
          <cell r="I22">
            <v>162000</v>
          </cell>
          <cell r="J22">
            <v>181000</v>
          </cell>
          <cell r="K22">
            <v>0.47230320699708456</v>
          </cell>
        </row>
        <row r="23">
          <cell r="B23" t="str">
            <v>Office Equipment</v>
          </cell>
          <cell r="D23">
            <v>15000</v>
          </cell>
          <cell r="E23">
            <v>12000</v>
          </cell>
          <cell r="F23">
            <v>3000</v>
          </cell>
          <cell r="G23">
            <v>7000</v>
          </cell>
          <cell r="H23">
            <v>8000</v>
          </cell>
          <cell r="I23">
            <v>-1000</v>
          </cell>
          <cell r="J23">
            <v>4000</v>
          </cell>
          <cell r="K23">
            <v>-0.3333333333333333</v>
          </cell>
        </row>
        <row r="24">
          <cell r="B24" t="str">
            <v>Computer Equipment &amp; Programs</v>
          </cell>
          <cell r="D24">
            <v>110000</v>
          </cell>
          <cell r="E24">
            <v>21000</v>
          </cell>
          <cell r="F24">
            <v>89000</v>
          </cell>
          <cell r="G24">
            <v>129000</v>
          </cell>
          <cell r="H24">
            <v>14000</v>
          </cell>
          <cell r="I24">
            <v>115000</v>
          </cell>
          <cell r="J24">
            <v>-26000</v>
          </cell>
          <cell r="K24">
            <v>1.2921348314606742</v>
          </cell>
        </row>
        <row r="25">
          <cell r="B25" t="str">
            <v>Store Warehouse Equipment</v>
          </cell>
          <cell r="F25">
            <v>0</v>
          </cell>
          <cell r="I25">
            <v>0</v>
          </cell>
          <cell r="J25">
            <v>0</v>
          </cell>
          <cell r="K25" t="str">
            <v>  N/A</v>
          </cell>
        </row>
        <row r="26">
          <cell r="B26" t="str">
            <v>Rolling Stock</v>
          </cell>
          <cell r="D26">
            <v>126000</v>
          </cell>
          <cell r="E26">
            <v>71000</v>
          </cell>
          <cell r="F26">
            <v>55000</v>
          </cell>
          <cell r="G26">
            <v>76000</v>
          </cell>
          <cell r="H26">
            <v>47000</v>
          </cell>
          <cell r="I26">
            <v>29000</v>
          </cell>
          <cell r="J26">
            <v>26000</v>
          </cell>
          <cell r="K26">
            <v>0.5272727272727272</v>
          </cell>
        </row>
        <row r="27">
          <cell r="B27" t="str">
            <v>Major Tools</v>
          </cell>
          <cell r="D27">
            <v>37000</v>
          </cell>
          <cell r="F27">
            <v>37000</v>
          </cell>
          <cell r="G27">
            <v>33000</v>
          </cell>
          <cell r="I27">
            <v>33000</v>
          </cell>
          <cell r="J27">
            <v>4000</v>
          </cell>
          <cell r="K27">
            <v>0.8918918918918919</v>
          </cell>
        </row>
        <row r="28">
          <cell r="B28" t="str">
            <v>Communications Equipment</v>
          </cell>
          <cell r="D28">
            <v>4000</v>
          </cell>
          <cell r="F28">
            <v>4000</v>
          </cell>
          <cell r="G28">
            <v>10000</v>
          </cell>
          <cell r="I28">
            <v>10000</v>
          </cell>
          <cell r="J28">
            <v>-6000</v>
          </cell>
          <cell r="K28">
            <v>2.5</v>
          </cell>
        </row>
        <row r="29">
          <cell r="B29" t="str">
            <v>Water Heater Capital</v>
          </cell>
          <cell r="D29">
            <v>116000</v>
          </cell>
          <cell r="F29">
            <v>116000</v>
          </cell>
          <cell r="G29">
            <v>122000</v>
          </cell>
          <cell r="I29">
            <v>122000</v>
          </cell>
          <cell r="J29">
            <v>-6000</v>
          </cell>
          <cell r="K29">
            <v>1.0517241379310345</v>
          </cell>
        </row>
        <row r="30">
          <cell r="B30" t="str">
            <v>System Supervisory Equipment</v>
          </cell>
          <cell r="D30">
            <v>124000</v>
          </cell>
          <cell r="E30">
            <v>33000</v>
          </cell>
          <cell r="F30">
            <v>91000</v>
          </cell>
          <cell r="G30">
            <v>39000</v>
          </cell>
          <cell r="I30">
            <v>39000</v>
          </cell>
          <cell r="J30">
            <v>52000</v>
          </cell>
          <cell r="K30">
            <v>0.42857142857142855</v>
          </cell>
        </row>
        <row r="31">
          <cell r="D31">
            <v>875000</v>
          </cell>
          <cell r="E31">
            <v>137000</v>
          </cell>
          <cell r="F31">
            <v>738000</v>
          </cell>
          <cell r="G31">
            <v>578000</v>
          </cell>
          <cell r="H31">
            <v>69000</v>
          </cell>
          <cell r="I31">
            <v>509000</v>
          </cell>
          <cell r="J31">
            <v>229000</v>
          </cell>
          <cell r="K31">
            <v>0.6897018970189702</v>
          </cell>
        </row>
        <row r="32">
          <cell r="D32">
            <v>6701000</v>
          </cell>
          <cell r="E32">
            <v>4204000</v>
          </cell>
          <cell r="F32">
            <v>2497000</v>
          </cell>
          <cell r="G32">
            <v>6348000</v>
          </cell>
          <cell r="H32">
            <v>4143000</v>
          </cell>
          <cell r="I32">
            <v>2205000</v>
          </cell>
          <cell r="J32">
            <v>292000</v>
          </cell>
          <cell r="K32">
            <v>0.8830596716059271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LANCE portrait"/>
      <sheetName val="MACRO"/>
      <sheetName val="BALANCE (2)"/>
      <sheetName val="BALANCE"/>
      <sheetName val="AR_explan"/>
      <sheetName val="revenue_explan"/>
      <sheetName val="OPERATING_PORTRAIT"/>
      <sheetName val="TOWNOPERATING"/>
      <sheetName val="OPERATNG"/>
      <sheetName val="DATA"/>
      <sheetName val="ADJUSTMT"/>
      <sheetName val="GL_DETAIL"/>
      <sheetName val="CFLOW"/>
      <sheetName val="CAPITALEXP"/>
      <sheetName val="SCHANGES (2)"/>
      <sheetName val="SCHANGES"/>
      <sheetName val="SUPPLMT"/>
      <sheetName val="LASTYR"/>
      <sheetName val="PERFORM"/>
      <sheetName val="AVGCUST"/>
      <sheetName val="Operst_variance"/>
      <sheetName val="Bnk_Recon"/>
      <sheetName val="NOTES"/>
      <sheetName val="Q"/>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mp IS"/>
      <sheetName val="Comp Corpfomart"/>
      <sheetName val="Retain_SJP"/>
      <sheetName val="Retain_Corp"/>
    </sheetNames>
    <sheetDataSet>
      <sheetData sheetId="2">
        <row r="2">
          <cell r="E2" t="str">
            <v>ST. JOSEPH PRINTING</v>
          </cell>
          <cell r="H2">
            <v>36452.809599189815</v>
          </cell>
        </row>
        <row r="3">
          <cell r="E3" t="str">
            <v>CHANGES IN RETAINED EARNING</v>
          </cell>
        </row>
        <row r="4">
          <cell r="E4">
            <v>1999</v>
          </cell>
        </row>
        <row r="8">
          <cell r="B8" t="str">
            <v>Jan</v>
          </cell>
          <cell r="C8" t="str">
            <v>Feb</v>
          </cell>
          <cell r="D8" t="str">
            <v>Mar</v>
          </cell>
          <cell r="E8" t="str">
            <v>Apr</v>
          </cell>
          <cell r="F8" t="str">
            <v>May</v>
          </cell>
          <cell r="G8" t="str">
            <v>Jun</v>
          </cell>
          <cell r="H8" t="str">
            <v>YTD</v>
          </cell>
        </row>
        <row r="10">
          <cell r="A10" t="str">
            <v>Beginning Balance</v>
          </cell>
          <cell r="B10">
            <v>20894358</v>
          </cell>
          <cell r="C10">
            <v>20888753</v>
          </cell>
          <cell r="D10">
            <v>21307788</v>
          </cell>
          <cell r="E10">
            <v>21732104</v>
          </cell>
          <cell r="F10">
            <v>22210021</v>
          </cell>
          <cell r="G10">
            <v>22272743</v>
          </cell>
          <cell r="H10">
            <v>20894358</v>
          </cell>
        </row>
        <row r="12">
          <cell r="A12" t="str">
            <v>Net Income - SJP</v>
          </cell>
          <cell r="B12">
            <v>-3003</v>
          </cell>
          <cell r="C12">
            <v>412525</v>
          </cell>
          <cell r="D12">
            <v>835765</v>
          </cell>
          <cell r="E12">
            <v>467542</v>
          </cell>
          <cell r="F12">
            <v>61306</v>
          </cell>
          <cell r="G12">
            <v>-79605</v>
          </cell>
          <cell r="H12">
            <v>1694530</v>
          </cell>
        </row>
        <row r="14">
          <cell r="A14" t="str">
            <v>Net Income - PMG</v>
          </cell>
          <cell r="B14">
            <v>-2602</v>
          </cell>
          <cell r="C14">
            <v>6510</v>
          </cell>
          <cell r="D14">
            <v>-3428</v>
          </cell>
          <cell r="E14">
            <v>10375</v>
          </cell>
          <cell r="F14">
            <v>1416</v>
          </cell>
          <cell r="G14">
            <v>3276</v>
          </cell>
          <cell r="H14">
            <v>15547</v>
          </cell>
        </row>
        <row r="16">
          <cell r="A16" t="str">
            <v>Intercompany Dividend</v>
          </cell>
          <cell r="B16">
            <v>0</v>
          </cell>
          <cell r="C16">
            <v>0</v>
          </cell>
          <cell r="D16">
            <v>-408021</v>
          </cell>
          <cell r="E16">
            <v>0</v>
          </cell>
          <cell r="F16">
            <v>0</v>
          </cell>
          <cell r="H16">
            <v>-408021</v>
          </cell>
        </row>
        <row r="18">
          <cell r="A18" t="str">
            <v>Ending Balance</v>
          </cell>
          <cell r="B18">
            <v>20888753</v>
          </cell>
          <cell r="C18">
            <v>21307788</v>
          </cell>
          <cell r="D18">
            <v>21732104</v>
          </cell>
          <cell r="E18">
            <v>22210021</v>
          </cell>
          <cell r="F18">
            <v>22272743</v>
          </cell>
          <cell r="G18">
            <v>22196414</v>
          </cell>
          <cell r="H18">
            <v>22196414</v>
          </cell>
        </row>
        <row r="23">
          <cell r="B23" t="str">
            <v>Jul</v>
          </cell>
          <cell r="C23" t="str">
            <v>Aug</v>
          </cell>
          <cell r="D23" t="str">
            <v>Sep</v>
          </cell>
          <cell r="E23" t="str">
            <v>Oct</v>
          </cell>
          <cell r="F23" t="str">
            <v>Nov</v>
          </cell>
          <cell r="G23" t="str">
            <v>Dec</v>
          </cell>
          <cell r="H23" t="str">
            <v>YTD</v>
          </cell>
        </row>
        <row r="25">
          <cell r="A25" t="str">
            <v>Beginning Balance</v>
          </cell>
          <cell r="B25">
            <v>22196414</v>
          </cell>
          <cell r="C25">
            <v>21751413</v>
          </cell>
          <cell r="D25">
            <v>22411509</v>
          </cell>
          <cell r="E25">
            <v>22411509</v>
          </cell>
          <cell r="F25">
            <v>22411509</v>
          </cell>
          <cell r="G25">
            <v>22411509</v>
          </cell>
          <cell r="H25">
            <v>20894358</v>
          </cell>
        </row>
        <row r="27">
          <cell r="A27" t="str">
            <v>Net Income - SJP</v>
          </cell>
          <cell r="B27">
            <v>-33325</v>
          </cell>
          <cell r="C27">
            <v>451051</v>
          </cell>
          <cell r="H27">
            <v>2112256</v>
          </cell>
        </row>
        <row r="29">
          <cell r="A29" t="str">
            <v>Net Income - PMG</v>
          </cell>
          <cell r="B29">
            <v>-3653</v>
          </cell>
          <cell r="C29">
            <v>209045</v>
          </cell>
          <cell r="H29">
            <v>220939</v>
          </cell>
        </row>
        <row r="31">
          <cell r="A31" t="str">
            <v>Intercompany Dividend</v>
          </cell>
          <cell r="B31">
            <v>-408023</v>
          </cell>
          <cell r="H31">
            <v>-816044</v>
          </cell>
        </row>
        <row r="33">
          <cell r="A33" t="str">
            <v>Ending Balance</v>
          </cell>
          <cell r="B33">
            <v>21751413</v>
          </cell>
          <cell r="C33">
            <v>22411509</v>
          </cell>
          <cell r="D33">
            <v>22411509</v>
          </cell>
          <cell r="E33">
            <v>22411509</v>
          </cell>
          <cell r="F33">
            <v>22411509</v>
          </cell>
          <cell r="G33">
            <v>22411509</v>
          </cell>
          <cell r="H33">
            <v>22411509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mp IS"/>
      <sheetName val="Comp Corpfomart"/>
      <sheetName val="Retain_SJP"/>
      <sheetName val="Retain_Corp"/>
    </sheetNames>
    <sheetDataSet>
      <sheetData sheetId="2">
        <row r="2">
          <cell r="E2" t="str">
            <v>ST. JOSEPH PRINTING</v>
          </cell>
          <cell r="H2">
            <v>36452.809599189815</v>
          </cell>
        </row>
        <row r="3">
          <cell r="E3" t="str">
            <v>CHANGES IN RETAINED EARNING</v>
          </cell>
        </row>
        <row r="4">
          <cell r="E4">
            <v>1999</v>
          </cell>
        </row>
        <row r="8">
          <cell r="B8" t="str">
            <v>Jan</v>
          </cell>
          <cell r="C8" t="str">
            <v>Feb</v>
          </cell>
          <cell r="D8" t="str">
            <v>Mar</v>
          </cell>
          <cell r="E8" t="str">
            <v>Apr</v>
          </cell>
          <cell r="F8" t="str">
            <v>May</v>
          </cell>
          <cell r="G8" t="str">
            <v>Jun</v>
          </cell>
          <cell r="H8" t="str">
            <v>YTD</v>
          </cell>
        </row>
        <row r="10">
          <cell r="A10" t="str">
            <v>Beginning Balance</v>
          </cell>
          <cell r="B10">
            <v>20894358</v>
          </cell>
          <cell r="C10">
            <v>20888753</v>
          </cell>
          <cell r="D10">
            <v>21307788</v>
          </cell>
          <cell r="E10">
            <v>21732104</v>
          </cell>
          <cell r="F10">
            <v>22210021</v>
          </cell>
          <cell r="G10">
            <v>22272743</v>
          </cell>
          <cell r="H10">
            <v>20894358</v>
          </cell>
        </row>
        <row r="12">
          <cell r="A12" t="str">
            <v>Net Income - SJP</v>
          </cell>
          <cell r="B12">
            <v>-3003</v>
          </cell>
          <cell r="C12">
            <v>412525</v>
          </cell>
          <cell r="D12">
            <v>835765</v>
          </cell>
          <cell r="E12">
            <v>467542</v>
          </cell>
          <cell r="F12">
            <v>61306</v>
          </cell>
          <cell r="G12">
            <v>-79605</v>
          </cell>
          <cell r="H12">
            <v>1694530</v>
          </cell>
        </row>
        <row r="14">
          <cell r="A14" t="str">
            <v>Net Income - PMG</v>
          </cell>
          <cell r="B14">
            <v>-2602</v>
          </cell>
          <cell r="C14">
            <v>6510</v>
          </cell>
          <cell r="D14">
            <v>-3428</v>
          </cell>
          <cell r="E14">
            <v>10375</v>
          </cell>
          <cell r="F14">
            <v>1416</v>
          </cell>
          <cell r="G14">
            <v>3276</v>
          </cell>
          <cell r="H14">
            <v>15547</v>
          </cell>
        </row>
        <row r="16">
          <cell r="A16" t="str">
            <v>Intercompany Dividend</v>
          </cell>
          <cell r="B16">
            <v>0</v>
          </cell>
          <cell r="C16">
            <v>0</v>
          </cell>
          <cell r="D16">
            <v>-408021</v>
          </cell>
          <cell r="E16">
            <v>0</v>
          </cell>
          <cell r="F16">
            <v>0</v>
          </cell>
          <cell r="H16">
            <v>-408021</v>
          </cell>
        </row>
        <row r="18">
          <cell r="A18" t="str">
            <v>Ending Balance</v>
          </cell>
          <cell r="B18">
            <v>20888753</v>
          </cell>
          <cell r="C18">
            <v>21307788</v>
          </cell>
          <cell r="D18">
            <v>21732104</v>
          </cell>
          <cell r="E18">
            <v>22210021</v>
          </cell>
          <cell r="F18">
            <v>22272743</v>
          </cell>
          <cell r="G18">
            <v>22196414</v>
          </cell>
          <cell r="H18">
            <v>22196414</v>
          </cell>
        </row>
        <row r="23">
          <cell r="B23" t="str">
            <v>Jul</v>
          </cell>
          <cell r="C23" t="str">
            <v>Aug</v>
          </cell>
          <cell r="D23" t="str">
            <v>Sep</v>
          </cell>
          <cell r="E23" t="str">
            <v>Oct</v>
          </cell>
          <cell r="F23" t="str">
            <v>Nov</v>
          </cell>
          <cell r="G23" t="str">
            <v>Dec</v>
          </cell>
          <cell r="H23" t="str">
            <v>YTD</v>
          </cell>
        </row>
        <row r="25">
          <cell r="A25" t="str">
            <v>Beginning Balance</v>
          </cell>
          <cell r="B25">
            <v>22196414</v>
          </cell>
          <cell r="C25">
            <v>21751413</v>
          </cell>
          <cell r="D25">
            <v>22411509</v>
          </cell>
          <cell r="E25">
            <v>22411509</v>
          </cell>
          <cell r="F25">
            <v>22411509</v>
          </cell>
          <cell r="G25">
            <v>22411509</v>
          </cell>
          <cell r="H25">
            <v>20894358</v>
          </cell>
        </row>
        <row r="27">
          <cell r="A27" t="str">
            <v>Net Income - SJP</v>
          </cell>
          <cell r="B27">
            <v>-33325</v>
          </cell>
          <cell r="C27">
            <v>451051</v>
          </cell>
          <cell r="H27">
            <v>2112256</v>
          </cell>
        </row>
        <row r="29">
          <cell r="A29" t="str">
            <v>Net Income - PMG</v>
          </cell>
          <cell r="B29">
            <v>-3653</v>
          </cell>
          <cell r="C29">
            <v>209045</v>
          </cell>
          <cell r="H29">
            <v>220939</v>
          </cell>
        </row>
        <row r="31">
          <cell r="A31" t="str">
            <v>Intercompany Dividend</v>
          </cell>
          <cell r="B31">
            <v>-408023</v>
          </cell>
          <cell r="H31">
            <v>-816044</v>
          </cell>
        </row>
        <row r="33">
          <cell r="A33" t="str">
            <v>Ending Balance</v>
          </cell>
          <cell r="B33">
            <v>21751413</v>
          </cell>
          <cell r="C33">
            <v>22411509</v>
          </cell>
          <cell r="D33">
            <v>22411509</v>
          </cell>
          <cell r="E33">
            <v>22411509</v>
          </cell>
          <cell r="F33">
            <v>22411509</v>
          </cell>
          <cell r="G33">
            <v>22411509</v>
          </cell>
          <cell r="H33">
            <v>22411509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mmary of Key Ratios"/>
      <sheetName val="MACRO"/>
      <sheetName val="NOTES"/>
      <sheetName val="Bal_ExternalReporting"/>
      <sheetName val="Operat_ExternalReporting"/>
      <sheetName val="SCHANGES_ExternalReporting"/>
      <sheetName val="Interest accrual"/>
      <sheetName val="GL_DETAIL"/>
      <sheetName val="BALANCE"/>
      <sheetName val="Bal_side_land_SCH3"/>
      <sheetName val="ADJUSTMT"/>
      <sheetName val="Operat_Cond_land (2)"/>
      <sheetName val="Operat_Cond_land"/>
      <sheetName val="Operating_qtr"/>
      <sheetName val="OperatQTR_Cond_land_SCH2 "/>
      <sheetName val="TOWNOPERATING_LAND"/>
      <sheetName val="Operst_variance (2)"/>
      <sheetName val="Explanation"/>
      <sheetName val="Operst_variance"/>
      <sheetName val="CFLOW"/>
      <sheetName val="CapexpQTR_SCH1"/>
      <sheetName val="Capexp"/>
      <sheetName val="Cap_Sum_Activity (2)"/>
      <sheetName val="CapexpSum"/>
      <sheetName val="SCHANGES"/>
      <sheetName val="SUPPLMT"/>
      <sheetName val="Cap_Sum_Activity"/>
      <sheetName val="DATA"/>
      <sheetName val="OPERATNG"/>
      <sheetName val="TAXES (2)"/>
      <sheetName val="TAXES (3)"/>
      <sheetName val="2002taxes"/>
      <sheetName val="TAXES_by_gl"/>
      <sheetName val="TAXES_by_yr"/>
      <sheetName val="Regul_Assets_Word"/>
      <sheetName val="Regul_Assets"/>
      <sheetName val="PERFORM"/>
      <sheetName val="LASTYR"/>
      <sheetName val="AVGCUST"/>
      <sheetName val="Sheet1"/>
      <sheetName val="BAL_QUARTER"/>
      <sheetName val="CAPITALEXP"/>
      <sheetName val="Bal_side"/>
      <sheetName val="TOWNOPERATING"/>
      <sheetName val="Operating_qtr (3)"/>
      <sheetName val="Operating_qtr (2)"/>
      <sheetName val="Operating_qtr_LYear"/>
    </sheetNames>
    <sheetDataSet>
      <sheetData sheetId="27">
        <row r="226">
          <cell r="C226">
            <v>-24501263.47</v>
          </cell>
        </row>
        <row r="227">
          <cell r="C227">
            <v>0</v>
          </cell>
        </row>
        <row r="228">
          <cell r="C228">
            <v>-57474497.67</v>
          </cell>
        </row>
        <row r="229">
          <cell r="C229">
            <v>0</v>
          </cell>
        </row>
        <row r="233">
          <cell r="C233">
            <v>-827.77</v>
          </cell>
        </row>
        <row r="234">
          <cell r="C234">
            <v>0</v>
          </cell>
        </row>
        <row r="235">
          <cell r="C235">
            <v>0</v>
          </cell>
        </row>
        <row r="236">
          <cell r="C236">
            <v>0</v>
          </cell>
        </row>
        <row r="237">
          <cell r="C237">
            <v>-622810.14</v>
          </cell>
        </row>
        <row r="238">
          <cell r="C238">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pp.2-K Employee Cost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ACRO"/>
      <sheetName val="Schedules"/>
      <sheetName val="QuarterlyNotesFS"/>
      <sheetName val="Bal_ExternalReporting"/>
      <sheetName val="SCHANGES_ExternalReporting"/>
      <sheetName val="Operat_ExternalReporting"/>
      <sheetName val="Bal_side_land"/>
      <sheetName val="Bal_side"/>
      <sheetName val="TOWNOPERATING"/>
      <sheetName val="Operat_Cond_land (2)"/>
      <sheetName val="Operat_Cond_land"/>
      <sheetName val="Operating_qtr"/>
      <sheetName val="OperatQTR_Cond_land "/>
      <sheetName val="OPERATNG"/>
      <sheetName val="GL_DETAIL"/>
      <sheetName val="Operst_variance (2)"/>
      <sheetName val="Operst_variance"/>
      <sheetName val="DATA"/>
      <sheetName val="ADJUSTMT"/>
      <sheetName val="BALANCE"/>
      <sheetName val="Explanation"/>
      <sheetName val="TOWNOPERATING_LAND"/>
      <sheetName val="Regul_Assets"/>
      <sheetName val="TAXES"/>
      <sheetName val="Operating_qtr (3)"/>
      <sheetName val="Operating_qtr (2)"/>
      <sheetName val="Operating_qtr_LYear"/>
      <sheetName val="Capexp"/>
      <sheetName val="CapexpQTR"/>
      <sheetName val="Cap_Sum_Activity (2)"/>
      <sheetName val="Cap_Sum_Activity"/>
      <sheetName val="CapexpSum"/>
      <sheetName val="SCHANGES"/>
      <sheetName val="CFLOW"/>
      <sheetName val="SUPPLMT"/>
      <sheetName val="LASTYR"/>
      <sheetName val="PERFORM"/>
      <sheetName val="AVGCUST"/>
      <sheetName val="Sheet1"/>
      <sheetName val="BAL_QUARTER"/>
      <sheetName val="CAPITALEXP"/>
    </sheetNames>
    <sheetDataSet>
      <sheetData sheetId="17">
        <row r="223">
          <cell r="C223">
            <v>-8814607.48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STATE 1997"/>
      <sheetName val="1997 FS RESTATE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F Networ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ES (3)"/>
      <sheetName val="TAXES (2)"/>
      <sheetName val="MACRO"/>
      <sheetName val="NOTES"/>
      <sheetName val="Bal_ExternalReporting"/>
      <sheetName val="Operat_ExternalReporting"/>
      <sheetName val="SCHANGES_ExternalReporting"/>
      <sheetName val="Loan Interest Accrual"/>
      <sheetName val="ADJUSTMT"/>
      <sheetName val="DATA"/>
      <sheetName val="BALANCE"/>
      <sheetName val="Bal_side_land"/>
      <sheetName val="TOWNOPERATING_LAND"/>
      <sheetName val="OPERATNG"/>
      <sheetName val="GL_DETAIL"/>
      <sheetName val="Operat_Cond_land (2)"/>
      <sheetName val="Operat_Cond_land"/>
      <sheetName val="Operating_qtr"/>
      <sheetName val="OperatQTR_Cond_land "/>
      <sheetName val="Explanation"/>
      <sheetName val="Operst_variance (2)"/>
      <sheetName val="Operst_variance"/>
      <sheetName val="Capexp"/>
      <sheetName val="Cap_Sum_Activity (2)"/>
      <sheetName val="Cap_Sum_Activity"/>
      <sheetName val="CapexpQTR"/>
      <sheetName val="CapexpSum"/>
      <sheetName val="SCHANGES"/>
      <sheetName val="2002"/>
      <sheetName val="TAXES_by_yr"/>
      <sheetName val="TAXES_by_gl"/>
      <sheetName val="CFLOW"/>
      <sheetName val="SUPPLMT"/>
      <sheetName val="LASTYR"/>
      <sheetName val="PERFORM"/>
      <sheetName val="AVGCUST"/>
      <sheetName val="Sheet1"/>
      <sheetName val="Regul_Asse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Emp Sept 15th"/>
      <sheetName val="Emp Sept 15th (2)"/>
      <sheetName val="CDM"/>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lf Concord"/>
      <sheetName val="FinStateOperMAY98"/>
      <sheetName val="FinStateOperJUNE98"/>
      <sheetName val="FinStateOperJULY98"/>
      <sheetName val="FinStateOperAUGUST98"/>
      <sheetName val="FinStateOperSEPTEMBER98"/>
      <sheetName val="FinStateOperOCTOBER98"/>
      <sheetName val="consolNOVEMBER98"/>
      <sheetName val="printnetindOCTOBER98"/>
      <sheetName val="printnetcombOCTOBER98"/>
      <sheetName val="OCT PRELIM MONTHLY RESULTS"/>
      <sheetName val="FinStatOCTOBER98"/>
      <sheetName val="consolOCTOBER98"/>
      <sheetName val="NOV PRELIM MONTHLY RESULTS"/>
    </sheetNames>
    <sheetDataSet>
      <sheetData sheetId="1">
        <row r="1">
          <cell r="A1" t="str">
            <v>ST. JOSEPH PRINTING LIMITED</v>
          </cell>
          <cell r="W1" t="str">
            <v>ST. JOSEPH PRINTING LIMITED</v>
          </cell>
        </row>
        <row r="2">
          <cell r="A2" t="str">
            <v>CONSOLIDATED INCOME STATEMENT</v>
          </cell>
          <cell r="W2" t="str">
            <v>CONSOLIDATED INCOME STATEMENT</v>
          </cell>
        </row>
        <row r="3">
          <cell r="A3" t="str">
            <v>MONTH OF MAY 1998</v>
          </cell>
          <cell r="W3" t="str">
            <v>FIVE MONTH PERIOD ENDING  MAY 1998</v>
          </cell>
        </row>
        <row r="5">
          <cell r="F5" t="str">
            <v>1998 Actual</v>
          </cell>
          <cell r="L5" t="str">
            <v>1998 Budget</v>
          </cell>
          <cell r="R5" t="str">
            <v>1997 Actual</v>
          </cell>
        </row>
        <row r="6">
          <cell r="E6" t="str">
            <v>$</v>
          </cell>
          <cell r="G6" t="str">
            <v>Sls %</v>
          </cell>
          <cell r="I6" t="str">
            <v>VA %</v>
          </cell>
          <cell r="K6" t="str">
            <v>$</v>
          </cell>
          <cell r="M6" t="str">
            <v>Sls %</v>
          </cell>
          <cell r="O6" t="str">
            <v>VA %</v>
          </cell>
          <cell r="Q6" t="str">
            <v>$</v>
          </cell>
          <cell r="S6" t="str">
            <v>Sls %</v>
          </cell>
          <cell r="U6" t="str">
            <v>VA %</v>
          </cell>
        </row>
        <row r="8">
          <cell r="A8" t="str">
            <v>SALES</v>
          </cell>
          <cell r="E8">
            <v>17974756</v>
          </cell>
          <cell r="G8">
            <v>1</v>
          </cell>
          <cell r="K8">
            <v>19719364</v>
          </cell>
          <cell r="M8">
            <v>1</v>
          </cell>
          <cell r="Q8">
            <v>12996866</v>
          </cell>
          <cell r="S8">
            <v>1</v>
          </cell>
          <cell r="W8" t="str">
            <v>SALES</v>
          </cell>
        </row>
        <row r="10">
          <cell r="A10" t="str">
            <v>MATERIALS &amp; OUTSIDE SERVICES</v>
          </cell>
          <cell r="E10">
            <v>7223937</v>
          </cell>
          <cell r="G10">
            <v>0.40189346659281494</v>
          </cell>
          <cell r="K10">
            <v>7604885</v>
          </cell>
          <cell r="M10">
            <v>0.38565569356090795</v>
          </cell>
          <cell r="Q10">
            <v>4225138</v>
          </cell>
          <cell r="S10">
            <v>0.3250889868372883</v>
          </cell>
          <cell r="W10" t="str">
            <v>MATERIALS &amp; OUTSIDE SERVICES</v>
          </cell>
        </row>
        <row r="12">
          <cell r="A12" t="str">
            <v>VALUE ADDED</v>
          </cell>
          <cell r="E12">
            <v>10750819</v>
          </cell>
          <cell r="G12">
            <v>0.598106533407185</v>
          </cell>
          <cell r="I12">
            <v>1</v>
          </cell>
          <cell r="K12">
            <v>12114479</v>
          </cell>
          <cell r="M12">
            <v>0.6143443064390921</v>
          </cell>
          <cell r="O12">
            <v>1</v>
          </cell>
          <cell r="Q12">
            <v>8771728</v>
          </cell>
          <cell r="S12">
            <v>0.6749110131627117</v>
          </cell>
          <cell r="U12">
            <v>1</v>
          </cell>
          <cell r="W12" t="str">
            <v>VALUE ADDED</v>
          </cell>
        </row>
        <row r="14">
          <cell r="A14" t="str">
            <v>DIRECT COSTS</v>
          </cell>
          <cell r="E14">
            <v>4281385</v>
          </cell>
          <cell r="G14">
            <v>0.23818876873766742</v>
          </cell>
          <cell r="I14">
            <v>0.39823803191180135</v>
          </cell>
          <cell r="K14">
            <v>4470502</v>
          </cell>
          <cell r="M14">
            <v>0.2267061960010475</v>
          </cell>
          <cell r="O14">
            <v>0.3690213999297865</v>
          </cell>
          <cell r="Q14">
            <v>5229107</v>
          </cell>
          <cell r="S14">
            <v>0.40233599392345815</v>
          </cell>
          <cell r="U14">
            <v>0.5961319138030727</v>
          </cell>
          <cell r="W14" t="str">
            <v>DIRECT COSTS</v>
          </cell>
        </row>
        <row r="16">
          <cell r="A16" t="str">
            <v>GROSS PROFIT</v>
          </cell>
          <cell r="E16">
            <v>6469434</v>
          </cell>
          <cell r="G16">
            <v>0.35991776466951764</v>
          </cell>
          <cell r="I16">
            <v>0.6017619680881987</v>
          </cell>
          <cell r="K16">
            <v>7643977</v>
          </cell>
          <cell r="M16">
            <v>0.3876381104380446</v>
          </cell>
          <cell r="O16">
            <v>0.6309786000702136</v>
          </cell>
          <cell r="Q16">
            <v>3542621</v>
          </cell>
          <cell r="S16">
            <v>0.27257501923925354</v>
          </cell>
          <cell r="U16">
            <v>0.4038680861969272</v>
          </cell>
          <cell r="W16" t="str">
            <v>GROSS PROFIT</v>
          </cell>
        </row>
        <row r="18">
          <cell r="A18" t="str">
            <v>OTHER OPERATING COSTS</v>
          </cell>
          <cell r="W18" t="str">
            <v>OTHER OPERATING COSTS</v>
          </cell>
        </row>
        <row r="19">
          <cell r="A19" t="str">
            <v>  Indirect factory expenses</v>
          </cell>
          <cell r="E19">
            <v>2277639</v>
          </cell>
          <cell r="G19">
            <v>0.1267132082349268</v>
          </cell>
          <cell r="I19">
            <v>0.21185725478217055</v>
          </cell>
          <cell r="K19">
            <v>2680474</v>
          </cell>
          <cell r="M19">
            <v>0.1359310574113851</v>
          </cell>
          <cell r="O19">
            <v>0.22126201217567837</v>
          </cell>
          <cell r="Q19">
            <v>-989448</v>
          </cell>
          <cell r="S19">
            <v>-0.07612973773831322</v>
          </cell>
          <cell r="U19">
            <v>-0.11279966729474512</v>
          </cell>
          <cell r="W19" t="str">
            <v>  Indirect factory expenses</v>
          </cell>
        </row>
        <row r="20">
          <cell r="A20" t="str">
            <v>  Administrative expenses</v>
          </cell>
          <cell r="E20">
            <v>678228</v>
          </cell>
          <cell r="G20">
            <v>0.0377322507187302</v>
          </cell>
          <cell r="I20">
            <v>0.06308617045826927</v>
          </cell>
          <cell r="K20">
            <v>1922822</v>
          </cell>
          <cell r="M20">
            <v>0.09750933143685567</v>
          </cell>
          <cell r="O20">
            <v>0.15872098172773258</v>
          </cell>
          <cell r="Q20">
            <v>1571810</v>
          </cell>
          <cell r="S20">
            <v>0.12093761680700563</v>
          </cell>
          <cell r="U20">
            <v>0.17919046281416842</v>
          </cell>
          <cell r="W20" t="str">
            <v>  Administrative expenses</v>
          </cell>
        </row>
        <row r="21">
          <cell r="A21" t="str">
            <v>  Selling expenses</v>
          </cell>
          <cell r="E21">
            <v>532716</v>
          </cell>
          <cell r="G21">
            <v>0.029636897435492308</v>
          </cell>
          <cell r="I21">
            <v>0.04955120163403365</v>
          </cell>
          <cell r="K21">
            <v>666346</v>
          </cell>
          <cell r="M21">
            <v>0.033791454937390476</v>
          </cell>
          <cell r="O21">
            <v>0.05500409881431963</v>
          </cell>
          <cell r="Q21">
            <v>451293</v>
          </cell>
          <cell r="S21">
            <v>0.03472321712018882</v>
          </cell>
          <cell r="U21">
            <v>0.051448585729060456</v>
          </cell>
          <cell r="W21" t="str">
            <v>  Selling expenses</v>
          </cell>
        </row>
        <row r="23">
          <cell r="E23">
            <v>3488583</v>
          </cell>
          <cell r="G23">
            <v>0.1940823563891493</v>
          </cell>
          <cell r="I23">
            <v>0.32449462687447345</v>
          </cell>
          <cell r="K23">
            <v>5269642</v>
          </cell>
          <cell r="M23">
            <v>0.2672318437856312</v>
          </cell>
          <cell r="O23">
            <v>0.43498709271773056</v>
          </cell>
          <cell r="Q23">
            <v>1033655</v>
          </cell>
          <cell r="S23">
            <v>0.07953109618888123</v>
          </cell>
          <cell r="U23">
            <v>0.11783938124848377</v>
          </cell>
        </row>
        <row r="25">
          <cell r="A25" t="str">
            <v>EBITDA</v>
          </cell>
          <cell r="E25">
            <v>2980851</v>
          </cell>
          <cell r="G25">
            <v>0.1658354082803683</v>
          </cell>
          <cell r="I25">
            <v>0.2772673412137252</v>
          </cell>
          <cell r="K25">
            <v>2374335</v>
          </cell>
          <cell r="M25">
            <v>0.12040626665241333</v>
          </cell>
          <cell r="O25">
            <v>0.1959915073524829</v>
          </cell>
          <cell r="Q25">
            <v>2508966</v>
          </cell>
          <cell r="S25">
            <v>0.1930439230503723</v>
          </cell>
          <cell r="U25">
            <v>0.28602870494844346</v>
          </cell>
          <cell r="W25" t="str">
            <v>EBITDA</v>
          </cell>
        </row>
        <row r="27">
          <cell r="A27" t="str">
            <v>INTEREST </v>
          </cell>
          <cell r="E27">
            <v>454573</v>
          </cell>
          <cell r="G27">
            <v>0.025289522706177486</v>
          </cell>
          <cell r="I27">
            <v>0.0422826391180058</v>
          </cell>
          <cell r="K27">
            <v>457547</v>
          </cell>
          <cell r="M27">
            <v>0.023202928857137584</v>
          </cell>
          <cell r="O27">
            <v>0.037768607300404745</v>
          </cell>
          <cell r="Q27">
            <v>315302</v>
          </cell>
          <cell r="S27">
            <v>0.024259848489628193</v>
          </cell>
          <cell r="U27">
            <v>0.03594525502842769</v>
          </cell>
          <cell r="W27" t="str">
            <v>INTEREST </v>
          </cell>
        </row>
        <row r="29">
          <cell r="A29" t="str">
            <v>DEPRECIATION</v>
          </cell>
          <cell r="E29">
            <v>735656</v>
          </cell>
          <cell r="G29">
            <v>0.04092717586820094</v>
          </cell>
          <cell r="I29">
            <v>0.068427903027667</v>
          </cell>
          <cell r="K29">
            <v>1156592</v>
          </cell>
          <cell r="M29">
            <v>0.058652601574776954</v>
          </cell>
          <cell r="O29">
            <v>0.09547187295466854</v>
          </cell>
          <cell r="Q29">
            <v>857702</v>
          </cell>
          <cell r="S29">
            <v>0.06599298630916099</v>
          </cell>
          <cell r="U29">
            <v>0.09778027772862997</v>
          </cell>
          <cell r="W29" t="str">
            <v>DEPRECIATION</v>
          </cell>
        </row>
        <row r="31">
          <cell r="A31" t="str">
            <v>INCOME BEFORE THE UNDERNOTED</v>
          </cell>
          <cell r="E31">
            <v>1790622</v>
          </cell>
          <cell r="G31">
            <v>0.09961870970598989</v>
          </cell>
          <cell r="I31">
            <v>0.1665567990680524</v>
          </cell>
          <cell r="K31">
            <v>760196</v>
          </cell>
          <cell r="M31">
            <v>0.038550736220498795</v>
          </cell>
          <cell r="O31">
            <v>0.06275102709740964</v>
          </cell>
          <cell r="Q31">
            <v>1335962</v>
          </cell>
          <cell r="S31">
            <v>0.10279108825158312</v>
          </cell>
          <cell r="U31">
            <v>0.15230317219138578</v>
          </cell>
          <cell r="W31" t="str">
            <v>INCOME BEFORE THE UNDERNOTED</v>
          </cell>
        </row>
        <row r="33">
          <cell r="A33" t="str">
            <v>NON RECURRING ITEMS</v>
          </cell>
          <cell r="E33">
            <v>-12000</v>
          </cell>
          <cell r="G33">
            <v>-0.0006676029427047577</v>
          </cell>
          <cell r="I33">
            <v>-0.0011161940313570528</v>
          </cell>
          <cell r="K33">
            <v>0</v>
          </cell>
          <cell r="M33">
            <v>0</v>
          </cell>
          <cell r="O33">
            <v>0</v>
          </cell>
          <cell r="Q33">
            <v>0</v>
          </cell>
          <cell r="S33">
            <v>0</v>
          </cell>
          <cell r="U33">
            <v>0</v>
          </cell>
          <cell r="W33" t="str">
            <v>NON RECURRING ITEMS</v>
          </cell>
        </row>
        <row r="35">
          <cell r="A35" t="str">
            <v>INCOME BEFORE TAX</v>
          </cell>
          <cell r="E35">
            <v>1802622</v>
          </cell>
          <cell r="G35">
            <v>0.10028631264869464</v>
          </cell>
          <cell r="I35">
            <v>0.16767299309940945</v>
          </cell>
          <cell r="K35">
            <v>760196</v>
          </cell>
          <cell r="M35">
            <v>0.038550736220498795</v>
          </cell>
          <cell r="O35">
            <v>0.06275102709740964</v>
          </cell>
          <cell r="Q35">
            <v>1335962</v>
          </cell>
          <cell r="S35">
            <v>0.10279108825158312</v>
          </cell>
          <cell r="U35">
            <v>0.15230317219138578</v>
          </cell>
          <cell r="W35" t="str">
            <v>INCOME BEFORE TAX</v>
          </cell>
        </row>
        <row r="37">
          <cell r="A37" t="str">
            <v>PROVISION (RECOVERY) FOR INCOME TAXES</v>
          </cell>
          <cell r="W37" t="str">
            <v>PROVISION (RECOVERY) FOR INCOME TAXES</v>
          </cell>
        </row>
        <row r="38">
          <cell r="A38" t="str">
            <v>  - Current</v>
          </cell>
          <cell r="E38">
            <v>591745.76</v>
          </cell>
          <cell r="G38">
            <v>0.032920934225755275</v>
          </cell>
          <cell r="I38">
            <v>0.05504192378273692</v>
          </cell>
          <cell r="K38">
            <v>300282</v>
          </cell>
          <cell r="M38">
            <v>0.015227773066109028</v>
          </cell>
          <cell r="O38">
            <v>0.024787033763482524</v>
          </cell>
          <cell r="Q38">
            <v>527931</v>
          </cell>
          <cell r="S38">
            <v>0.04061986943621639</v>
          </cell>
          <cell r="U38">
            <v>0.060185518748415365</v>
          </cell>
          <cell r="W38" t="str">
            <v>  - Current</v>
          </cell>
        </row>
        <row r="39">
          <cell r="A39" t="str">
            <v>  - Deferred</v>
          </cell>
          <cell r="E39">
            <v>0</v>
          </cell>
          <cell r="G39">
            <v>0</v>
          </cell>
          <cell r="I39">
            <v>0</v>
          </cell>
          <cell r="K39">
            <v>0</v>
          </cell>
          <cell r="M39">
            <v>0</v>
          </cell>
          <cell r="O39">
            <v>0</v>
          </cell>
          <cell r="Q39">
            <v>0</v>
          </cell>
          <cell r="S39">
            <v>0</v>
          </cell>
          <cell r="U39">
            <v>0</v>
          </cell>
          <cell r="W39" t="str">
            <v>  - Deferred</v>
          </cell>
        </row>
        <row r="41">
          <cell r="E41">
            <v>591745.76</v>
          </cell>
          <cell r="G41">
            <v>0.032920934225755275</v>
          </cell>
          <cell r="I41">
            <v>0.05504192378273692</v>
          </cell>
          <cell r="K41">
            <v>300282</v>
          </cell>
          <cell r="M41">
            <v>0.015227773066109028</v>
          </cell>
          <cell r="O41">
            <v>0.024787033763482524</v>
          </cell>
          <cell r="Q41">
            <v>527931</v>
          </cell>
          <cell r="S41">
            <v>0.04061986943621639</v>
          </cell>
          <cell r="U41">
            <v>0.060185518748415365</v>
          </cell>
        </row>
        <row r="43">
          <cell r="A43" t="str">
            <v>NET INCOME FOR THE PERIOD</v>
          </cell>
          <cell r="E43">
            <v>1210876.24</v>
          </cell>
          <cell r="G43">
            <v>0.06736537842293937</v>
          </cell>
          <cell r="I43">
            <v>0.11263106931667252</v>
          </cell>
          <cell r="K43">
            <v>459914</v>
          </cell>
          <cell r="M43">
            <v>0.023322963154389767</v>
          </cell>
          <cell r="O43">
            <v>0.03796399333392712</v>
          </cell>
          <cell r="Q43">
            <v>808031</v>
          </cell>
          <cell r="S43">
            <v>0.06217121881536672</v>
          </cell>
          <cell r="U43">
            <v>0.09211765344297042</v>
          </cell>
          <cell r="W43" t="str">
            <v>NET INCOME FOR THE PERIOD</v>
          </cell>
        </row>
        <row r="46">
          <cell r="A46" t="str">
            <v>PRINTING DIVISION</v>
          </cell>
          <cell r="W46" t="str">
            <v>PRINTING DIVISION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A Statistics"/>
      <sheetName val="North York Stat"/>
      <sheetName val="MEA Title Pge"/>
      <sheetName val="Old MEA Statistics"/>
    </sheetNames>
    <sheetDataSet>
      <sheetData sheetId="3">
        <row r="1">
          <cell r="B1" t="str">
            <v>SUMMARY</v>
          </cell>
          <cell r="E1" t="str">
            <v>Pg.</v>
          </cell>
          <cell r="F1" t="str">
            <v>Avg _ All MEU's</v>
          </cell>
          <cell r="G1">
            <v>1996</v>
          </cell>
          <cell r="H1">
            <v>1995</v>
          </cell>
          <cell r="I1">
            <v>1994</v>
          </cell>
          <cell r="J1">
            <v>1993</v>
          </cell>
          <cell r="K1">
            <v>1992</v>
          </cell>
          <cell r="L1">
            <v>1991</v>
          </cell>
          <cell r="M1">
            <v>1990</v>
          </cell>
          <cell r="N1">
            <v>1989</v>
          </cell>
          <cell r="O1">
            <v>1988</v>
          </cell>
          <cell r="P1">
            <v>1987</v>
          </cell>
          <cell r="Q1">
            <v>1986</v>
          </cell>
        </row>
        <row r="3">
          <cell r="B3" t="str">
            <v>"TOP 40" SIZE RANKING</v>
          </cell>
        </row>
        <row r="4">
          <cell r="B4" t="str">
            <v>Ranking according to kW.h energy sales</v>
          </cell>
          <cell r="E4">
            <v>3</v>
          </cell>
          <cell r="H4">
            <v>29</v>
          </cell>
          <cell r="I4">
            <v>30</v>
          </cell>
          <cell r="J4" t="e">
            <v>#REF!</v>
          </cell>
          <cell r="K4" t="e">
            <v>#REF!</v>
          </cell>
          <cell r="L4" t="e">
            <v>#REF!</v>
          </cell>
          <cell r="M4" t="e">
            <v>#REF!</v>
          </cell>
          <cell r="N4" t="e">
            <v>#REF!</v>
          </cell>
          <cell r="O4" t="e">
            <v>#REF!</v>
          </cell>
          <cell r="P4" t="e">
            <v>#REF!</v>
          </cell>
        </row>
        <row r="5">
          <cell r="B5" t="str">
            <v>Ranking according to number of customers</v>
          </cell>
          <cell r="E5">
            <v>4</v>
          </cell>
          <cell r="H5">
            <v>28</v>
          </cell>
          <cell r="I5">
            <v>29</v>
          </cell>
          <cell r="J5">
            <v>1993</v>
          </cell>
          <cell r="K5">
            <v>1992</v>
          </cell>
          <cell r="L5">
            <v>1991</v>
          </cell>
          <cell r="M5">
            <v>1990</v>
          </cell>
          <cell r="N5">
            <v>1989</v>
          </cell>
          <cell r="O5">
            <v>1988</v>
          </cell>
          <cell r="P5">
            <v>1987</v>
          </cell>
        </row>
        <row r="8">
          <cell r="B8" t="str">
            <v>IMPORTANT STATISTICS</v>
          </cell>
        </row>
        <row r="9">
          <cell r="B9" t="str">
            <v>Service area in square kilometers</v>
          </cell>
          <cell r="E9">
            <v>5</v>
          </cell>
          <cell r="H9">
            <v>128</v>
          </cell>
          <cell r="I9">
            <v>128</v>
          </cell>
          <cell r="J9">
            <v>128</v>
          </cell>
          <cell r="K9">
            <v>128</v>
          </cell>
          <cell r="L9">
            <v>128</v>
          </cell>
          <cell r="M9">
            <v>128</v>
          </cell>
          <cell r="N9">
            <v>128</v>
          </cell>
          <cell r="O9">
            <v>128</v>
          </cell>
          <cell r="P9">
            <v>128</v>
          </cell>
          <cell r="Q9">
            <v>128</v>
          </cell>
        </row>
        <row r="10">
          <cell r="B10" t="str">
            <v>Average # of Customers ... all classes</v>
          </cell>
          <cell r="E10">
            <v>6</v>
          </cell>
          <cell r="H10">
            <v>29854</v>
          </cell>
          <cell r="I10">
            <v>28937</v>
          </cell>
          <cell r="J10">
            <v>27703</v>
          </cell>
          <cell r="K10">
            <v>26247</v>
          </cell>
          <cell r="L10">
            <v>24959</v>
          </cell>
          <cell r="M10">
            <v>23823</v>
          </cell>
          <cell r="N10">
            <v>22381</v>
          </cell>
          <cell r="O10">
            <v>20326</v>
          </cell>
          <cell r="P10">
            <v>17678</v>
          </cell>
          <cell r="Q10">
            <v>0</v>
          </cell>
        </row>
        <row r="11">
          <cell r="B11" t="str">
            <v>Average # of Employees</v>
          </cell>
          <cell r="E11">
            <v>7</v>
          </cell>
          <cell r="H11">
            <v>98</v>
          </cell>
          <cell r="I11">
            <v>99</v>
          </cell>
          <cell r="J11">
            <v>101</v>
          </cell>
          <cell r="K11">
            <v>102</v>
          </cell>
          <cell r="L11">
            <v>102</v>
          </cell>
          <cell r="M11">
            <v>97</v>
          </cell>
          <cell r="N11">
            <v>88</v>
          </cell>
          <cell r="O11">
            <v>81</v>
          </cell>
          <cell r="P11">
            <v>69</v>
          </cell>
          <cell r="Q11">
            <v>0</v>
          </cell>
        </row>
        <row r="12">
          <cell r="B12" t="str">
            <v>Average Monthly Residential Consumption</v>
          </cell>
          <cell r="E12">
            <v>8</v>
          </cell>
          <cell r="H12">
            <v>930.5527723078111</v>
          </cell>
          <cell r="I12">
            <v>911.4264557432792</v>
          </cell>
          <cell r="J12">
            <v>944.1158669840343</v>
          </cell>
          <cell r="K12">
            <v>917.7268870706176</v>
          </cell>
          <cell r="L12">
            <v>1020.6112725947974</v>
          </cell>
          <cell r="M12">
            <v>982.3354685330492</v>
          </cell>
          <cell r="N12">
            <v>938.1209880024611</v>
          </cell>
          <cell r="O12">
            <v>1034.9740665652982</v>
          </cell>
          <cell r="P12">
            <v>0</v>
          </cell>
          <cell r="Q12">
            <v>0</v>
          </cell>
        </row>
        <row r="13">
          <cell r="B13" t="str">
            <v>Peak Load (MW)</v>
          </cell>
          <cell r="E13">
            <v>9</v>
          </cell>
          <cell r="H13">
            <v>173508</v>
          </cell>
          <cell r="I13">
            <v>163781</v>
          </cell>
          <cell r="J13">
            <v>151146</v>
          </cell>
          <cell r="K13">
            <v>135599</v>
          </cell>
          <cell r="L13">
            <v>143727</v>
          </cell>
          <cell r="M13">
            <v>138296</v>
          </cell>
          <cell r="N13">
            <v>121910</v>
          </cell>
          <cell r="O13">
            <v>105749</v>
          </cell>
          <cell r="P13">
            <v>87295</v>
          </cell>
          <cell r="Q13">
            <v>78493</v>
          </cell>
        </row>
        <row r="14">
          <cell r="B14" t="str">
            <v> Average Monthly Load Factor</v>
          </cell>
          <cell r="E14">
            <v>10</v>
          </cell>
          <cell r="H14">
            <v>67.16318659396197</v>
          </cell>
          <cell r="I14">
            <v>67.56176474805048</v>
          </cell>
          <cell r="J14">
            <v>69.1046327781671</v>
          </cell>
          <cell r="K14">
            <v>68.72127068223179</v>
          </cell>
          <cell r="L14">
            <v>65.79316366841493</v>
          </cell>
          <cell r="M14">
            <v>67.11901448001367</v>
          </cell>
          <cell r="N14">
            <v>67.58547722463526</v>
          </cell>
          <cell r="O14">
            <v>68.51914643519147</v>
          </cell>
          <cell r="P14">
            <v>67.88682028408056</v>
          </cell>
          <cell r="Q14">
            <v>68.63535387107174</v>
          </cell>
        </row>
        <row r="15">
          <cell r="B15" t="str">
            <v>Annual Load Factor</v>
          </cell>
          <cell r="E15">
            <v>11</v>
          </cell>
          <cell r="H15">
            <v>52.86795824186859</v>
          </cell>
          <cell r="I15">
            <v>53.340384736394434</v>
          </cell>
          <cell r="J15">
            <v>55.42873149291619</v>
          </cell>
          <cell r="K15">
            <v>59.52238437663079</v>
          </cell>
          <cell r="L15">
            <v>56.46025460559693</v>
          </cell>
          <cell r="M15">
            <v>54.45387736924809</v>
          </cell>
          <cell r="N15">
            <v>59.09779240543121</v>
          </cell>
          <cell r="O15">
            <v>58.89786580448897</v>
          </cell>
          <cell r="P15">
            <v>60.42506370437092</v>
          </cell>
          <cell r="Q15">
            <v>57.699936247696115</v>
          </cell>
        </row>
        <row r="16">
          <cell r="B16" t="str">
            <v>Gross Capital Expenditures</v>
          </cell>
          <cell r="E16">
            <v>12</v>
          </cell>
          <cell r="H16">
            <v>4691000</v>
          </cell>
          <cell r="I16">
            <v>4487000</v>
          </cell>
          <cell r="J16">
            <v>6897000</v>
          </cell>
          <cell r="K16">
            <v>18767000</v>
          </cell>
          <cell r="L16">
            <v>11367000</v>
          </cell>
          <cell r="M16">
            <v>10484000</v>
          </cell>
          <cell r="N16">
            <v>8080000</v>
          </cell>
          <cell r="O16">
            <v>8749000</v>
          </cell>
          <cell r="P16">
            <v>9928000</v>
          </cell>
          <cell r="Q16">
            <v>8724000</v>
          </cell>
        </row>
        <row r="17">
          <cell r="B17" t="str">
            <v>Contributed Capital + Dev. Chgs.</v>
          </cell>
          <cell r="E17">
            <v>13</v>
          </cell>
          <cell r="H17">
            <v>1601000</v>
          </cell>
          <cell r="I17">
            <v>2525000</v>
          </cell>
          <cell r="J17">
            <v>3377000</v>
          </cell>
          <cell r="K17">
            <v>2682000</v>
          </cell>
          <cell r="L17">
            <v>5280000</v>
          </cell>
          <cell r="M17">
            <v>7343000</v>
          </cell>
          <cell r="N17">
            <v>4466000</v>
          </cell>
          <cell r="O17">
            <v>4710000</v>
          </cell>
          <cell r="P17">
            <v>6261000</v>
          </cell>
          <cell r="Q17">
            <v>5904000</v>
          </cell>
        </row>
        <row r="20">
          <cell r="B20" t="str">
            <v>CUSTOMER RATIOS</v>
          </cell>
        </row>
        <row r="21">
          <cell r="B21" t="str">
            <v>Monthly Residential Bills - 1000 kWh</v>
          </cell>
          <cell r="E21">
            <v>14</v>
          </cell>
          <cell r="H21">
            <v>89.45</v>
          </cell>
          <cell r="I21">
            <v>89.45</v>
          </cell>
          <cell r="J21">
            <v>89.45</v>
          </cell>
          <cell r="K21">
            <v>82.725</v>
          </cell>
          <cell r="L21">
            <v>74.075</v>
          </cell>
          <cell r="M21">
            <v>67.975</v>
          </cell>
          <cell r="N21">
            <v>64.075</v>
          </cell>
          <cell r="O21">
            <v>61</v>
          </cell>
          <cell r="P21">
            <v>58.375</v>
          </cell>
          <cell r="Q21">
            <v>0</v>
          </cell>
        </row>
        <row r="22">
          <cell r="B22" t="str">
            <v>Residential Revenue per kW.h Sold</v>
          </cell>
          <cell r="E22">
            <v>15</v>
          </cell>
          <cell r="H22">
            <v>0.0902792998143638</v>
          </cell>
          <cell r="I22">
            <v>0.0903083428781826</v>
          </cell>
          <cell r="J22">
            <v>0.08933665229365043</v>
          </cell>
          <cell r="K22">
            <v>0.0825368051741935</v>
          </cell>
          <cell r="L22">
            <v>0.07294752965012738</v>
          </cell>
          <cell r="M22">
            <v>0.06728583886959566</v>
          </cell>
          <cell r="N22">
            <v>0.06348311864347812</v>
          </cell>
          <cell r="O22">
            <v>0.060698834123965505</v>
          </cell>
          <cell r="P22">
            <v>0</v>
          </cell>
          <cell r="Q22">
            <v>0</v>
          </cell>
        </row>
        <row r="23">
          <cell r="B23" t="str">
            <v>General Service Revenue per kW. h Sold</v>
          </cell>
          <cell r="E23">
            <v>16</v>
          </cell>
          <cell r="H23">
            <v>0.07742219251364336</v>
          </cell>
          <cell r="I23">
            <v>0.07763579757003229</v>
          </cell>
          <cell r="J23">
            <v>0.07776098161050558</v>
          </cell>
          <cell r="K23">
            <v>0.07176487749455522</v>
          </cell>
          <cell r="L23">
            <v>0.0642026098069158</v>
          </cell>
          <cell r="M23">
            <v>0.059638622414168244</v>
          </cell>
          <cell r="N23">
            <v>0.05598075923916398</v>
          </cell>
          <cell r="O23">
            <v>0.05364588079148877</v>
          </cell>
          <cell r="P23">
            <v>0</v>
          </cell>
          <cell r="Q23">
            <v>0</v>
          </cell>
        </row>
        <row r="26">
          <cell r="B26" t="str">
            <v>FINANCIAL RATIOS</v>
          </cell>
        </row>
        <row r="27">
          <cell r="B27" t="str">
            <v>Net Income as a % of Total Revenue</v>
          </cell>
          <cell r="E27">
            <v>17</v>
          </cell>
          <cell r="H27">
            <v>3.5789841419329367</v>
          </cell>
          <cell r="I27">
            <v>3.2192735804734625</v>
          </cell>
          <cell r="J27">
            <v>7.1377627946462425</v>
          </cell>
          <cell r="K27">
            <v>5.134667711621393</v>
          </cell>
          <cell r="L27">
            <v>3.779161501363855</v>
          </cell>
          <cell r="M27">
            <v>6.666149809267339</v>
          </cell>
          <cell r="N27">
            <v>4.532133272497968</v>
          </cell>
          <cell r="O27">
            <v>5.427298052222763</v>
          </cell>
          <cell r="P27">
            <v>3.7408897174758096</v>
          </cell>
        </row>
        <row r="28">
          <cell r="B28" t="str">
            <v>Debt / Equity Ratio</v>
          </cell>
          <cell r="E28">
            <v>18</v>
          </cell>
          <cell r="H28">
            <v>48.45788713178613</v>
          </cell>
          <cell r="I28">
            <v>61.70821052817632</v>
          </cell>
          <cell r="J28">
            <v>75.46508051232323</v>
          </cell>
          <cell r="K28">
            <v>75.72016576206445</v>
          </cell>
          <cell r="L28">
            <v>95.33812493402768</v>
          </cell>
          <cell r="M28">
            <v>49.30040967645578</v>
          </cell>
          <cell r="N28">
            <v>50.67684840291072</v>
          </cell>
          <cell r="O28">
            <v>61.82647101681751</v>
          </cell>
          <cell r="P28">
            <v>56.195388534724934</v>
          </cell>
        </row>
        <row r="29">
          <cell r="B29" t="str">
            <v>Current Ratio</v>
          </cell>
          <cell r="E29">
            <v>19</v>
          </cell>
          <cell r="H29">
            <v>1.740948943767058</v>
          </cell>
          <cell r="I29">
            <v>1.6685143036093164</v>
          </cell>
          <cell r="J29">
            <v>1.5461691358310028</v>
          </cell>
          <cell r="K29">
            <v>0.9553303683260654</v>
          </cell>
          <cell r="L29">
            <v>2.2402256858667804</v>
          </cell>
          <cell r="M29">
            <v>1.5479153306456335</v>
          </cell>
          <cell r="N29">
            <v>1.2088920377994625</v>
          </cell>
          <cell r="O29">
            <v>1.626358038166003</v>
          </cell>
          <cell r="P29">
            <v>1.5673815594851062</v>
          </cell>
        </row>
        <row r="30">
          <cell r="B30" t="str">
            <v>Number of Days Cash Reserve</v>
          </cell>
          <cell r="E30">
            <v>20</v>
          </cell>
          <cell r="H30">
            <v>32.97618542521458</v>
          </cell>
          <cell r="I30">
            <v>35.49544236648281</v>
          </cell>
          <cell r="J30">
            <v>29.7135092870482</v>
          </cell>
          <cell r="K30">
            <v>1.3208795951443963</v>
          </cell>
          <cell r="L30">
            <v>73.79045238496904</v>
          </cell>
          <cell r="M30">
            <v>12.61054854314695</v>
          </cell>
          <cell r="N30">
            <v>0.009066020032294578</v>
          </cell>
          <cell r="O30">
            <v>0.006294621670951033</v>
          </cell>
          <cell r="P30">
            <v>4.096786982867761</v>
          </cell>
        </row>
        <row r="31">
          <cell r="B31" t="str">
            <v>Number of Days Sales Outstanding</v>
          </cell>
          <cell r="E31">
            <v>21</v>
          </cell>
          <cell r="H31">
            <v>22.908070243993933</v>
          </cell>
          <cell r="I31">
            <v>20.074492466750645</v>
          </cell>
          <cell r="J31">
            <v>17.873765804549</v>
          </cell>
          <cell r="K31">
            <v>23.151808218388595</v>
          </cell>
          <cell r="L31">
            <v>23.037472953403185</v>
          </cell>
          <cell r="M31">
            <v>25.158228915362997</v>
          </cell>
          <cell r="N31">
            <v>30.83193113520193</v>
          </cell>
          <cell r="O31">
            <v>26.801306514178705</v>
          </cell>
          <cell r="P31">
            <v>28.26357371033887</v>
          </cell>
        </row>
        <row r="32">
          <cell r="B32" t="str">
            <v>Number of Days of Unbilled Revenue</v>
          </cell>
          <cell r="E32">
            <v>22</v>
          </cell>
          <cell r="H32">
            <v>25.934808368632478</v>
          </cell>
          <cell r="I32">
            <v>28.565410279899886</v>
          </cell>
          <cell r="J32">
            <v>29.385840564726617</v>
          </cell>
          <cell r="K32">
            <v>27.221690744227146</v>
          </cell>
          <cell r="L32">
            <v>26.816228809949738</v>
          </cell>
          <cell r="M32">
            <v>26.8034477827244</v>
          </cell>
          <cell r="N32">
            <v>28.469190164579004</v>
          </cell>
          <cell r="O32">
            <v>33.071045679507755</v>
          </cell>
          <cell r="P32">
            <v>23.036045758687674</v>
          </cell>
        </row>
        <row r="33">
          <cell r="B33" t="str">
            <v>Write-offs as a % of Total Revenue</v>
          </cell>
          <cell r="E33">
            <v>23</v>
          </cell>
          <cell r="H33">
            <v>0.050671335011019586</v>
          </cell>
          <cell r="I33">
            <v>0.04448952215805919</v>
          </cell>
          <cell r="J33">
            <v>0.07004677807531948</v>
          </cell>
          <cell r="K33">
            <v>0.09234256733392246</v>
          </cell>
          <cell r="L33">
            <v>0.10881037567084079</v>
          </cell>
          <cell r="M33">
            <v>0.07995373939861218</v>
          </cell>
          <cell r="N33">
            <v>0.03383137673425827</v>
          </cell>
          <cell r="O33">
            <v>0.028842295345104334</v>
          </cell>
          <cell r="P33">
            <v>0.030239585581696524</v>
          </cell>
        </row>
        <row r="34">
          <cell r="B34" t="str">
            <v>Gross Margin %</v>
          </cell>
          <cell r="E34">
            <v>24</v>
          </cell>
          <cell r="H34">
            <v>20.91567594604311</v>
          </cell>
          <cell r="I34">
            <v>21.09039408464068</v>
          </cell>
          <cell r="J34">
            <v>22.793937493644282</v>
          </cell>
          <cell r="K34">
            <v>18.985561148038578</v>
          </cell>
          <cell r="L34">
            <v>17.854921628758838</v>
          </cell>
          <cell r="M34">
            <v>18.53190986644117</v>
          </cell>
          <cell r="N34">
            <v>17.278700219064202</v>
          </cell>
          <cell r="O34">
            <v>19.062854467629748</v>
          </cell>
          <cell r="P34">
            <v>15.193839844593136</v>
          </cell>
        </row>
        <row r="36">
          <cell r="B36" t="str">
            <v>SUMMARY (continued)</v>
          </cell>
          <cell r="E36" t="str">
            <v>Pg.</v>
          </cell>
          <cell r="F36" t="str">
            <v>Avg _ All MEU's</v>
          </cell>
          <cell r="G36">
            <v>1996</v>
          </cell>
          <cell r="H36">
            <v>1995</v>
          </cell>
          <cell r="I36">
            <v>1994</v>
          </cell>
          <cell r="J36">
            <v>1993</v>
          </cell>
          <cell r="K36">
            <v>1992</v>
          </cell>
          <cell r="L36">
            <v>1991</v>
          </cell>
          <cell r="M36">
            <v>1990</v>
          </cell>
          <cell r="N36">
            <v>1989</v>
          </cell>
          <cell r="O36">
            <v>1988</v>
          </cell>
          <cell r="P36">
            <v>1987</v>
          </cell>
          <cell r="Q36">
            <v>1986</v>
          </cell>
        </row>
        <row r="38">
          <cell r="B38" t="str">
            <v>EFFICIENCY RATIOS</v>
          </cell>
        </row>
        <row r="39">
          <cell r="B39" t="str">
            <v>System Unit Cost of Power</v>
          </cell>
          <cell r="E39">
            <v>25</v>
          </cell>
          <cell r="H39">
            <v>6.3</v>
          </cell>
          <cell r="I39">
            <v>6.3</v>
          </cell>
          <cell r="J39">
            <v>6.21</v>
          </cell>
          <cell r="K39">
            <v>5.96</v>
          </cell>
          <cell r="L39">
            <v>5.43</v>
          </cell>
          <cell r="M39">
            <v>4.97</v>
          </cell>
          <cell r="N39">
            <v>4.67</v>
          </cell>
          <cell r="O39">
            <v>4.44</v>
          </cell>
          <cell r="P39">
            <v>4.25</v>
          </cell>
          <cell r="Q39">
            <v>0</v>
          </cell>
        </row>
        <row r="40">
          <cell r="B40" t="str">
            <v>Controllable Expense per Customer</v>
          </cell>
          <cell r="E40">
            <v>26</v>
          </cell>
          <cell r="H40">
            <v>203.18503383131238</v>
          </cell>
          <cell r="I40">
            <v>199.06448491550609</v>
          </cell>
          <cell r="J40">
            <v>203.01685738006714</v>
          </cell>
          <cell r="K40">
            <v>208.851754486227</v>
          </cell>
          <cell r="L40">
            <v>209.82859890219962</v>
          </cell>
          <cell r="M40">
            <v>184.81505268018302</v>
          </cell>
          <cell r="N40">
            <v>161.65470711764442</v>
          </cell>
          <cell r="O40">
            <v>153.1683066023812</v>
          </cell>
          <cell r="P40">
            <v>137.65103518497568</v>
          </cell>
          <cell r="Q40" t="e">
            <v>#DIV/0!</v>
          </cell>
        </row>
        <row r="41">
          <cell r="B41" t="str">
            <v>Controllable Expense per MW.h Sold</v>
          </cell>
          <cell r="E41">
            <v>27</v>
          </cell>
          <cell r="H41">
            <v>7.788409611791971</v>
          </cell>
          <cell r="I41">
            <v>7.760725963669482</v>
          </cell>
          <cell r="J41">
            <v>7.836213767005334</v>
          </cell>
          <cell r="K41">
            <v>8.070972671899362</v>
          </cell>
          <cell r="L41">
            <v>7.572512814580788</v>
          </cell>
          <cell r="M41">
            <v>6.889894058181932</v>
          </cell>
          <cell r="N41">
            <v>6.01052591358318</v>
          </cell>
          <cell r="O41">
            <v>5.900568014904469</v>
          </cell>
          <cell r="P41">
            <v>5.677569657347911</v>
          </cell>
          <cell r="Q41" t="e">
            <v>#DIV/0!</v>
          </cell>
        </row>
        <row r="42">
          <cell r="B42" t="str">
            <v>Operations &amp; Maintenance per Customer</v>
          </cell>
          <cell r="E42">
            <v>28</v>
          </cell>
          <cell r="H42">
            <v>109.01771956856703</v>
          </cell>
          <cell r="I42">
            <v>105.95078964647337</v>
          </cell>
          <cell r="J42">
            <v>105.88423636429268</v>
          </cell>
          <cell r="K42">
            <v>110.0557778031775</v>
          </cell>
          <cell r="L42">
            <v>110.77615289074082</v>
          </cell>
          <cell r="M42">
            <v>91.74155228140873</v>
          </cell>
          <cell r="N42">
            <v>83.74880478977704</v>
          </cell>
          <cell r="O42">
            <v>77.73595395060514</v>
          </cell>
          <cell r="P42">
            <v>61.05854734698495</v>
          </cell>
          <cell r="Q42" t="e">
            <v>#DIV/0!</v>
          </cell>
        </row>
        <row r="43">
          <cell r="B43" t="str">
            <v>Operations &amp; Maint. per MW.h Sold</v>
          </cell>
          <cell r="E43">
            <v>29</v>
          </cell>
          <cell r="H43">
            <v>4.178824783169734</v>
          </cell>
          <cell r="I43">
            <v>4.13059639658817</v>
          </cell>
          <cell r="J43">
            <v>4.087007953006482</v>
          </cell>
          <cell r="K43">
            <v>4.253051056330252</v>
          </cell>
          <cell r="L43">
            <v>3.997805073778729</v>
          </cell>
          <cell r="M43">
            <v>3.420119556202369</v>
          </cell>
          <cell r="N43">
            <v>3.113886198527103</v>
          </cell>
          <cell r="O43">
            <v>2.994655315213209</v>
          </cell>
          <cell r="P43">
            <v>2.5184275241601686</v>
          </cell>
          <cell r="Q43" t="e">
            <v>#DIV/0!</v>
          </cell>
        </row>
        <row r="44">
          <cell r="B44" t="str">
            <v>Administration Expense per Customer</v>
          </cell>
          <cell r="E44">
            <v>30</v>
          </cell>
          <cell r="H44">
            <v>94.16731426274536</v>
          </cell>
          <cell r="I44">
            <v>93.11369526903273</v>
          </cell>
          <cell r="J44">
            <v>97.13262101577446</v>
          </cell>
          <cell r="K44">
            <v>98.79597668304949</v>
          </cell>
          <cell r="L44">
            <v>99.0524460114588</v>
          </cell>
          <cell r="M44">
            <v>93.0735003987743</v>
          </cell>
          <cell r="N44">
            <v>77.90590232786738</v>
          </cell>
          <cell r="O44">
            <v>75.43235265177606</v>
          </cell>
          <cell r="P44">
            <v>76.59248783799072</v>
          </cell>
          <cell r="Q44" t="e">
            <v>#DIV/0!</v>
          </cell>
        </row>
        <row r="45">
          <cell r="B45" t="str">
            <v>Administration Expense per MW.h Sold</v>
          </cell>
          <cell r="E45">
            <v>31</v>
          </cell>
          <cell r="H45">
            <v>3.609584828622237</v>
          </cell>
          <cell r="I45">
            <v>3.630129567081312</v>
          </cell>
          <cell r="J45">
            <v>3.7492058139988518</v>
          </cell>
          <cell r="K45">
            <v>3.817921615569111</v>
          </cell>
          <cell r="L45">
            <v>3.574707740802059</v>
          </cell>
          <cell r="M45">
            <v>3.469774501979563</v>
          </cell>
          <cell r="N45">
            <v>2.8966397150560765</v>
          </cell>
          <cell r="O45">
            <v>2.905912699691259</v>
          </cell>
          <cell r="P45">
            <v>3.1591421331877423</v>
          </cell>
          <cell r="Q45" t="e">
            <v>#DIV/0!</v>
          </cell>
        </row>
        <row r="46">
          <cell r="B46" t="str">
            <v>Customers Served per Employee</v>
          </cell>
          <cell r="E46">
            <v>32</v>
          </cell>
          <cell r="H46">
            <v>304.6326530612245</v>
          </cell>
          <cell r="I46">
            <v>292.2929292929293</v>
          </cell>
          <cell r="J46">
            <v>274.28712871287127</v>
          </cell>
          <cell r="K46">
            <v>257.3235294117647</v>
          </cell>
          <cell r="L46">
            <v>244.69607843137254</v>
          </cell>
          <cell r="M46">
            <v>245.5979381443299</v>
          </cell>
          <cell r="N46">
            <v>254.32954545454547</v>
          </cell>
          <cell r="O46">
            <v>250.93827160493828</v>
          </cell>
          <cell r="P46">
            <v>256.2028985507246</v>
          </cell>
          <cell r="Q46" t="e">
            <v>#DIV/0!</v>
          </cell>
        </row>
        <row r="47">
          <cell r="B47" t="str">
            <v>System Losses</v>
          </cell>
          <cell r="E47">
            <v>33</v>
          </cell>
          <cell r="H47">
            <v>3.076450178954545</v>
          </cell>
          <cell r="I47">
            <v>3.0112925102510673</v>
          </cell>
          <cell r="J47">
            <v>2.2049385609444414</v>
          </cell>
          <cell r="K47">
            <v>3.938136018726084</v>
          </cell>
          <cell r="L47">
            <v>2.710371351964241</v>
          </cell>
          <cell r="M47">
            <v>3.1323613675431403</v>
          </cell>
          <cell r="N47">
            <v>4.623655573231247</v>
          </cell>
          <cell r="O47">
            <v>3.295412265605094</v>
          </cell>
          <cell r="P47">
            <v>7.244526297792774</v>
          </cell>
          <cell r="Q47">
            <v>0</v>
          </cell>
        </row>
        <row r="50">
          <cell r="B50" t="str">
            <v>RELIABILITY RATIOS</v>
          </cell>
        </row>
        <row r="51">
          <cell r="B51" t="str">
            <v>System Avg Interruption Duration Index [SAIDI]</v>
          </cell>
          <cell r="E51">
            <v>34</v>
          </cell>
          <cell r="H51">
            <v>1.4791652709854626</v>
          </cell>
          <cell r="I51">
            <v>0.9450530462729377</v>
          </cell>
          <cell r="J51">
            <v>0.9737573547991192</v>
          </cell>
          <cell r="K51">
            <v>1.218386863260563</v>
          </cell>
        </row>
        <row r="52">
          <cell r="B52" t="str">
            <v>Customer Avg Interruption Duration Index [CAIDI]</v>
          </cell>
          <cell r="E52">
            <v>35</v>
          </cell>
          <cell r="H52">
            <v>0.3720657870346966</v>
          </cell>
          <cell r="I52">
            <v>0.35056211462779935</v>
          </cell>
          <cell r="J52">
            <v>0.26872808415683774</v>
          </cell>
          <cell r="K52">
            <v>0.24212941229916563</v>
          </cell>
        </row>
        <row r="53">
          <cell r="B53" t="str">
            <v>System Avg Interruption Frequency Index [SAIFI]</v>
          </cell>
          <cell r="E53">
            <v>36</v>
          </cell>
          <cell r="H53">
            <v>3.975547665304482</v>
          </cell>
          <cell r="I53">
            <v>2.6958219580467913</v>
          </cell>
          <cell r="J53">
            <v>3.6235786737898423</v>
          </cell>
          <cell r="K53">
            <v>5.03196555796853</v>
          </cell>
        </row>
        <row r="54">
          <cell r="B54" t="str">
            <v>Index of Reliability</v>
          </cell>
          <cell r="E54">
            <v>37</v>
          </cell>
          <cell r="H54">
            <v>0.9998311455170109</v>
          </cell>
          <cell r="I54">
            <v>0.9998921172321606</v>
          </cell>
          <cell r="J54">
            <v>0.999888840484612</v>
          </cell>
          <cell r="K54">
            <v>0.999860914741637</v>
          </cell>
        </row>
        <row r="57">
          <cell r="B57" t="str">
            <v>RESOURCE MANAGEMENT RATIOS</v>
          </cell>
        </row>
        <row r="58">
          <cell r="B58" t="str">
            <v>Short Term Absences per Employee</v>
          </cell>
          <cell r="E58">
            <v>38</v>
          </cell>
          <cell r="H58">
            <v>2.306122448979592</v>
          </cell>
          <cell r="I58">
            <v>2.202020202020202</v>
          </cell>
          <cell r="J58">
            <v>2.405940594059406</v>
          </cell>
          <cell r="K58">
            <v>2.51</v>
          </cell>
          <cell r="L58">
            <v>3.109</v>
          </cell>
          <cell r="M58">
            <v>2.833</v>
          </cell>
          <cell r="N58">
            <v>3.11</v>
          </cell>
          <cell r="O58">
            <v>2.605</v>
          </cell>
          <cell r="P58">
            <v>0</v>
          </cell>
          <cell r="Q58">
            <v>0</v>
          </cell>
        </row>
        <row r="59">
          <cell r="B59" t="str">
            <v>Short Term Absenteeism - Days per Employee</v>
          </cell>
          <cell r="E59">
            <v>39</v>
          </cell>
          <cell r="H59">
            <v>3.5</v>
          </cell>
          <cell r="I59">
            <v>3.2626262626262625</v>
          </cell>
          <cell r="J59">
            <v>3.396039603960396</v>
          </cell>
          <cell r="K59">
            <v>3.26</v>
          </cell>
          <cell r="L59">
            <v>5.376</v>
          </cell>
          <cell r="M59">
            <v>6.025</v>
          </cell>
          <cell r="N59">
            <v>6.269</v>
          </cell>
          <cell r="O59">
            <v>5.401</v>
          </cell>
          <cell r="P59">
            <v>0</v>
          </cell>
          <cell r="Q59">
            <v>0</v>
          </cell>
        </row>
        <row r="60">
          <cell r="B60" t="str">
            <v>Overtime Hours as a % of Regular Hours Worked</v>
          </cell>
          <cell r="E60">
            <v>40</v>
          </cell>
          <cell r="H60">
            <v>2.422514923277872</v>
          </cell>
          <cell r="I60">
            <v>1.9317023709137564</v>
          </cell>
          <cell r="J60">
            <v>2.023837650619065</v>
          </cell>
          <cell r="K60">
            <v>2.85</v>
          </cell>
          <cell r="L60">
            <v>2.7</v>
          </cell>
          <cell r="M60">
            <v>3.5</v>
          </cell>
          <cell r="N60">
            <v>4.1</v>
          </cell>
          <cell r="O60">
            <v>3.34</v>
          </cell>
          <cell r="P60">
            <v>4.2</v>
          </cell>
          <cell r="Q60">
            <v>0</v>
          </cell>
        </row>
        <row r="61">
          <cell r="B61" t="str">
            <v>Accidents - Frequency / 200,000 Hours</v>
          </cell>
          <cell r="E61">
            <v>41</v>
          </cell>
          <cell r="H61">
            <v>2.3836907876310285</v>
          </cell>
          <cell r="I61">
            <v>1.0150480879031645</v>
          </cell>
          <cell r="J61">
            <v>0.9854401221945751</v>
          </cell>
          <cell r="K61">
            <v>1.05</v>
          </cell>
          <cell r="L61">
            <v>0.001</v>
          </cell>
          <cell r="M61">
            <v>0.0004</v>
          </cell>
          <cell r="N61">
            <v>0.0015</v>
          </cell>
          <cell r="O61">
            <v>0.0009000000000000001</v>
          </cell>
          <cell r="P61">
            <v>0.0034000000000000002</v>
          </cell>
          <cell r="Q61">
            <v>0</v>
          </cell>
        </row>
        <row r="62">
          <cell r="B62" t="str">
            <v>Accidents - Severity Rate / 200,000 Hours</v>
          </cell>
          <cell r="E62">
            <v>42</v>
          </cell>
          <cell r="H62">
            <v>7.746995059800843</v>
          </cell>
          <cell r="I62">
            <v>60.90288527418986</v>
          </cell>
          <cell r="J62">
            <v>0.9854401221945751</v>
          </cell>
          <cell r="K62">
            <v>1.05</v>
          </cell>
        </row>
        <row r="64">
          <cell r="B64" t="str">
            <v>IMPORTANT STATISTICS</v>
          </cell>
          <cell r="G64">
            <v>1996</v>
          </cell>
          <cell r="H64">
            <v>1995</v>
          </cell>
          <cell r="I64">
            <v>1994</v>
          </cell>
          <cell r="J64">
            <v>1993</v>
          </cell>
          <cell r="K64">
            <v>1992</v>
          </cell>
          <cell r="L64">
            <v>1991</v>
          </cell>
          <cell r="M64">
            <v>1990</v>
          </cell>
          <cell r="N64">
            <v>1989</v>
          </cell>
          <cell r="O64">
            <v>1988</v>
          </cell>
          <cell r="P64">
            <v>1987</v>
          </cell>
          <cell r="Q64">
            <v>1986</v>
          </cell>
        </row>
        <row r="66">
          <cell r="B66" t="str">
            <v>Stat 1 - Service area in square kilometers</v>
          </cell>
        </row>
        <row r="68">
          <cell r="B68" t="str">
            <v>  RHHEC Statistic</v>
          </cell>
          <cell r="H68">
            <v>128</v>
          </cell>
          <cell r="I68">
            <v>128</v>
          </cell>
          <cell r="J68">
            <v>128</v>
          </cell>
          <cell r="K68">
            <v>128</v>
          </cell>
          <cell r="L68">
            <v>128</v>
          </cell>
          <cell r="M68">
            <v>128</v>
          </cell>
          <cell r="N68">
            <v>128</v>
          </cell>
          <cell r="O68">
            <v>128</v>
          </cell>
          <cell r="P68">
            <v>128</v>
          </cell>
          <cell r="Q68">
            <v>128</v>
          </cell>
        </row>
        <row r="71">
          <cell r="B71" t="str">
            <v>MEA Survey Results</v>
          </cell>
        </row>
        <row r="72">
          <cell r="B72" t="str">
            <v>   Average for large utilities</v>
          </cell>
          <cell r="H72">
            <v>220</v>
          </cell>
          <cell r="I72">
            <v>215</v>
          </cell>
          <cell r="J72">
            <v>218</v>
          </cell>
        </row>
        <row r="73">
          <cell r="B73" t="str">
            <v>   Average for all utilities</v>
          </cell>
          <cell r="I73">
            <v>96</v>
          </cell>
          <cell r="J73">
            <v>104</v>
          </cell>
        </row>
        <row r="74">
          <cell r="B74" t="str">
            <v>   Average for medium size utilities</v>
          </cell>
          <cell r="I74">
            <v>88</v>
          </cell>
          <cell r="J74">
            <v>89</v>
          </cell>
        </row>
        <row r="75">
          <cell r="B75" t="str">
            <v>   Brampton</v>
          </cell>
          <cell r="I75">
            <v>295</v>
          </cell>
          <cell r="J75">
            <v>295</v>
          </cell>
        </row>
        <row r="76">
          <cell r="B76" t="str">
            <v>   Markham</v>
          </cell>
          <cell r="I76">
            <v>256.4</v>
          </cell>
          <cell r="J76">
            <v>256.4</v>
          </cell>
        </row>
        <row r="77">
          <cell r="B77" t="str">
            <v>   Vaughan</v>
          </cell>
          <cell r="I77">
            <v>260</v>
          </cell>
          <cell r="J77">
            <v>260</v>
          </cell>
        </row>
        <row r="78">
          <cell r="B78" t="str">
            <v>   Guelph</v>
          </cell>
          <cell r="I78">
            <v>89</v>
          </cell>
          <cell r="J78">
            <v>89</v>
          </cell>
        </row>
        <row r="79">
          <cell r="B79" t="str">
            <v>   Barrie</v>
          </cell>
          <cell r="I79">
            <v>77</v>
          </cell>
          <cell r="J79">
            <v>77</v>
          </cell>
        </row>
        <row r="80">
          <cell r="B80" t="str">
            <v>   Newmarket</v>
          </cell>
          <cell r="I80">
            <v>41</v>
          </cell>
          <cell r="J80">
            <v>25.6</v>
          </cell>
        </row>
        <row r="89">
          <cell r="B89" t="str">
            <v>IMPORTANT STATISTICS (continued)</v>
          </cell>
          <cell r="G89">
            <v>1996</v>
          </cell>
          <cell r="H89">
            <v>1995</v>
          </cell>
          <cell r="I89">
            <v>1994</v>
          </cell>
          <cell r="J89">
            <v>1993</v>
          </cell>
          <cell r="K89">
            <v>1992</v>
          </cell>
          <cell r="L89">
            <v>1991</v>
          </cell>
          <cell r="M89">
            <v>1990</v>
          </cell>
          <cell r="N89">
            <v>1989</v>
          </cell>
          <cell r="O89">
            <v>1988</v>
          </cell>
          <cell r="P89">
            <v>1987</v>
          </cell>
          <cell r="Q89">
            <v>1986</v>
          </cell>
        </row>
        <row r="91">
          <cell r="B91" t="str">
            <v>Stat 2 - Average # of Customers ... all classes</v>
          </cell>
        </row>
        <row r="93">
          <cell r="B93" t="str">
            <v>RHHEC Calculation</v>
          </cell>
        </row>
        <row r="94">
          <cell r="B94" t="str">
            <v>  N = # of Customers @ Dec 31</v>
          </cell>
          <cell r="H94">
            <v>30252</v>
          </cell>
          <cell r="I94">
            <v>29455</v>
          </cell>
          <cell r="J94">
            <v>28419</v>
          </cell>
          <cell r="K94">
            <v>26987</v>
          </cell>
          <cell r="L94">
            <v>25506</v>
          </cell>
          <cell r="M94">
            <v>24412</v>
          </cell>
          <cell r="N94">
            <v>23233</v>
          </cell>
          <cell r="O94">
            <v>21529</v>
          </cell>
          <cell r="P94">
            <v>19122</v>
          </cell>
          <cell r="Q94">
            <v>16234</v>
          </cell>
        </row>
        <row r="95">
          <cell r="B95" t="str">
            <v>  Ca = Average # of Customers .. all classes</v>
          </cell>
          <cell r="H95">
            <v>29854</v>
          </cell>
          <cell r="I95">
            <v>28937</v>
          </cell>
          <cell r="J95">
            <v>27703</v>
          </cell>
          <cell r="K95">
            <v>26247</v>
          </cell>
          <cell r="L95">
            <v>24959</v>
          </cell>
          <cell r="M95">
            <v>23823</v>
          </cell>
          <cell r="N95">
            <v>22381</v>
          </cell>
          <cell r="O95">
            <v>20326</v>
          </cell>
          <cell r="P95">
            <v>17678</v>
          </cell>
        </row>
        <row r="98">
          <cell r="B98" t="str">
            <v>MEA Survey Results</v>
          </cell>
        </row>
        <row r="99">
          <cell r="B99" t="str">
            <v>   Average for all utilities</v>
          </cell>
          <cell r="I99">
            <v>21356</v>
          </cell>
          <cell r="J99">
            <v>21439</v>
          </cell>
        </row>
        <row r="100">
          <cell r="B100" t="str">
            <v>   Average for medium size utilities</v>
          </cell>
          <cell r="I100">
            <v>12745</v>
          </cell>
          <cell r="J100">
            <v>12463</v>
          </cell>
        </row>
        <row r="101">
          <cell r="B101" t="str">
            <v>   Brampton</v>
          </cell>
          <cell r="I101">
            <v>67581</v>
          </cell>
          <cell r="J101">
            <v>66744</v>
          </cell>
        </row>
        <row r="102">
          <cell r="B102" t="str">
            <v>   Markham</v>
          </cell>
          <cell r="I102">
            <v>49739</v>
          </cell>
          <cell r="J102">
            <v>49161</v>
          </cell>
        </row>
        <row r="103">
          <cell r="B103" t="str">
            <v>   Vaughan</v>
          </cell>
          <cell r="I103">
            <v>40960</v>
          </cell>
          <cell r="J103">
            <v>39087</v>
          </cell>
        </row>
        <row r="104">
          <cell r="B104" t="str">
            <v>   Guelph</v>
          </cell>
          <cell r="I104">
            <v>32939</v>
          </cell>
          <cell r="J104">
            <v>32611</v>
          </cell>
        </row>
        <row r="105">
          <cell r="B105" t="str">
            <v>   Barrie</v>
          </cell>
          <cell r="I105">
            <v>27961</v>
          </cell>
          <cell r="J105">
            <v>27855</v>
          </cell>
        </row>
        <row r="106">
          <cell r="B106" t="str">
            <v>   Newmarket</v>
          </cell>
          <cell r="I106">
            <v>18891</v>
          </cell>
          <cell r="J106">
            <v>18700</v>
          </cell>
        </row>
        <row r="112">
          <cell r="B112" t="str">
            <v>IMPORTANT STATISTICS (continued)</v>
          </cell>
          <cell r="G112">
            <v>1996</v>
          </cell>
          <cell r="H112">
            <v>1995</v>
          </cell>
          <cell r="I112">
            <v>1994</v>
          </cell>
          <cell r="J112">
            <v>1993</v>
          </cell>
          <cell r="K112">
            <v>1992</v>
          </cell>
          <cell r="L112">
            <v>1991</v>
          </cell>
          <cell r="M112">
            <v>1990</v>
          </cell>
          <cell r="N112">
            <v>1989</v>
          </cell>
          <cell r="O112">
            <v>1988</v>
          </cell>
          <cell r="P112">
            <v>1987</v>
          </cell>
          <cell r="Q112">
            <v>1986</v>
          </cell>
        </row>
        <row r="114">
          <cell r="B114" t="str">
            <v>Stat 3 - Average # of Employees</v>
          </cell>
        </row>
        <row r="116">
          <cell r="B116" t="str">
            <v>RHHEC Calculation</v>
          </cell>
        </row>
        <row r="117">
          <cell r="B117" t="str">
            <v>  M = # of Employees @ Dec 31</v>
          </cell>
          <cell r="H117">
            <v>97</v>
          </cell>
          <cell r="I117">
            <v>98</v>
          </cell>
          <cell r="J117">
            <v>100</v>
          </cell>
          <cell r="K117">
            <v>102</v>
          </cell>
          <cell r="L117">
            <v>102</v>
          </cell>
          <cell r="M117">
            <v>102</v>
          </cell>
          <cell r="N117">
            <v>92</v>
          </cell>
          <cell r="O117">
            <v>84</v>
          </cell>
          <cell r="P117">
            <v>78</v>
          </cell>
          <cell r="Q117">
            <v>60</v>
          </cell>
        </row>
        <row r="118">
          <cell r="B118" t="str">
            <v>  E = Average # of Employees</v>
          </cell>
          <cell r="H118">
            <v>98</v>
          </cell>
          <cell r="I118">
            <v>99</v>
          </cell>
          <cell r="J118">
            <v>101</v>
          </cell>
          <cell r="K118">
            <v>102</v>
          </cell>
          <cell r="L118">
            <v>102</v>
          </cell>
          <cell r="M118">
            <v>97</v>
          </cell>
          <cell r="N118">
            <v>88</v>
          </cell>
          <cell r="O118">
            <v>81</v>
          </cell>
          <cell r="P118">
            <v>69</v>
          </cell>
        </row>
        <row r="121">
          <cell r="B121" t="str">
            <v>MEA Survey Results</v>
          </cell>
        </row>
        <row r="122">
          <cell r="B122" t="str">
            <v>   Average for all utilities</v>
          </cell>
          <cell r="I122">
            <v>56</v>
          </cell>
          <cell r="J122">
            <v>60.8</v>
          </cell>
        </row>
        <row r="123">
          <cell r="B123" t="str">
            <v>   Average for medium size utilities</v>
          </cell>
          <cell r="I123">
            <v>32</v>
          </cell>
          <cell r="J123">
            <v>35.9</v>
          </cell>
        </row>
        <row r="124">
          <cell r="B124" t="str">
            <v>   Brampton</v>
          </cell>
          <cell r="I124">
            <v>215</v>
          </cell>
          <cell r="J124">
            <v>219</v>
          </cell>
        </row>
        <row r="125">
          <cell r="B125" t="str">
            <v>   Markham</v>
          </cell>
          <cell r="I125">
            <v>137</v>
          </cell>
          <cell r="J125">
            <v>141</v>
          </cell>
        </row>
        <row r="126">
          <cell r="B126" t="str">
            <v>   Vaughan</v>
          </cell>
          <cell r="I126">
            <v>146</v>
          </cell>
          <cell r="J126">
            <v>160</v>
          </cell>
        </row>
        <row r="127">
          <cell r="B127" t="str">
            <v>   Guelph</v>
          </cell>
          <cell r="I127">
            <v>105</v>
          </cell>
          <cell r="J127">
            <v>106</v>
          </cell>
        </row>
        <row r="128">
          <cell r="B128" t="str">
            <v>   Barrie</v>
          </cell>
          <cell r="I128">
            <v>68</v>
          </cell>
          <cell r="J128">
            <v>106</v>
          </cell>
        </row>
        <row r="129">
          <cell r="B129" t="str">
            <v>   Newmarket</v>
          </cell>
          <cell r="I129">
            <v>38</v>
          </cell>
          <cell r="J129">
            <v>38</v>
          </cell>
        </row>
        <row r="135">
          <cell r="B135" t="str">
            <v>IMPORTANT STATISTICS (continued)</v>
          </cell>
          <cell r="G135">
            <v>1996</v>
          </cell>
          <cell r="H135">
            <v>1995</v>
          </cell>
          <cell r="I135">
            <v>1994</v>
          </cell>
          <cell r="J135">
            <v>1993</v>
          </cell>
          <cell r="K135">
            <v>1992</v>
          </cell>
          <cell r="L135">
            <v>1991</v>
          </cell>
          <cell r="M135">
            <v>1990</v>
          </cell>
          <cell r="N135">
            <v>1989</v>
          </cell>
          <cell r="O135">
            <v>1988</v>
          </cell>
          <cell r="P135">
            <v>1987</v>
          </cell>
          <cell r="Q135">
            <v>1986</v>
          </cell>
        </row>
        <row r="137">
          <cell r="B137" t="str">
            <v>Stat 4 - Average Monthly Residential Consumption</v>
          </cell>
        </row>
        <row r="139">
          <cell r="B139" t="str">
            <v>RHHEC Calculation</v>
          </cell>
        </row>
        <row r="140">
          <cell r="B140" t="str">
            <v>  K= Total kW.h Residential Consumption</v>
          </cell>
          <cell r="H140">
            <v>289204635</v>
          </cell>
          <cell r="I140">
            <v>274477900</v>
          </cell>
          <cell r="J140">
            <v>271304912</v>
          </cell>
          <cell r="K140">
            <v>248997659</v>
          </cell>
          <cell r="L140">
            <v>263342203</v>
          </cell>
          <cell r="M140">
            <v>243375577</v>
          </cell>
          <cell r="N140">
            <v>219565341</v>
          </cell>
          <cell r="O140">
            <v>220536414</v>
          </cell>
          <cell r="P140">
            <v>0</v>
          </cell>
          <cell r="Q140">
            <v>0</v>
          </cell>
        </row>
        <row r="141">
          <cell r="B141" t="str">
            <v>  Cr = Average # of residential customers</v>
          </cell>
          <cell r="H141">
            <v>25899</v>
          </cell>
          <cell r="I141">
            <v>25096</v>
          </cell>
          <cell r="J141">
            <v>23947</v>
          </cell>
          <cell r="K141">
            <v>22610</v>
          </cell>
          <cell r="L141">
            <v>21502</v>
          </cell>
          <cell r="M141">
            <v>20646</v>
          </cell>
          <cell r="N141">
            <v>19504</v>
          </cell>
          <cell r="O141">
            <v>17757</v>
          </cell>
          <cell r="P141">
            <v>15467</v>
          </cell>
          <cell r="Q141">
            <v>0</v>
          </cell>
        </row>
        <row r="142">
          <cell r="B142" t="str">
            <v>  Average monthly residential consumption</v>
          </cell>
          <cell r="H142">
            <v>930.5527723078111</v>
          </cell>
          <cell r="I142">
            <v>911.4264557432792</v>
          </cell>
          <cell r="J142">
            <v>944.1158669840343</v>
          </cell>
          <cell r="K142">
            <v>917.7268870706176</v>
          </cell>
          <cell r="L142">
            <v>1020.6112725947974</v>
          </cell>
          <cell r="M142">
            <v>982.3354685330492</v>
          </cell>
          <cell r="N142">
            <v>938.1209880024611</v>
          </cell>
          <cell r="O142">
            <v>1034.9740665652982</v>
          </cell>
        </row>
        <row r="145">
          <cell r="B145" t="str">
            <v>MEA Survey Results</v>
          </cell>
        </row>
        <row r="146">
          <cell r="B146" t="str">
            <v>   Average for all utilities</v>
          </cell>
          <cell r="I146">
            <v>915</v>
          </cell>
          <cell r="J146">
            <v>926</v>
          </cell>
        </row>
        <row r="147">
          <cell r="B147" t="str">
            <v>   Average for medium size utilities</v>
          </cell>
          <cell r="I147">
            <v>897</v>
          </cell>
          <cell r="J147">
            <v>901</v>
          </cell>
        </row>
        <row r="148">
          <cell r="B148" t="str">
            <v>   Brampton</v>
          </cell>
          <cell r="I148">
            <v>1139</v>
          </cell>
          <cell r="J148">
            <v>1133</v>
          </cell>
        </row>
        <row r="149">
          <cell r="B149" t="str">
            <v>   Markham</v>
          </cell>
          <cell r="I149">
            <v>1029</v>
          </cell>
          <cell r="J149">
            <v>1038</v>
          </cell>
        </row>
        <row r="150">
          <cell r="B150" t="str">
            <v>   Vaughan</v>
          </cell>
          <cell r="I150">
            <v>942</v>
          </cell>
          <cell r="J150">
            <v>972</v>
          </cell>
        </row>
        <row r="151">
          <cell r="B151" t="str">
            <v>   Guelph</v>
          </cell>
          <cell r="I151">
            <v>800</v>
          </cell>
          <cell r="J151">
            <v>890</v>
          </cell>
        </row>
        <row r="152">
          <cell r="B152" t="str">
            <v>   Barrie</v>
          </cell>
        </row>
        <row r="153">
          <cell r="B153" t="str">
            <v>   Newmarket</v>
          </cell>
          <cell r="I153">
            <v>919</v>
          </cell>
          <cell r="J153">
            <v>810</v>
          </cell>
        </row>
        <row r="158">
          <cell r="B158" t="str">
            <v>IMPORTANT STATISTICS (continued)</v>
          </cell>
          <cell r="G158">
            <v>1996</v>
          </cell>
          <cell r="H158">
            <v>1995</v>
          </cell>
          <cell r="I158">
            <v>1994</v>
          </cell>
          <cell r="J158">
            <v>1993</v>
          </cell>
          <cell r="K158">
            <v>1992</v>
          </cell>
          <cell r="L158">
            <v>1991</v>
          </cell>
          <cell r="M158">
            <v>1990</v>
          </cell>
          <cell r="N158">
            <v>1989</v>
          </cell>
          <cell r="O158">
            <v>1988</v>
          </cell>
          <cell r="P158">
            <v>1987</v>
          </cell>
          <cell r="Q158">
            <v>1986</v>
          </cell>
        </row>
        <row r="160">
          <cell r="B160" t="str">
            <v>Stat 5 - Peak Load (MW)</v>
          </cell>
        </row>
        <row r="162">
          <cell r="B162" t="str">
            <v>  RHHEC Statistic</v>
          </cell>
          <cell r="H162">
            <v>173508</v>
          </cell>
          <cell r="I162">
            <v>163781</v>
          </cell>
          <cell r="J162">
            <v>151146</v>
          </cell>
          <cell r="K162">
            <v>135599</v>
          </cell>
          <cell r="L162">
            <v>143727</v>
          </cell>
          <cell r="M162">
            <v>138296</v>
          </cell>
          <cell r="N162">
            <v>121910</v>
          </cell>
          <cell r="O162">
            <v>105749</v>
          </cell>
          <cell r="P162">
            <v>87295</v>
          </cell>
          <cell r="Q162">
            <v>78493</v>
          </cell>
        </row>
        <row r="165">
          <cell r="B165" t="str">
            <v>MEA Survey Results</v>
          </cell>
        </row>
        <row r="166">
          <cell r="B166" t="str">
            <v>   Average for all utilities</v>
          </cell>
          <cell r="I166">
            <v>135300</v>
          </cell>
          <cell r="J166">
            <v>128900</v>
          </cell>
        </row>
        <row r="167">
          <cell r="B167" t="str">
            <v>   Average for medium size utilities</v>
          </cell>
          <cell r="I167">
            <v>68300</v>
          </cell>
          <cell r="J167">
            <v>65200</v>
          </cell>
        </row>
        <row r="168">
          <cell r="B168" t="str">
            <v>   Brampton</v>
          </cell>
          <cell r="I168">
            <v>471500</v>
          </cell>
          <cell r="J168">
            <v>457200</v>
          </cell>
        </row>
        <row r="169">
          <cell r="B169" t="str">
            <v>   Markham</v>
          </cell>
          <cell r="I169">
            <v>349500</v>
          </cell>
          <cell r="J169">
            <v>331800</v>
          </cell>
        </row>
        <row r="170">
          <cell r="B170" t="str">
            <v>   Vaughan</v>
          </cell>
          <cell r="I170">
            <v>332000</v>
          </cell>
          <cell r="J170">
            <v>318600</v>
          </cell>
        </row>
        <row r="171">
          <cell r="B171" t="str">
            <v>   Guelph</v>
          </cell>
          <cell r="I171">
            <v>206500</v>
          </cell>
          <cell r="J171">
            <v>184800</v>
          </cell>
        </row>
        <row r="172">
          <cell r="B172" t="str">
            <v>   Barrie</v>
          </cell>
          <cell r="I172">
            <v>148000</v>
          </cell>
          <cell r="J172">
            <v>133300</v>
          </cell>
        </row>
        <row r="173">
          <cell r="B173" t="str">
            <v>   Newmarket</v>
          </cell>
          <cell r="I173">
            <v>93300</v>
          </cell>
          <cell r="J173">
            <v>88300</v>
          </cell>
        </row>
        <row r="182">
          <cell r="B182" t="str">
            <v>IMPORTANT STATISTICS (continued)</v>
          </cell>
          <cell r="G182">
            <v>1996</v>
          </cell>
          <cell r="H182">
            <v>1995</v>
          </cell>
          <cell r="I182">
            <v>1994</v>
          </cell>
          <cell r="J182">
            <v>1993</v>
          </cell>
          <cell r="K182">
            <v>1992</v>
          </cell>
          <cell r="L182">
            <v>1991</v>
          </cell>
          <cell r="M182">
            <v>1990</v>
          </cell>
          <cell r="N182">
            <v>1989</v>
          </cell>
          <cell r="O182">
            <v>1988</v>
          </cell>
          <cell r="P182">
            <v>1987</v>
          </cell>
          <cell r="Q182">
            <v>1986</v>
          </cell>
        </row>
        <row r="184">
          <cell r="B184" t="str">
            <v>Stat 6 - Average Monthly Load Factor</v>
          </cell>
        </row>
        <row r="186">
          <cell r="B186" t="str">
            <v>RHHEC Calculation</v>
          </cell>
        </row>
        <row r="187">
          <cell r="B187" t="str">
            <v>  K = Total kW.h purchased</v>
          </cell>
          <cell r="H187">
            <v>803556000</v>
          </cell>
          <cell r="I187">
            <v>765286000</v>
          </cell>
          <cell r="J187">
            <v>733898000</v>
          </cell>
          <cell r="K187">
            <v>707035000</v>
          </cell>
          <cell r="L187">
            <v>710862000</v>
          </cell>
          <cell r="M187">
            <v>659694000</v>
          </cell>
          <cell r="N187">
            <v>631124000</v>
          </cell>
          <cell r="O187">
            <v>545607000</v>
          </cell>
          <cell r="P187">
            <v>462073000</v>
          </cell>
          <cell r="Q187">
            <v>396744000</v>
          </cell>
        </row>
        <row r="188">
          <cell r="B188" t="str">
            <v>  Pa = (Sum of each month's peak demand) / 12</v>
          </cell>
          <cell r="H188">
            <v>136578</v>
          </cell>
          <cell r="I188">
            <v>129306</v>
          </cell>
          <cell r="J188">
            <v>121234</v>
          </cell>
          <cell r="K188">
            <v>117448</v>
          </cell>
          <cell r="L188">
            <v>123339</v>
          </cell>
          <cell r="M188">
            <v>112200</v>
          </cell>
          <cell r="N188">
            <v>106600</v>
          </cell>
          <cell r="O188">
            <v>90900</v>
          </cell>
          <cell r="P188">
            <v>77700</v>
          </cell>
          <cell r="Q188">
            <v>65987</v>
          </cell>
        </row>
        <row r="189">
          <cell r="B189" t="str">
            <v>  RHHEC Statistic</v>
          </cell>
          <cell r="F189" t="str">
            <v>[K / (Pa x 24 x 365)] x 100</v>
          </cell>
          <cell r="H189">
            <v>67.16318659396197</v>
          </cell>
          <cell r="I189">
            <v>67.56176474805048</v>
          </cell>
          <cell r="J189">
            <v>69.1046327781671</v>
          </cell>
          <cell r="K189">
            <v>68.72127068223179</v>
          </cell>
          <cell r="L189">
            <v>65.79316366841493</v>
          </cell>
          <cell r="M189">
            <v>67.11901448001367</v>
          </cell>
          <cell r="N189">
            <v>67.58547722463526</v>
          </cell>
          <cell r="O189">
            <v>68.51914643519147</v>
          </cell>
          <cell r="P189">
            <v>67.88682028408056</v>
          </cell>
          <cell r="Q189">
            <v>68.63535387107174</v>
          </cell>
        </row>
        <row r="192">
          <cell r="B192" t="str">
            <v>MEA Survey Results</v>
          </cell>
        </row>
        <row r="193">
          <cell r="B193" t="str">
            <v>   Average for all utilities</v>
          </cell>
          <cell r="I193">
            <v>70.8</v>
          </cell>
          <cell r="J193">
            <v>71.4</v>
          </cell>
        </row>
        <row r="194">
          <cell r="B194" t="str">
            <v>   Average for medium size utilities</v>
          </cell>
          <cell r="I194">
            <v>71.7</v>
          </cell>
          <cell r="J194">
            <v>71.7</v>
          </cell>
        </row>
        <row r="195">
          <cell r="B195" t="str">
            <v>   Brampton</v>
          </cell>
          <cell r="I195">
            <v>72.4</v>
          </cell>
          <cell r="J195">
            <v>73.6</v>
          </cell>
        </row>
        <row r="196">
          <cell r="B196" t="str">
            <v>   Markham</v>
          </cell>
          <cell r="C196" t="str">
            <v>? This figure is listed however must be a mistake ?</v>
          </cell>
          <cell r="I196">
            <v>89.2</v>
          </cell>
          <cell r="J196">
            <v>70.8</v>
          </cell>
        </row>
        <row r="197">
          <cell r="B197" t="str">
            <v>   Vaughan</v>
          </cell>
          <cell r="I197">
            <v>67</v>
          </cell>
          <cell r="J197">
            <v>67.9</v>
          </cell>
        </row>
        <row r="198">
          <cell r="B198" t="str">
            <v>   Guelph</v>
          </cell>
          <cell r="I198">
            <v>73.8</v>
          </cell>
          <cell r="J198">
            <v>74.4</v>
          </cell>
        </row>
        <row r="199">
          <cell r="B199" t="str">
            <v>   Barrie</v>
          </cell>
          <cell r="I199">
            <v>70.7</v>
          </cell>
          <cell r="J199">
            <v>72.6</v>
          </cell>
        </row>
        <row r="200">
          <cell r="B200" t="str">
            <v>   Newmarket</v>
          </cell>
          <cell r="I200">
            <v>69.5</v>
          </cell>
          <cell r="J200">
            <v>70</v>
          </cell>
        </row>
        <row r="206">
          <cell r="B206" t="str">
            <v>IMPORTANT STATISTICS (continued)</v>
          </cell>
          <cell r="G206">
            <v>1996</v>
          </cell>
          <cell r="H206">
            <v>1995</v>
          </cell>
          <cell r="I206">
            <v>1994</v>
          </cell>
          <cell r="J206">
            <v>1993</v>
          </cell>
          <cell r="K206">
            <v>1992</v>
          </cell>
          <cell r="L206">
            <v>1991</v>
          </cell>
          <cell r="M206">
            <v>1990</v>
          </cell>
          <cell r="N206">
            <v>1989</v>
          </cell>
          <cell r="O206">
            <v>1988</v>
          </cell>
          <cell r="P206">
            <v>1987</v>
          </cell>
          <cell r="Q206">
            <v>1986</v>
          </cell>
        </row>
        <row r="208">
          <cell r="B208" t="str">
            <v>Stat 7 - Annual Load Factor</v>
          </cell>
        </row>
        <row r="210">
          <cell r="B210" t="str">
            <v>RHHEC Calculation</v>
          </cell>
        </row>
        <row r="211">
          <cell r="B211" t="str">
            <v>  K = Total kW.h purchased</v>
          </cell>
          <cell r="H211">
            <v>803556000</v>
          </cell>
          <cell r="I211">
            <v>765286000</v>
          </cell>
          <cell r="J211">
            <v>733898000</v>
          </cell>
          <cell r="K211">
            <v>707035000</v>
          </cell>
          <cell r="L211">
            <v>710862000</v>
          </cell>
          <cell r="M211">
            <v>659694000</v>
          </cell>
          <cell r="N211">
            <v>631124000</v>
          </cell>
          <cell r="O211">
            <v>545607000</v>
          </cell>
          <cell r="P211">
            <v>462073000</v>
          </cell>
          <cell r="Q211">
            <v>396744000</v>
          </cell>
        </row>
        <row r="212">
          <cell r="B212" t="str">
            <v>  PL = Largest of the monthly peak demands [# 7 above]</v>
          </cell>
          <cell r="H212">
            <v>173508</v>
          </cell>
          <cell r="I212">
            <v>163781</v>
          </cell>
          <cell r="J212">
            <v>151146</v>
          </cell>
          <cell r="K212">
            <v>135599</v>
          </cell>
          <cell r="L212">
            <v>143727</v>
          </cell>
          <cell r="M212">
            <v>138296</v>
          </cell>
          <cell r="N212">
            <v>121910</v>
          </cell>
          <cell r="O212">
            <v>105749</v>
          </cell>
          <cell r="P212">
            <v>87295</v>
          </cell>
          <cell r="Q212">
            <v>78493</v>
          </cell>
        </row>
        <row r="213">
          <cell r="B213" t="str">
            <v>  RHHEC Statistic</v>
          </cell>
          <cell r="F213" t="str">
            <v>[K / (PL x 24 x 365)] x 100</v>
          </cell>
          <cell r="H213">
            <v>52.86795824186859</v>
          </cell>
          <cell r="I213">
            <v>53.340384736394434</v>
          </cell>
          <cell r="J213">
            <v>55.42873149291619</v>
          </cell>
          <cell r="K213">
            <v>59.52238437663079</v>
          </cell>
          <cell r="L213">
            <v>56.46025460559693</v>
          </cell>
          <cell r="M213">
            <v>54.45387736924809</v>
          </cell>
          <cell r="N213">
            <v>59.09779240543121</v>
          </cell>
          <cell r="O213">
            <v>58.89786580448897</v>
          </cell>
          <cell r="P213">
            <v>60.42506370437092</v>
          </cell>
          <cell r="Q213">
            <v>57.699936247696115</v>
          </cell>
        </row>
        <row r="216">
          <cell r="B216" t="str">
            <v>MEA Survey Results</v>
          </cell>
        </row>
        <row r="217">
          <cell r="B217" t="str">
            <v>   Average for all utilities</v>
          </cell>
          <cell r="I217">
            <v>56.2</v>
          </cell>
          <cell r="J217">
            <v>62.6</v>
          </cell>
        </row>
        <row r="218">
          <cell r="B218" t="str">
            <v>   Average for medium size utilities</v>
          </cell>
          <cell r="I218">
            <v>57.5</v>
          </cell>
          <cell r="J218">
            <v>63</v>
          </cell>
        </row>
        <row r="219">
          <cell r="B219" t="str">
            <v>   Brampton</v>
          </cell>
          <cell r="I219">
            <v>62.7</v>
          </cell>
          <cell r="J219">
            <v>72.3</v>
          </cell>
        </row>
        <row r="220">
          <cell r="B220" t="str">
            <v>   Markham</v>
          </cell>
          <cell r="I220">
            <v>54.7</v>
          </cell>
          <cell r="J220">
            <v>56.3</v>
          </cell>
        </row>
        <row r="221">
          <cell r="B221" t="str">
            <v>   Vaughan</v>
          </cell>
          <cell r="I221">
            <v>54.4</v>
          </cell>
          <cell r="J221">
            <v>54.8</v>
          </cell>
        </row>
        <row r="222">
          <cell r="B222" t="str">
            <v>   Guelph</v>
          </cell>
          <cell r="I222">
            <v>64.9</v>
          </cell>
          <cell r="J222">
            <v>70.1</v>
          </cell>
        </row>
        <row r="223">
          <cell r="B223" t="str">
            <v>   Barrie</v>
          </cell>
          <cell r="I223">
            <v>57.6</v>
          </cell>
          <cell r="J223">
            <v>62.8</v>
          </cell>
        </row>
        <row r="224">
          <cell r="B224" t="str">
            <v>   Newmarket</v>
          </cell>
          <cell r="I224">
            <v>60.3</v>
          </cell>
          <cell r="J224">
            <v>62.3</v>
          </cell>
        </row>
        <row r="231">
          <cell r="B231" t="str">
            <v>8.  Gross Capital Expenditures</v>
          </cell>
        </row>
        <row r="232">
          <cell r="B232" t="str">
            <v>RHHEC Statistic</v>
          </cell>
          <cell r="H232">
            <v>4691000</v>
          </cell>
          <cell r="I232">
            <v>4487000</v>
          </cell>
          <cell r="J232">
            <v>6897000</v>
          </cell>
          <cell r="K232">
            <v>18767000</v>
          </cell>
          <cell r="L232">
            <v>11367000</v>
          </cell>
          <cell r="M232">
            <v>10484000</v>
          </cell>
          <cell r="N232">
            <v>8080000</v>
          </cell>
          <cell r="O232">
            <v>8749000</v>
          </cell>
          <cell r="P232">
            <v>9928000</v>
          </cell>
          <cell r="Q232">
            <v>8724000</v>
          </cell>
        </row>
        <row r="234">
          <cell r="B234" t="str">
            <v>9.  Development Charges + Contributed Capital</v>
          </cell>
        </row>
        <row r="235">
          <cell r="B235" t="str">
            <v>RHHEC Statistic</v>
          </cell>
          <cell r="H235">
            <v>1601000</v>
          </cell>
          <cell r="I235">
            <v>2525000</v>
          </cell>
          <cell r="J235">
            <v>3377000</v>
          </cell>
          <cell r="K235">
            <v>2682000</v>
          </cell>
          <cell r="L235">
            <v>5280000</v>
          </cell>
          <cell r="M235">
            <v>7343000</v>
          </cell>
          <cell r="N235">
            <v>4466000</v>
          </cell>
          <cell r="O235">
            <v>4710000</v>
          </cell>
          <cell r="P235">
            <v>6261000</v>
          </cell>
          <cell r="Q235">
            <v>5904000</v>
          </cell>
        </row>
        <row r="237">
          <cell r="B237" t="str">
            <v>CUSTOMER RATIOS</v>
          </cell>
          <cell r="G237">
            <v>1996</v>
          </cell>
          <cell r="H237">
            <v>1995</v>
          </cell>
          <cell r="I237">
            <v>1994</v>
          </cell>
          <cell r="J237">
            <v>1993</v>
          </cell>
          <cell r="K237">
            <v>1992</v>
          </cell>
          <cell r="L237">
            <v>1991</v>
          </cell>
          <cell r="M237">
            <v>1990</v>
          </cell>
          <cell r="N237">
            <v>1989</v>
          </cell>
          <cell r="O237">
            <v>1988</v>
          </cell>
          <cell r="P237">
            <v>1987</v>
          </cell>
          <cell r="Q237">
            <v>1986</v>
          </cell>
        </row>
        <row r="239">
          <cell r="B239" t="str">
            <v>Ratio 1 - Monthly Residential Bills - 1000 kWh</v>
          </cell>
        </row>
        <row r="241">
          <cell r="B241" t="str">
            <v>RHHEC Calculation</v>
          </cell>
        </row>
        <row r="242">
          <cell r="B242" t="str">
            <v>   F = First 250</v>
          </cell>
          <cell r="H242">
            <v>0.1316</v>
          </cell>
          <cell r="I242">
            <v>0.1316</v>
          </cell>
          <cell r="J242">
            <v>0.1316</v>
          </cell>
          <cell r="K242">
            <v>0.1218</v>
          </cell>
          <cell r="L242">
            <v>0.1094</v>
          </cell>
          <cell r="M242">
            <v>0.09820000000000001</v>
          </cell>
          <cell r="N242">
            <v>0.0925</v>
          </cell>
          <cell r="O242">
            <v>0.088</v>
          </cell>
          <cell r="P242">
            <v>0.085</v>
          </cell>
        </row>
        <row r="243">
          <cell r="B243" t="str">
            <v>   B = Balance</v>
          </cell>
          <cell r="H243">
            <v>0.07540000000000001</v>
          </cell>
          <cell r="I243">
            <v>0.07540000000000001</v>
          </cell>
          <cell r="J243">
            <v>0.07540000000000001</v>
          </cell>
          <cell r="K243">
            <v>0.0697</v>
          </cell>
          <cell r="L243">
            <v>0.0623</v>
          </cell>
          <cell r="M243">
            <v>0.0579</v>
          </cell>
          <cell r="N243">
            <v>0.0546</v>
          </cell>
          <cell r="O243">
            <v>0.052000000000000005</v>
          </cell>
          <cell r="P243">
            <v>0.0495</v>
          </cell>
        </row>
        <row r="244">
          <cell r="B244" t="str">
            <v>  RHHEC Statistic</v>
          </cell>
          <cell r="H244">
            <v>89.45</v>
          </cell>
          <cell r="I244">
            <v>89.45</v>
          </cell>
          <cell r="J244">
            <v>89.45</v>
          </cell>
          <cell r="K244">
            <v>82.725</v>
          </cell>
          <cell r="L244">
            <v>74.075</v>
          </cell>
          <cell r="M244">
            <v>67.975</v>
          </cell>
          <cell r="N244">
            <v>64.075</v>
          </cell>
          <cell r="O244">
            <v>61</v>
          </cell>
          <cell r="P244">
            <v>58.375</v>
          </cell>
        </row>
        <row r="245">
          <cell r="B245" t="str">
            <v>   % increase</v>
          </cell>
          <cell r="H245">
            <v>0</v>
          </cell>
          <cell r="I245">
            <v>0</v>
          </cell>
          <cell r="J245">
            <v>0.08129344212753109</v>
          </cell>
          <cell r="K245">
            <v>0.11677354033074575</v>
          </cell>
          <cell r="L245">
            <v>0.08973887458624508</v>
          </cell>
          <cell r="M245">
            <v>0.060866172454155154</v>
          </cell>
          <cell r="N245">
            <v>0.05040983606557382</v>
          </cell>
          <cell r="O245">
            <v>0.044967880085653104</v>
          </cell>
        </row>
        <row r="248">
          <cell r="B248" t="str">
            <v>MEA Survey Results</v>
          </cell>
        </row>
        <row r="249">
          <cell r="B249" t="str">
            <v>   Average for all utilities</v>
          </cell>
          <cell r="I249">
            <v>84.65</v>
          </cell>
          <cell r="J249">
            <v>84.62</v>
          </cell>
          <cell r="K249">
            <v>79.59</v>
          </cell>
          <cell r="L249">
            <v>71.22</v>
          </cell>
          <cell r="M249">
            <v>65.67</v>
          </cell>
          <cell r="N249">
            <v>61.53</v>
          </cell>
        </row>
        <row r="250">
          <cell r="B250" t="str">
            <v>   Average for medium size utilities</v>
          </cell>
          <cell r="I250">
            <v>84.27</v>
          </cell>
          <cell r="J250">
            <v>84.68</v>
          </cell>
          <cell r="K250">
            <v>79.5</v>
          </cell>
          <cell r="L250">
            <v>71.15</v>
          </cell>
          <cell r="M250">
            <v>65.74</v>
          </cell>
          <cell r="N250">
            <v>61.46</v>
          </cell>
        </row>
        <row r="251">
          <cell r="B251" t="str">
            <v>   Brampton</v>
          </cell>
          <cell r="I251">
            <v>83.48</v>
          </cell>
          <cell r="J251">
            <v>83.48</v>
          </cell>
          <cell r="K251">
            <v>79.75</v>
          </cell>
          <cell r="L251">
            <v>71.3</v>
          </cell>
          <cell r="M251">
            <v>65.05</v>
          </cell>
          <cell r="N251">
            <v>61.08</v>
          </cell>
        </row>
        <row r="252">
          <cell r="B252" t="str">
            <v>   Markham</v>
          </cell>
          <cell r="I252">
            <v>82.7</v>
          </cell>
          <cell r="J252">
            <v>83.98</v>
          </cell>
          <cell r="K252">
            <v>78.85</v>
          </cell>
          <cell r="L252">
            <v>71.85</v>
          </cell>
          <cell r="M252">
            <v>66.4</v>
          </cell>
          <cell r="N252">
            <v>63.45</v>
          </cell>
        </row>
        <row r="253">
          <cell r="B253" t="str">
            <v>   Vaughan</v>
          </cell>
          <cell r="I253">
            <v>83.4</v>
          </cell>
          <cell r="J253">
            <v>83.4</v>
          </cell>
          <cell r="K253">
            <v>79.83</v>
          </cell>
        </row>
        <row r="254">
          <cell r="B254" t="str">
            <v>   Guelph</v>
          </cell>
          <cell r="I254">
            <v>86.06</v>
          </cell>
          <cell r="J254">
            <v>86.06</v>
          </cell>
          <cell r="K254">
            <v>79.85</v>
          </cell>
          <cell r="L254">
            <v>71.55</v>
          </cell>
          <cell r="M254">
            <v>65.85</v>
          </cell>
          <cell r="N254">
            <v>62.95</v>
          </cell>
        </row>
        <row r="255">
          <cell r="B255" t="str">
            <v>   Barrie</v>
          </cell>
          <cell r="I255">
            <v>88.51</v>
          </cell>
          <cell r="J255">
            <v>88.51</v>
          </cell>
          <cell r="K255">
            <v>81.82</v>
          </cell>
          <cell r="L255">
            <v>73.13</v>
          </cell>
          <cell r="M255">
            <v>67.65</v>
          </cell>
          <cell r="N255">
            <v>63.18</v>
          </cell>
        </row>
        <row r="256">
          <cell r="B256" t="str">
            <v>   Newmarket</v>
          </cell>
          <cell r="I256">
            <v>84.25</v>
          </cell>
          <cell r="J256">
            <v>84.26</v>
          </cell>
          <cell r="K256">
            <v>78.4</v>
          </cell>
          <cell r="L256">
            <v>69.13</v>
          </cell>
          <cell r="M256">
            <v>63.67</v>
          </cell>
          <cell r="N256">
            <v>59.9</v>
          </cell>
        </row>
        <row r="259">
          <cell r="B259" t="str">
            <v>MEA Interpretation</v>
          </cell>
        </row>
        <row r="260">
          <cell r="B260" t="str">
            <v>   -   The monthly residential bill calculation indicates the ranking of the current year bill for a utility vis a vis prior years and other utilities.</v>
          </cell>
        </row>
        <row r="261">
          <cell r="B261" t="str">
            <v>   -   The monthly bill increase is mainly the result of the Ontario Hydo cost of power increase. </v>
          </cell>
        </row>
        <row r="262">
          <cell r="B262" t="str">
            <v>   -   Year to year percentage increases should not vary significantly from utility to utility.</v>
          </cell>
        </row>
        <row r="264">
          <cell r="B264" t="str">
            <v>CUSTOMER RATIOS (continued)</v>
          </cell>
          <cell r="G264">
            <v>1996</v>
          </cell>
          <cell r="H264">
            <v>1995</v>
          </cell>
          <cell r="I264">
            <v>1994</v>
          </cell>
          <cell r="J264">
            <v>1993</v>
          </cell>
          <cell r="K264">
            <v>1992</v>
          </cell>
          <cell r="L264">
            <v>1991</v>
          </cell>
          <cell r="M264">
            <v>1990</v>
          </cell>
          <cell r="N264">
            <v>1989</v>
          </cell>
          <cell r="O264">
            <v>1988</v>
          </cell>
          <cell r="P264">
            <v>1987</v>
          </cell>
          <cell r="Q264">
            <v>1986</v>
          </cell>
        </row>
        <row r="266">
          <cell r="B266" t="str">
            <v>Ratio 2 - Residential Revenue per kW.h Sold</v>
          </cell>
        </row>
        <row r="268">
          <cell r="B268" t="str">
            <v>RHHEC Calculation</v>
          </cell>
        </row>
        <row r="269">
          <cell r="B269" t="str">
            <v>   $r = Total Residential Billed Revenue [excludes unbilled adj]</v>
          </cell>
          <cell r="H269">
            <v>26103868</v>
          </cell>
          <cell r="I269">
            <v>24932482</v>
          </cell>
          <cell r="J269">
            <v>23731587</v>
          </cell>
          <cell r="K269">
            <v>20708096</v>
          </cell>
          <cell r="L269">
            <v>18983369</v>
          </cell>
          <cell r="M269">
            <v>16877876</v>
          </cell>
          <cell r="N269">
            <v>14947881</v>
          </cell>
          <cell r="O269">
            <v>12190736</v>
          </cell>
          <cell r="Q269">
            <v>0</v>
          </cell>
        </row>
        <row r="270">
          <cell r="B270" t="str">
            <v>   kW.h = Total Residential kW.h Sold [excludes unbilled adj]</v>
          </cell>
          <cell r="H270">
            <v>289145663</v>
          </cell>
          <cell r="I270">
            <v>276081713</v>
          </cell>
          <cell r="J270">
            <v>265642224</v>
          </cell>
          <cell r="K270">
            <v>250895294</v>
          </cell>
          <cell r="L270">
            <v>260233199</v>
          </cell>
          <cell r="M270">
            <v>250838457</v>
          </cell>
          <cell r="N270">
            <v>235462298</v>
          </cell>
          <cell r="O270">
            <v>200839706</v>
          </cell>
          <cell r="Q270">
            <v>0</v>
          </cell>
        </row>
        <row r="271">
          <cell r="B271" t="str">
            <v>   RHHEC Statistic</v>
          </cell>
          <cell r="H271">
            <v>0.0902792998143638</v>
          </cell>
          <cell r="I271">
            <v>0.0903083428781826</v>
          </cell>
          <cell r="J271">
            <v>0.08933665229365043</v>
          </cell>
          <cell r="K271">
            <v>0.0825368051741935</v>
          </cell>
          <cell r="L271">
            <v>0.07294752965012738</v>
          </cell>
          <cell r="M271">
            <v>0.06728583886959566</v>
          </cell>
          <cell r="N271">
            <v>0.06348311864347812</v>
          </cell>
          <cell r="O271">
            <v>0.060698834123965505</v>
          </cell>
        </row>
        <row r="272">
          <cell r="B272" t="str">
            <v>   % increase</v>
          </cell>
          <cell r="H272">
            <v>-0.0003215989009782441</v>
          </cell>
          <cell r="I272">
            <v>0.010876729310812025</v>
          </cell>
          <cell r="J272">
            <v>0.0823856351733737</v>
          </cell>
          <cell r="K272">
            <v>0.13145442443436292</v>
          </cell>
          <cell r="L272">
            <v>0.0841438685412609</v>
          </cell>
          <cell r="M272">
            <v>0.059901282535813255</v>
          </cell>
          <cell r="N272">
            <v>0.04587047773975793</v>
          </cell>
        </row>
        <row r="275">
          <cell r="B275" t="str">
            <v>MEA Survey Results</v>
          </cell>
        </row>
        <row r="276">
          <cell r="B276" t="str">
            <v>   Average for all utilities</v>
          </cell>
          <cell r="I276">
            <v>0.08600000000000001</v>
          </cell>
        </row>
        <row r="277">
          <cell r="B277" t="str">
            <v>   Average for medium size utilities</v>
          </cell>
          <cell r="I277">
            <v>0.085</v>
          </cell>
        </row>
        <row r="278">
          <cell r="B278" t="str">
            <v>   Brampton</v>
          </cell>
          <cell r="I278">
            <v>0.084</v>
          </cell>
        </row>
        <row r="279">
          <cell r="B279" t="str">
            <v>   Markham</v>
          </cell>
          <cell r="I279">
            <v>0.082</v>
          </cell>
        </row>
        <row r="280">
          <cell r="B280" t="str">
            <v>   Vaughan</v>
          </cell>
          <cell r="I280">
            <v>0.084</v>
          </cell>
        </row>
        <row r="281">
          <cell r="B281" t="str">
            <v>   Guelph</v>
          </cell>
          <cell r="I281">
            <v>0.089</v>
          </cell>
        </row>
        <row r="282">
          <cell r="B282" t="str">
            <v>   Barrie</v>
          </cell>
          <cell r="I282">
            <v>0.089</v>
          </cell>
        </row>
        <row r="283">
          <cell r="B283" t="str">
            <v>   Newmarket</v>
          </cell>
          <cell r="I283">
            <v>0.085</v>
          </cell>
        </row>
        <row r="286">
          <cell r="B286" t="str">
            <v>MEA Interpretation</v>
          </cell>
        </row>
        <row r="287">
          <cell r="B287" t="str">
            <v>  -  This ratio measures the average revenue realized for each kW.h sold.</v>
          </cell>
        </row>
        <row r="288">
          <cell r="B288" t="str">
            <v>  -  This measure is affected by the utility's rates and customers' consumption in each rate block as a proportion of total consumption.</v>
          </cell>
        </row>
        <row r="290">
          <cell r="B290" t="str">
            <v>CUSTOMER RATIOS (continued)</v>
          </cell>
          <cell r="G290">
            <v>1996</v>
          </cell>
          <cell r="H290">
            <v>1995</v>
          </cell>
          <cell r="I290">
            <v>1994</v>
          </cell>
          <cell r="J290">
            <v>1993</v>
          </cell>
          <cell r="K290">
            <v>1992</v>
          </cell>
          <cell r="L290">
            <v>1991</v>
          </cell>
          <cell r="M290">
            <v>1990</v>
          </cell>
          <cell r="N290">
            <v>1989</v>
          </cell>
          <cell r="O290">
            <v>1988</v>
          </cell>
          <cell r="P290">
            <v>1987</v>
          </cell>
          <cell r="Q290">
            <v>1986</v>
          </cell>
        </row>
        <row r="292">
          <cell r="B292" t="str">
            <v>Ratio 3 - General Service Revenue per kW.h Sold</v>
          </cell>
        </row>
        <row r="294">
          <cell r="B294" t="str">
            <v>RHHEC Calculation</v>
          </cell>
        </row>
        <row r="295">
          <cell r="B295" t="str">
            <v>  $g = Total General Service Billed Revenue [excludes unbilled adj]</v>
          </cell>
          <cell r="H295">
            <v>37647419</v>
          </cell>
          <cell r="I295">
            <v>35735338</v>
          </cell>
          <cell r="J295">
            <v>33961628</v>
          </cell>
          <cell r="K295">
            <v>30503562</v>
          </cell>
          <cell r="L295">
            <v>27115971</v>
          </cell>
          <cell r="M295">
            <v>22842920</v>
          </cell>
          <cell r="N295">
            <v>20310506</v>
          </cell>
          <cell r="O295">
            <v>16229235</v>
          </cell>
        </row>
        <row r="296">
          <cell r="B296" t="str">
            <v>  kW.h = Total General Service kW.h Sold [excludes unbilled adj]</v>
          </cell>
          <cell r="H296">
            <v>486261339</v>
          </cell>
          <cell r="I296">
            <v>460294595</v>
          </cell>
          <cell r="J296">
            <v>436743818</v>
          </cell>
          <cell r="K296">
            <v>425048618</v>
          </cell>
          <cell r="L296">
            <v>422349980.5</v>
          </cell>
          <cell r="M296">
            <v>383022261</v>
          </cell>
          <cell r="N296">
            <v>362812264</v>
          </cell>
          <cell r="O296">
            <v>302525278</v>
          </cell>
        </row>
        <row r="297">
          <cell r="B297" t="str">
            <v>  RHHEC Statistic</v>
          </cell>
          <cell r="H297">
            <v>0.07742219251364336</v>
          </cell>
          <cell r="I297">
            <v>0.07763579757003229</v>
          </cell>
          <cell r="J297">
            <v>0.07776098161050558</v>
          </cell>
          <cell r="K297">
            <v>0.07176487749455522</v>
          </cell>
          <cell r="L297">
            <v>0.0642026098069158</v>
          </cell>
          <cell r="M297">
            <v>0.059638622414168244</v>
          </cell>
          <cell r="N297">
            <v>0.05598075923916398</v>
          </cell>
          <cell r="O297">
            <v>0.05364588079148877</v>
          </cell>
        </row>
        <row r="298">
          <cell r="B298" t="str">
            <v>  % increase</v>
          </cell>
          <cell r="H298">
            <v>-0.002751373246294558</v>
          </cell>
          <cell r="I298">
            <v>-0.0016098567415252292</v>
          </cell>
          <cell r="J298">
            <v>0.08355207066862597</v>
          </cell>
          <cell r="K298">
            <v>0.11778754337841293</v>
          </cell>
          <cell r="L298">
            <v>0.07652737786349846</v>
          </cell>
          <cell r="M298">
            <v>0.0653414356060615</v>
          </cell>
          <cell r="N298">
            <v>0.04352390925876363</v>
          </cell>
        </row>
        <row r="301">
          <cell r="B301" t="str">
            <v>MEA Survey Results</v>
          </cell>
        </row>
        <row r="302">
          <cell r="B302" t="str">
            <v>   Average for all utilities</v>
          </cell>
          <cell r="I302">
            <v>0.074</v>
          </cell>
          <cell r="J302">
            <v>0.076</v>
          </cell>
        </row>
        <row r="303">
          <cell r="B303" t="str">
            <v>   Average for medium size utilities</v>
          </cell>
          <cell r="I303">
            <v>0.073</v>
          </cell>
          <cell r="J303">
            <v>0.076</v>
          </cell>
        </row>
        <row r="304">
          <cell r="B304" t="str">
            <v>   Brampton</v>
          </cell>
          <cell r="I304">
            <v>0.073</v>
          </cell>
        </row>
        <row r="305">
          <cell r="B305" t="str">
            <v>   Markham</v>
          </cell>
          <cell r="I305">
            <v>0.07100000000000001</v>
          </cell>
        </row>
        <row r="306">
          <cell r="B306" t="str">
            <v>   Vaughan</v>
          </cell>
          <cell r="I306">
            <v>0.073</v>
          </cell>
        </row>
        <row r="307">
          <cell r="B307" t="str">
            <v>   Guelph</v>
          </cell>
          <cell r="I307">
            <v>0.07100000000000001</v>
          </cell>
        </row>
        <row r="308">
          <cell r="B308" t="str">
            <v>   Barrie</v>
          </cell>
          <cell r="I308">
            <v>0.075</v>
          </cell>
        </row>
        <row r="309">
          <cell r="B309" t="str">
            <v>   Newmarket</v>
          </cell>
          <cell r="I309">
            <v>0.074</v>
          </cell>
        </row>
        <row r="312">
          <cell r="B312" t="str">
            <v>MEA Interpretation</v>
          </cell>
        </row>
        <row r="313">
          <cell r="B313" t="str">
            <v>  -  This ratio measures the average revenue realized for each kW.h sold.</v>
          </cell>
        </row>
        <row r="314">
          <cell r="B314" t="str">
            <v>  -  This measure is affected by the utility's rates and customers' consumption in each rate block as a proportion of total consumption.</v>
          </cell>
        </row>
        <row r="316">
          <cell r="B316" t="str">
            <v>FINANCIAL RATIOS</v>
          </cell>
          <cell r="G316">
            <v>1996</v>
          </cell>
          <cell r="H316">
            <v>1995</v>
          </cell>
          <cell r="I316">
            <v>1994</v>
          </cell>
          <cell r="J316">
            <v>1993</v>
          </cell>
          <cell r="K316">
            <v>1992</v>
          </cell>
          <cell r="L316">
            <v>1991</v>
          </cell>
          <cell r="M316">
            <v>1990</v>
          </cell>
          <cell r="N316">
            <v>1989</v>
          </cell>
          <cell r="O316">
            <v>1988</v>
          </cell>
          <cell r="P316">
            <v>1987</v>
          </cell>
          <cell r="Q316">
            <v>1986</v>
          </cell>
        </row>
        <row r="318">
          <cell r="A318" t="str">
            <v> </v>
          </cell>
          <cell r="B318" t="str">
            <v>Ratio 7 - Net Income as a Percentage of Total Revenue</v>
          </cell>
        </row>
        <row r="320">
          <cell r="B320" t="str">
            <v>RHHEC Calculation</v>
          </cell>
        </row>
        <row r="321">
          <cell r="B321" t="str">
            <v>  I = Net Income</v>
          </cell>
          <cell r="H321">
            <v>2334572</v>
          </cell>
          <cell r="I321">
            <v>2004076</v>
          </cell>
          <cell r="J321">
            <v>4277401</v>
          </cell>
          <cell r="K321">
            <v>2736315</v>
          </cell>
          <cell r="L321">
            <v>1828835</v>
          </cell>
          <cell r="M321">
            <v>2822825</v>
          </cell>
          <cell r="N321">
            <v>1667670</v>
          </cell>
          <cell r="O321">
            <v>1683396</v>
          </cell>
          <cell r="P321">
            <v>922962</v>
          </cell>
        </row>
        <row r="322">
          <cell r="B322" t="str">
            <v>  S = Service Revenue</v>
          </cell>
          <cell r="H322">
            <v>63977317</v>
          </cell>
          <cell r="I322">
            <v>61129019</v>
          </cell>
          <cell r="J322">
            <v>59002457</v>
          </cell>
          <cell r="K322">
            <v>52053813</v>
          </cell>
          <cell r="L322">
            <v>46956380</v>
          </cell>
          <cell r="M322">
            <v>40207351</v>
          </cell>
          <cell r="N322">
            <v>35606393</v>
          </cell>
          <cell r="O322">
            <v>29904126</v>
          </cell>
          <cell r="P322">
            <v>23165099</v>
          </cell>
        </row>
        <row r="323">
          <cell r="B323" t="str">
            <v>  M = Miscellaneous Revenue</v>
          </cell>
          <cell r="H323">
            <v>1252701</v>
          </cell>
          <cell r="I323">
            <v>1123410</v>
          </cell>
          <cell r="J323">
            <v>923897</v>
          </cell>
          <cell r="K323">
            <v>1237172</v>
          </cell>
          <cell r="L323">
            <v>1436233</v>
          </cell>
          <cell r="M323">
            <v>2138307</v>
          </cell>
          <cell r="N323">
            <v>1190186</v>
          </cell>
          <cell r="O323">
            <v>1113076</v>
          </cell>
          <cell r="P323">
            <v>1507160</v>
          </cell>
        </row>
        <row r="324">
          <cell r="B324" t="str">
            <v>  RHHEC Statistic</v>
          </cell>
          <cell r="H324">
            <v>3.5789841419329367</v>
          </cell>
          <cell r="I324">
            <v>3.2192735804734625</v>
          </cell>
          <cell r="J324">
            <v>7.1377627946462425</v>
          </cell>
          <cell r="K324">
            <v>5.134667711621393</v>
          </cell>
          <cell r="L324">
            <v>3.779161501363855</v>
          </cell>
          <cell r="M324">
            <v>6.666149809267339</v>
          </cell>
          <cell r="N324">
            <v>4.532133272497968</v>
          </cell>
          <cell r="O324">
            <v>5.427298052222763</v>
          </cell>
          <cell r="P324">
            <v>3.7408897174758096</v>
          </cell>
        </row>
        <row r="327">
          <cell r="B327" t="str">
            <v>MEA Survey Results</v>
          </cell>
        </row>
        <row r="328">
          <cell r="B328" t="str">
            <v>   Average for all utilities</v>
          </cell>
          <cell r="I328">
            <v>3.9</v>
          </cell>
          <cell r="J328">
            <v>4.5</v>
          </cell>
          <cell r="K328">
            <v>4.6</v>
          </cell>
          <cell r="L328">
            <v>5.8</v>
          </cell>
          <cell r="M328">
            <v>6.1</v>
          </cell>
          <cell r="N328">
            <v>5</v>
          </cell>
        </row>
        <row r="329">
          <cell r="B329" t="str">
            <v>   Average for medium size utilities</v>
          </cell>
          <cell r="I329">
            <v>4.2</v>
          </cell>
          <cell r="J329">
            <v>5.3</v>
          </cell>
          <cell r="K329">
            <v>4.8</v>
          </cell>
          <cell r="L329">
            <v>6.8</v>
          </cell>
          <cell r="M329">
            <v>6.4</v>
          </cell>
          <cell r="N329">
            <v>5.1</v>
          </cell>
        </row>
        <row r="330">
          <cell r="B330" t="str">
            <v>   Brampton</v>
          </cell>
          <cell r="I330">
            <v>0.6</v>
          </cell>
          <cell r="J330">
            <v>1.3</v>
          </cell>
          <cell r="K330">
            <v>2.3</v>
          </cell>
          <cell r="L330">
            <v>5.1</v>
          </cell>
          <cell r="M330">
            <v>5.7</v>
          </cell>
          <cell r="N330">
            <v>5.1</v>
          </cell>
        </row>
        <row r="331">
          <cell r="B331" t="str">
            <v>   Markham</v>
          </cell>
          <cell r="I331">
            <v>3.5</v>
          </cell>
          <cell r="J331">
            <v>6.5</v>
          </cell>
          <cell r="K331">
            <v>6.2</v>
          </cell>
          <cell r="L331">
            <v>7.1</v>
          </cell>
          <cell r="M331">
            <v>7.8</v>
          </cell>
          <cell r="N331">
            <v>8.1</v>
          </cell>
        </row>
        <row r="332">
          <cell r="B332" t="str">
            <v>   Vaughan</v>
          </cell>
          <cell r="I332">
            <v>1.6</v>
          </cell>
          <cell r="J332">
            <v>3.1</v>
          </cell>
          <cell r="K332">
            <v>4.8</v>
          </cell>
        </row>
        <row r="333">
          <cell r="B333" t="str">
            <v>   Guelph</v>
          </cell>
          <cell r="I333">
            <v>3.3</v>
          </cell>
          <cell r="J333">
            <v>5.1</v>
          </cell>
          <cell r="K333">
            <v>3.1</v>
          </cell>
          <cell r="L333">
            <v>3.5</v>
          </cell>
          <cell r="M333">
            <v>4.9</v>
          </cell>
          <cell r="N333">
            <v>5.5</v>
          </cell>
        </row>
        <row r="334">
          <cell r="B334" t="str">
            <v>   Barrie</v>
          </cell>
          <cell r="I334">
            <v>4.4</v>
          </cell>
          <cell r="J334">
            <v>8.3</v>
          </cell>
          <cell r="K334">
            <v>6.3</v>
          </cell>
          <cell r="L334">
            <v>4</v>
          </cell>
          <cell r="M334">
            <v>8.7</v>
          </cell>
          <cell r="N334">
            <v>6.8</v>
          </cell>
        </row>
        <row r="335">
          <cell r="B335" t="str">
            <v>   Newmarket</v>
          </cell>
          <cell r="I335">
            <v>5.2</v>
          </cell>
          <cell r="J335">
            <v>8</v>
          </cell>
          <cell r="K335">
            <v>6.2</v>
          </cell>
          <cell r="L335">
            <v>2.9</v>
          </cell>
          <cell r="M335">
            <v>5.9</v>
          </cell>
          <cell r="N335">
            <v>4.2</v>
          </cell>
        </row>
        <row r="338">
          <cell r="B338" t="str">
            <v>MEA Interpretation</v>
          </cell>
        </row>
        <row r="339">
          <cell r="B339" t="str">
            <v>  -  This ratio indicates the proportion of total revenue that is available to be used in investment in capital assets, the payment of debt</v>
          </cell>
        </row>
        <row r="340">
          <cell r="B340" t="str">
            <v>     or the accumulation of working capital.</v>
          </cell>
        </row>
        <row r="341">
          <cell r="B341" t="str">
            <v>  -  Changes in this ratio arise from differences in the relative changes in revenues and expenses.</v>
          </cell>
        </row>
        <row r="343">
          <cell r="B343" t="str">
            <v>FINANCIAL RATIOS (continued)</v>
          </cell>
          <cell r="G343">
            <v>1996</v>
          </cell>
          <cell r="H343">
            <v>1995</v>
          </cell>
          <cell r="I343">
            <v>1994</v>
          </cell>
          <cell r="J343">
            <v>1993</v>
          </cell>
          <cell r="K343">
            <v>1992</v>
          </cell>
          <cell r="L343">
            <v>1991</v>
          </cell>
          <cell r="M343">
            <v>1990</v>
          </cell>
          <cell r="N343">
            <v>1989</v>
          </cell>
          <cell r="O343">
            <v>1988</v>
          </cell>
          <cell r="P343">
            <v>1987</v>
          </cell>
          <cell r="Q343">
            <v>1986</v>
          </cell>
        </row>
        <row r="345">
          <cell r="A345" t="str">
            <v> </v>
          </cell>
          <cell r="B345" t="str">
            <v>Ratio 8 - Debt / Equity Ratio</v>
          </cell>
        </row>
        <row r="347">
          <cell r="B347" t="str">
            <v>RHHEC Calculation</v>
          </cell>
        </row>
        <row r="348">
          <cell r="B348" t="str">
            <v>  D = Debt</v>
          </cell>
          <cell r="H348">
            <v>15935869</v>
          </cell>
          <cell r="I348">
            <v>18852750</v>
          </cell>
          <cell r="J348">
            <v>21543295</v>
          </cell>
          <cell r="K348">
            <v>18377260</v>
          </cell>
          <cell r="L348">
            <v>20529781</v>
          </cell>
          <cell r="M348">
            <v>9714556</v>
          </cell>
          <cell r="N348">
            <v>8555262</v>
          </cell>
          <cell r="O348">
            <v>9406479</v>
          </cell>
          <cell r="P348">
            <v>7603757</v>
          </cell>
        </row>
        <row r="349">
          <cell r="B349" t="str">
            <v>  E = Equity</v>
          </cell>
          <cell r="H349">
            <v>32886017</v>
          </cell>
          <cell r="I349">
            <v>30551445</v>
          </cell>
          <cell r="J349">
            <v>28547369</v>
          </cell>
          <cell r="K349">
            <v>24269968</v>
          </cell>
          <cell r="L349">
            <v>21533653</v>
          </cell>
          <cell r="M349">
            <v>19704818</v>
          </cell>
          <cell r="N349">
            <v>16881993</v>
          </cell>
          <cell r="O349">
            <v>15214323</v>
          </cell>
          <cell r="P349">
            <v>13530927</v>
          </cell>
        </row>
        <row r="350">
          <cell r="B350" t="str">
            <v>  RHHEC Statistic</v>
          </cell>
          <cell r="H350">
            <v>48.45788713178613</v>
          </cell>
          <cell r="I350">
            <v>61.70821052817632</v>
          </cell>
          <cell r="J350">
            <v>75.46508051232323</v>
          </cell>
          <cell r="K350">
            <v>75.72016576206445</v>
          </cell>
          <cell r="L350">
            <v>95.33812493402768</v>
          </cell>
          <cell r="M350">
            <v>49.30040967645578</v>
          </cell>
          <cell r="N350">
            <v>50.67684840291072</v>
          </cell>
          <cell r="O350">
            <v>61.82647101681751</v>
          </cell>
          <cell r="P350">
            <v>56.195388534724934</v>
          </cell>
        </row>
        <row r="353">
          <cell r="B353" t="str">
            <v>MEA Survey Results</v>
          </cell>
        </row>
        <row r="354">
          <cell r="B354" t="str">
            <v>   Average for all utilities</v>
          </cell>
          <cell r="I354">
            <v>10.8</v>
          </cell>
          <cell r="J354">
            <v>9.8</v>
          </cell>
          <cell r="K354">
            <v>12.9</v>
          </cell>
          <cell r="L354">
            <v>15</v>
          </cell>
          <cell r="M354">
            <v>14</v>
          </cell>
          <cell r="N354">
            <v>14.7</v>
          </cell>
        </row>
        <row r="355">
          <cell r="B355" t="str">
            <v>   Average for medium size utilities</v>
          </cell>
          <cell r="I355">
            <v>10.3</v>
          </cell>
          <cell r="J355">
            <v>12.3</v>
          </cell>
          <cell r="K355">
            <v>15.5</v>
          </cell>
          <cell r="L355">
            <v>19.3</v>
          </cell>
          <cell r="M355">
            <v>19</v>
          </cell>
          <cell r="N355">
            <v>18.7</v>
          </cell>
        </row>
        <row r="356">
          <cell r="B356" t="str">
            <v>   Brampton</v>
          </cell>
          <cell r="I356">
            <v>38</v>
          </cell>
          <cell r="J356">
            <v>43.8</v>
          </cell>
          <cell r="K356">
            <v>50.6</v>
          </cell>
          <cell r="L356">
            <v>49.1</v>
          </cell>
          <cell r="M356">
            <v>37.2</v>
          </cell>
          <cell r="N356">
            <v>46.4</v>
          </cell>
        </row>
        <row r="357">
          <cell r="B357" t="str">
            <v>   Markham</v>
          </cell>
          <cell r="I357">
            <v>12</v>
          </cell>
          <cell r="J357">
            <v>28</v>
          </cell>
          <cell r="K357">
            <v>40.1</v>
          </cell>
          <cell r="L357">
            <v>32.9</v>
          </cell>
          <cell r="M357">
            <v>47.4</v>
          </cell>
          <cell r="N357">
            <v>60.6</v>
          </cell>
        </row>
        <row r="358">
          <cell r="B358" t="str">
            <v>   Vaughan</v>
          </cell>
          <cell r="I358">
            <v>21.5</v>
          </cell>
          <cell r="J358">
            <v>24.7</v>
          </cell>
          <cell r="K358">
            <v>14</v>
          </cell>
        </row>
        <row r="359">
          <cell r="B359" t="str">
            <v>   Guelph</v>
          </cell>
          <cell r="I359">
            <v>14.1</v>
          </cell>
          <cell r="J359">
            <v>7.1</v>
          </cell>
          <cell r="K359">
            <v>0.9</v>
          </cell>
          <cell r="L359">
            <v>1.3</v>
          </cell>
          <cell r="M359">
            <v>1.9</v>
          </cell>
          <cell r="N359">
            <v>2.6</v>
          </cell>
        </row>
        <row r="360">
          <cell r="B360" t="str">
            <v>   Barrie</v>
          </cell>
          <cell r="I360">
            <v>33.4</v>
          </cell>
          <cell r="J360">
            <v>40.9</v>
          </cell>
          <cell r="K360">
            <v>39.5</v>
          </cell>
          <cell r="L360">
            <v>44.3</v>
          </cell>
          <cell r="M360">
            <v>51.8</v>
          </cell>
          <cell r="N360">
            <v>44</v>
          </cell>
        </row>
        <row r="361">
          <cell r="B361" t="str">
            <v>   Newmarket</v>
          </cell>
          <cell r="I361">
            <v>0.1</v>
          </cell>
          <cell r="J361">
            <v>0.1</v>
          </cell>
          <cell r="K361">
            <v>0.7</v>
          </cell>
          <cell r="L361">
            <v>1.1</v>
          </cell>
          <cell r="M361">
            <v>1.4</v>
          </cell>
          <cell r="N361">
            <v>1.8</v>
          </cell>
        </row>
        <row r="364">
          <cell r="B364" t="str">
            <v>MEA Interpretation</v>
          </cell>
        </row>
        <row r="365">
          <cell r="B365" t="str">
            <v>  -  This ratio expresses the relationship between debt and utility equity and measures the extent to which assets are financed by debt.</v>
          </cell>
        </row>
        <row r="366">
          <cell r="B366" t="str">
            <v>  -  The higher the ratio, the higher the value of assets financed by debt.     A high debt ratio means a commission is not generating</v>
          </cell>
        </row>
        <row r="367">
          <cell r="B367" t="str">
            <v>     sufficient internal funds to finance new construction and asset aquisition.</v>
          </cell>
        </row>
        <row r="369">
          <cell r="B369" t="str">
            <v>FINANCIAL RATIOS (continued)</v>
          </cell>
          <cell r="G369">
            <v>1996</v>
          </cell>
          <cell r="H369">
            <v>1995</v>
          </cell>
          <cell r="I369">
            <v>1994</v>
          </cell>
          <cell r="J369">
            <v>1993</v>
          </cell>
          <cell r="K369">
            <v>1992</v>
          </cell>
          <cell r="L369">
            <v>1991</v>
          </cell>
          <cell r="M369">
            <v>1990</v>
          </cell>
          <cell r="N369">
            <v>1989</v>
          </cell>
          <cell r="O369">
            <v>1988</v>
          </cell>
          <cell r="P369">
            <v>1987</v>
          </cell>
          <cell r="Q369">
            <v>1986</v>
          </cell>
        </row>
        <row r="371">
          <cell r="B371" t="str">
            <v>Ratio 9 - Current Ratio</v>
          </cell>
        </row>
        <row r="373">
          <cell r="B373" t="str">
            <v>RHHEC Calculation</v>
          </cell>
        </row>
        <row r="374">
          <cell r="B374" t="str">
            <v>  CA = Current Assets</v>
          </cell>
          <cell r="H374">
            <v>18346066</v>
          </cell>
          <cell r="I374">
            <v>17816636</v>
          </cell>
          <cell r="J374">
            <v>16055544</v>
          </cell>
          <cell r="K374">
            <v>11099204</v>
          </cell>
          <cell r="L374">
            <v>22657376</v>
          </cell>
          <cell r="M374">
            <v>13642527</v>
          </cell>
          <cell r="N374">
            <v>13629588</v>
          </cell>
          <cell r="O374">
            <v>9208784</v>
          </cell>
          <cell r="P374">
            <v>7483341</v>
          </cell>
        </row>
        <row r="375">
          <cell r="B375" t="str">
            <v>  CL = Current liabilities</v>
          </cell>
          <cell r="H375">
            <v>10537969</v>
          </cell>
          <cell r="I375">
            <v>10678144</v>
          </cell>
          <cell r="J375">
            <v>10384080</v>
          </cell>
          <cell r="K375">
            <v>11618184</v>
          </cell>
          <cell r="L375">
            <v>10113881</v>
          </cell>
          <cell r="M375">
            <v>8813484</v>
          </cell>
          <cell r="N375">
            <v>11274446</v>
          </cell>
          <cell r="O375">
            <v>5662212</v>
          </cell>
          <cell r="P375">
            <v>4774422</v>
          </cell>
        </row>
        <row r="376">
          <cell r="B376" t="str">
            <v>  RHHEC Statistic</v>
          </cell>
          <cell r="H376">
            <v>1.740948943767058</v>
          </cell>
          <cell r="I376">
            <v>1.6685143036093164</v>
          </cell>
          <cell r="J376">
            <v>1.5461691358310028</v>
          </cell>
          <cell r="K376">
            <v>0.9553303683260654</v>
          </cell>
          <cell r="L376">
            <v>2.2402256858667804</v>
          </cell>
          <cell r="M376">
            <v>1.5479153306456335</v>
          </cell>
          <cell r="N376">
            <v>1.2088920377994625</v>
          </cell>
          <cell r="O376">
            <v>1.626358038166003</v>
          </cell>
          <cell r="P376">
            <v>1.5673815594851062</v>
          </cell>
        </row>
        <row r="379">
          <cell r="B379" t="str">
            <v>MEA Survey Results</v>
          </cell>
        </row>
        <row r="380">
          <cell r="B380" t="str">
            <v>   Average for all utilities</v>
          </cell>
          <cell r="I380">
            <v>2.6</v>
          </cell>
          <cell r="J380">
            <v>2.4</v>
          </cell>
          <cell r="K380">
            <v>2.4</v>
          </cell>
          <cell r="L380">
            <v>2.3</v>
          </cell>
          <cell r="M380">
            <v>2.5</v>
          </cell>
          <cell r="N380">
            <v>2.2</v>
          </cell>
        </row>
        <row r="381">
          <cell r="B381" t="str">
            <v>   Average for medium size utilities</v>
          </cell>
          <cell r="I381">
            <v>2.7</v>
          </cell>
          <cell r="J381">
            <v>2.4</v>
          </cell>
          <cell r="K381">
            <v>2.4</v>
          </cell>
          <cell r="L381">
            <v>2.2</v>
          </cell>
          <cell r="M381">
            <v>2.4</v>
          </cell>
          <cell r="N381">
            <v>2.1</v>
          </cell>
        </row>
        <row r="382">
          <cell r="B382" t="str">
            <v>   Brampton</v>
          </cell>
          <cell r="I382">
            <v>1.1</v>
          </cell>
          <cell r="J382">
            <v>1.2</v>
          </cell>
          <cell r="K382">
            <v>1.7</v>
          </cell>
          <cell r="L382">
            <v>1.5</v>
          </cell>
          <cell r="M382">
            <v>1.5</v>
          </cell>
          <cell r="N382">
            <v>1.7</v>
          </cell>
        </row>
        <row r="383">
          <cell r="B383" t="str">
            <v>   Markham</v>
          </cell>
          <cell r="I383">
            <v>2.2</v>
          </cell>
          <cell r="J383">
            <v>1.9</v>
          </cell>
          <cell r="K383">
            <v>1.6</v>
          </cell>
          <cell r="L383">
            <v>1.3</v>
          </cell>
          <cell r="M383">
            <v>1.5</v>
          </cell>
          <cell r="N383">
            <v>1.3</v>
          </cell>
        </row>
        <row r="384">
          <cell r="B384" t="str">
            <v>   Vaughan</v>
          </cell>
          <cell r="I384">
            <v>1.7</v>
          </cell>
          <cell r="J384">
            <v>1.6</v>
          </cell>
          <cell r="K384">
            <v>1.2</v>
          </cell>
        </row>
        <row r="385">
          <cell r="B385" t="str">
            <v>   Guelph</v>
          </cell>
          <cell r="I385">
            <v>2.1</v>
          </cell>
          <cell r="J385">
            <v>2.2</v>
          </cell>
          <cell r="K385">
            <v>1.8</v>
          </cell>
          <cell r="L385">
            <v>2</v>
          </cell>
          <cell r="M385">
            <v>2.3</v>
          </cell>
        </row>
        <row r="386">
          <cell r="B386" t="str">
            <v>   Barrie</v>
          </cell>
          <cell r="I386">
            <v>2.2</v>
          </cell>
          <cell r="J386">
            <v>2.1</v>
          </cell>
          <cell r="K386">
            <v>1.8</v>
          </cell>
          <cell r="L386">
            <v>1.4</v>
          </cell>
          <cell r="M386">
            <v>1.5</v>
          </cell>
          <cell r="N386">
            <v>1.2</v>
          </cell>
        </row>
        <row r="387">
          <cell r="B387" t="str">
            <v>   Newmarket</v>
          </cell>
          <cell r="I387">
            <v>2.6</v>
          </cell>
          <cell r="J387">
            <v>2.4</v>
          </cell>
          <cell r="K387">
            <v>2.9</v>
          </cell>
          <cell r="L387">
            <v>2.2</v>
          </cell>
          <cell r="M387">
            <v>2.8</v>
          </cell>
          <cell r="N387">
            <v>1.9</v>
          </cell>
        </row>
        <row r="390">
          <cell r="B390" t="str">
            <v>MEA Interpretation</v>
          </cell>
        </row>
        <row r="391">
          <cell r="B391" t="str">
            <v>  -  This ratio is an indicator of the utility's liquidity and ability to meet it's short term obligations.</v>
          </cell>
        </row>
        <row r="392">
          <cell r="B392" t="str">
            <v>  -  A higher ratio indicates more liquidity.</v>
          </cell>
        </row>
        <row r="394">
          <cell r="B394" t="str">
            <v>FINANCIAL RATIOS (continued)</v>
          </cell>
          <cell r="G394">
            <v>1996</v>
          </cell>
          <cell r="H394">
            <v>1995</v>
          </cell>
          <cell r="I394">
            <v>1994</v>
          </cell>
          <cell r="J394">
            <v>1993</v>
          </cell>
          <cell r="K394">
            <v>1992</v>
          </cell>
          <cell r="L394">
            <v>1991</v>
          </cell>
          <cell r="M394">
            <v>1990</v>
          </cell>
          <cell r="N394">
            <v>1989</v>
          </cell>
          <cell r="O394">
            <v>1988</v>
          </cell>
          <cell r="P394">
            <v>1987</v>
          </cell>
          <cell r="Q394">
            <v>1986</v>
          </cell>
        </row>
        <row r="396">
          <cell r="B396" t="str">
            <v>Ratio 10 - Number of Days Cash Reserve</v>
          </cell>
        </row>
        <row r="398">
          <cell r="B398" t="str">
            <v>RHHEC Calculation</v>
          </cell>
        </row>
        <row r="399">
          <cell r="B399" t="str">
            <v>  N = Cash</v>
          </cell>
          <cell r="H399">
            <v>5966520</v>
          </cell>
          <cell r="I399">
            <v>6141762</v>
          </cell>
          <cell r="J399">
            <v>5082359</v>
          </cell>
          <cell r="K399">
            <v>252257</v>
          </cell>
          <cell r="L399">
            <v>11645815</v>
          </cell>
          <cell r="M399">
            <v>1720225</v>
          </cell>
          <cell r="N399">
            <v>1070</v>
          </cell>
          <cell r="O399">
            <v>650</v>
          </cell>
          <cell r="P399">
            <v>373665</v>
          </cell>
        </row>
        <row r="400">
          <cell r="B400" t="str">
            <v>  P = Cost of Power</v>
          </cell>
          <cell r="H400">
            <v>50595778</v>
          </cell>
          <cell r="I400">
            <v>48236653</v>
          </cell>
          <cell r="J400">
            <v>45553121</v>
          </cell>
          <cell r="K400">
            <v>42171256</v>
          </cell>
          <cell r="L400">
            <v>38572043</v>
          </cell>
          <cell r="M400">
            <v>32755875</v>
          </cell>
          <cell r="N400">
            <v>29453746</v>
          </cell>
          <cell r="O400">
            <v>24203444</v>
          </cell>
          <cell r="P400">
            <v>19645347</v>
          </cell>
        </row>
        <row r="401">
          <cell r="B401" t="str">
            <v>  C = Controllables</v>
          </cell>
          <cell r="H401">
            <v>6065886</v>
          </cell>
          <cell r="I401">
            <v>5760329</v>
          </cell>
          <cell r="J401">
            <v>5624176</v>
          </cell>
          <cell r="K401">
            <v>5481732</v>
          </cell>
          <cell r="L401">
            <v>5237112</v>
          </cell>
          <cell r="M401">
            <v>4402849</v>
          </cell>
          <cell r="N401">
            <v>3617994</v>
          </cell>
          <cell r="O401">
            <v>3113299</v>
          </cell>
          <cell r="P401">
            <v>2433395</v>
          </cell>
        </row>
        <row r="402">
          <cell r="B402" t="str">
            <v>  I = Interest +  Principal on Debenture debt</v>
          </cell>
          <cell r="H402">
            <v>4688571</v>
          </cell>
          <cell r="I402">
            <v>4671858</v>
          </cell>
          <cell r="J402">
            <v>4357413</v>
          </cell>
          <cell r="K402">
            <v>3286447</v>
          </cell>
          <cell r="L402">
            <v>2429257</v>
          </cell>
          <cell r="M402">
            <v>2147295</v>
          </cell>
          <cell r="N402">
            <v>1926227</v>
          </cell>
          <cell r="O402">
            <v>1625626</v>
          </cell>
          <cell r="P402">
            <v>1284592</v>
          </cell>
        </row>
        <row r="403">
          <cell r="B403" t="str">
            <v>  K = Capital expenditures </v>
          </cell>
          <cell r="H403">
            <v>4690751</v>
          </cell>
          <cell r="I403">
            <v>4486962</v>
          </cell>
          <cell r="J403">
            <v>6896860</v>
          </cell>
          <cell r="K403">
            <v>18766998</v>
          </cell>
          <cell r="L403">
            <v>11366906</v>
          </cell>
          <cell r="M403">
            <v>10484212</v>
          </cell>
          <cell r="N403">
            <v>8080473</v>
          </cell>
          <cell r="O403">
            <v>8748538</v>
          </cell>
          <cell r="P403">
            <v>9928054</v>
          </cell>
        </row>
        <row r="404">
          <cell r="B404" t="str">
            <v>  D =  (P + C + I +K)</v>
          </cell>
          <cell r="H404">
            <v>66040986</v>
          </cell>
          <cell r="I404">
            <v>63155802</v>
          </cell>
          <cell r="J404">
            <v>62431570</v>
          </cell>
          <cell r="K404">
            <v>69706433</v>
          </cell>
          <cell r="L404">
            <v>57605318</v>
          </cell>
          <cell r="M404">
            <v>49790231</v>
          </cell>
          <cell r="N404">
            <v>43078440</v>
          </cell>
          <cell r="O404">
            <v>37690907</v>
          </cell>
          <cell r="P404">
            <v>33291388</v>
          </cell>
        </row>
        <row r="405">
          <cell r="B405" t="str">
            <v>  RHHEC Statistic</v>
          </cell>
          <cell r="H405">
            <v>32.97618542521458</v>
          </cell>
          <cell r="I405">
            <v>35.49544236648281</v>
          </cell>
          <cell r="J405">
            <v>29.7135092870482</v>
          </cell>
          <cell r="K405">
            <v>1.3208795951443963</v>
          </cell>
          <cell r="L405">
            <v>73.79045238496904</v>
          </cell>
          <cell r="M405">
            <v>12.61054854314695</v>
          </cell>
          <cell r="N405">
            <v>0.009066020032294578</v>
          </cell>
          <cell r="O405">
            <v>0.006294621670951033</v>
          </cell>
          <cell r="P405">
            <v>4.096786982867761</v>
          </cell>
        </row>
        <row r="408">
          <cell r="B408" t="str">
            <v>MEA Survey Results</v>
          </cell>
        </row>
        <row r="409">
          <cell r="B409" t="str">
            <v>   Average for all utilities</v>
          </cell>
          <cell r="I409">
            <v>59.72</v>
          </cell>
          <cell r="J409">
            <v>51.08</v>
          </cell>
          <cell r="K409">
            <v>44.9</v>
          </cell>
          <cell r="L409">
            <v>39.94</v>
          </cell>
          <cell r="M409">
            <v>30.97</v>
          </cell>
          <cell r="N409">
            <v>32.09</v>
          </cell>
        </row>
        <row r="410">
          <cell r="B410" t="str">
            <v>   Average for medium size utilities</v>
          </cell>
          <cell r="I410">
            <v>61.89</v>
          </cell>
          <cell r="J410">
            <v>48.79</v>
          </cell>
          <cell r="K410">
            <v>39.02</v>
          </cell>
          <cell r="L410">
            <v>35.87</v>
          </cell>
          <cell r="M410">
            <v>24.4</v>
          </cell>
          <cell r="N410">
            <v>28.99</v>
          </cell>
        </row>
        <row r="411">
          <cell r="B411" t="str">
            <v>   Brampton</v>
          </cell>
          <cell r="I411">
            <v>1.9</v>
          </cell>
          <cell r="J411">
            <v>1.33</v>
          </cell>
          <cell r="K411">
            <v>10.1</v>
          </cell>
          <cell r="L411">
            <v>18.1</v>
          </cell>
          <cell r="M411">
            <v>14</v>
          </cell>
          <cell r="N411">
            <v>21.4</v>
          </cell>
        </row>
        <row r="412">
          <cell r="B412" t="str">
            <v>   Markham</v>
          </cell>
          <cell r="I412">
            <v>54.6</v>
          </cell>
          <cell r="J412">
            <v>44.7</v>
          </cell>
          <cell r="K412">
            <v>32.1</v>
          </cell>
          <cell r="L412">
            <v>27.3</v>
          </cell>
          <cell r="M412">
            <v>16.4</v>
          </cell>
          <cell r="N412">
            <v>3.4</v>
          </cell>
        </row>
        <row r="413">
          <cell r="B413" t="str">
            <v>   Vaughan</v>
          </cell>
          <cell r="I413">
            <v>5.43</v>
          </cell>
          <cell r="J413">
            <v>0</v>
          </cell>
          <cell r="K413">
            <v>59</v>
          </cell>
        </row>
        <row r="414">
          <cell r="B414" t="str">
            <v>   Guelph</v>
          </cell>
          <cell r="I414">
            <v>30.6</v>
          </cell>
          <cell r="J414">
            <v>38.69</v>
          </cell>
          <cell r="K414">
            <v>26</v>
          </cell>
          <cell r="L414">
            <v>35.71</v>
          </cell>
          <cell r="M414">
            <v>37.33</v>
          </cell>
        </row>
        <row r="415">
          <cell r="B415" t="str">
            <v>   Barrie</v>
          </cell>
          <cell r="I415">
            <v>80.95</v>
          </cell>
          <cell r="J415">
            <v>60.7</v>
          </cell>
          <cell r="K415">
            <v>36.5</v>
          </cell>
          <cell r="L415">
            <v>14.7</v>
          </cell>
          <cell r="M415">
            <v>14.5</v>
          </cell>
          <cell r="N415">
            <v>1</v>
          </cell>
        </row>
        <row r="416">
          <cell r="B416" t="str">
            <v>   Newmarket</v>
          </cell>
          <cell r="I416">
            <v>46.44</v>
          </cell>
          <cell r="J416">
            <v>45.25</v>
          </cell>
          <cell r="K416">
            <v>26.6</v>
          </cell>
          <cell r="L416">
            <v>20.5</v>
          </cell>
          <cell r="M416">
            <v>19.2</v>
          </cell>
          <cell r="N416">
            <v>15.9</v>
          </cell>
        </row>
        <row r="419">
          <cell r="B419" t="str">
            <v>MEA Interpretation</v>
          </cell>
        </row>
        <row r="420">
          <cell r="B420" t="str">
            <v>  -  This ratio measures the utility's ability to meet its short term cash requirements and indicates the adequacy of cash and short term </v>
          </cell>
        </row>
        <row r="421">
          <cell r="B421" t="str">
            <v>      investment levels.     The greater the number of days reserve, the better the utility's ability to meet its short term cash requirements.</v>
          </cell>
        </row>
        <row r="423">
          <cell r="B423" t="str">
            <v>FINANCIAL RATIOS (continued)</v>
          </cell>
          <cell r="G423">
            <v>1996</v>
          </cell>
          <cell r="H423">
            <v>1995</v>
          </cell>
          <cell r="I423">
            <v>1994</v>
          </cell>
          <cell r="J423">
            <v>1993</v>
          </cell>
          <cell r="K423">
            <v>1992</v>
          </cell>
          <cell r="L423">
            <v>1991</v>
          </cell>
          <cell r="M423">
            <v>1990</v>
          </cell>
          <cell r="N423">
            <v>1989</v>
          </cell>
          <cell r="O423">
            <v>1988</v>
          </cell>
          <cell r="P423">
            <v>1987</v>
          </cell>
          <cell r="Q423">
            <v>1986</v>
          </cell>
        </row>
        <row r="425">
          <cell r="B425" t="str">
            <v>Ratio 11 - Number of Days Sales Outstanding</v>
          </cell>
        </row>
        <row r="427">
          <cell r="B427" t="str">
            <v>RHHEC Calculation</v>
          </cell>
        </row>
        <row r="428">
          <cell r="B428" t="str">
            <v>  A = Accounts Receivable Energy [excludes unbilled]</v>
          </cell>
          <cell r="H428">
            <v>4015314</v>
          </cell>
          <cell r="I428">
            <v>3362010</v>
          </cell>
          <cell r="J428">
            <v>2889282</v>
          </cell>
          <cell r="K428">
            <v>3301765</v>
          </cell>
          <cell r="L428">
            <v>2963692</v>
          </cell>
          <cell r="M428">
            <v>2771334</v>
          </cell>
          <cell r="N428">
            <v>3007676</v>
          </cell>
          <cell r="O428">
            <v>2195798</v>
          </cell>
          <cell r="P428">
            <v>1793769</v>
          </cell>
        </row>
        <row r="429">
          <cell r="B429" t="str">
            <v>  S = Service Revenue [includes unbilled]</v>
          </cell>
          <cell r="H429">
            <v>63977000</v>
          </cell>
          <cell r="I429">
            <v>61129000</v>
          </cell>
          <cell r="J429">
            <v>59002000</v>
          </cell>
          <cell r="K429">
            <v>52054000</v>
          </cell>
          <cell r="L429">
            <v>46956000</v>
          </cell>
          <cell r="M429">
            <v>40207000</v>
          </cell>
          <cell r="N429">
            <v>35606000</v>
          </cell>
          <cell r="O429">
            <v>29904000</v>
          </cell>
          <cell r="P429">
            <v>23165000</v>
          </cell>
        </row>
        <row r="430">
          <cell r="B430" t="str">
            <v>  RHHEC Statistic</v>
          </cell>
          <cell r="H430">
            <v>22.908070243993933</v>
          </cell>
          <cell r="I430">
            <v>20.074492466750645</v>
          </cell>
          <cell r="J430">
            <v>17.873765804549</v>
          </cell>
          <cell r="K430">
            <v>23.151808218388595</v>
          </cell>
          <cell r="L430">
            <v>23.037472953403185</v>
          </cell>
          <cell r="M430">
            <v>25.158228915362997</v>
          </cell>
          <cell r="N430">
            <v>30.83193113520193</v>
          </cell>
          <cell r="O430">
            <v>26.801306514178705</v>
          </cell>
          <cell r="P430">
            <v>28.26357371033887</v>
          </cell>
        </row>
        <row r="433">
          <cell r="B433" t="str">
            <v>MEA Survey Results</v>
          </cell>
        </row>
        <row r="434">
          <cell r="B434" t="str">
            <v>   Average for all utilities</v>
          </cell>
          <cell r="I434">
            <v>20.1</v>
          </cell>
          <cell r="J434">
            <v>20.1</v>
          </cell>
          <cell r="K434">
            <v>20</v>
          </cell>
          <cell r="L434">
            <v>22.6</v>
          </cell>
          <cell r="M434">
            <v>21</v>
          </cell>
          <cell r="N434">
            <v>22.1</v>
          </cell>
        </row>
        <row r="435">
          <cell r="B435" t="str">
            <v>   Average for medium size utilities</v>
          </cell>
          <cell r="I435">
            <v>21.9</v>
          </cell>
          <cell r="J435">
            <v>21.2</v>
          </cell>
          <cell r="K435">
            <v>21.2</v>
          </cell>
          <cell r="L435">
            <v>25</v>
          </cell>
          <cell r="M435">
            <v>24.3</v>
          </cell>
          <cell r="N435">
            <v>24.5</v>
          </cell>
        </row>
        <row r="436">
          <cell r="B436" t="str">
            <v>   Brampton</v>
          </cell>
          <cell r="I436">
            <v>36.2</v>
          </cell>
          <cell r="J436">
            <v>38.3</v>
          </cell>
          <cell r="K436">
            <v>38.9</v>
          </cell>
          <cell r="L436">
            <v>41.4</v>
          </cell>
          <cell r="M436">
            <v>35.5</v>
          </cell>
          <cell r="N436">
            <v>36.4</v>
          </cell>
        </row>
        <row r="437">
          <cell r="B437" t="str">
            <v>   Markham</v>
          </cell>
          <cell r="I437">
            <v>9.7</v>
          </cell>
          <cell r="J437">
            <v>11.5</v>
          </cell>
          <cell r="K437">
            <v>12.9</v>
          </cell>
          <cell r="L437">
            <v>10.3</v>
          </cell>
          <cell r="M437">
            <v>16.2</v>
          </cell>
          <cell r="N437">
            <v>19</v>
          </cell>
        </row>
        <row r="438">
          <cell r="B438" t="str">
            <v>   Vaughan</v>
          </cell>
          <cell r="I438">
            <v>39.1</v>
          </cell>
          <cell r="J438">
            <v>35.5</v>
          </cell>
          <cell r="K438">
            <v>45.7</v>
          </cell>
        </row>
        <row r="439">
          <cell r="B439" t="str">
            <v>   Guelph</v>
          </cell>
          <cell r="I439">
            <v>10</v>
          </cell>
          <cell r="J439">
            <v>7.7</v>
          </cell>
          <cell r="K439">
            <v>7.3</v>
          </cell>
          <cell r="L439">
            <v>10.6</v>
          </cell>
          <cell r="M439">
            <v>9.1</v>
          </cell>
        </row>
        <row r="440">
          <cell r="B440" t="str">
            <v>   Barrie</v>
          </cell>
          <cell r="I440">
            <v>17.5</v>
          </cell>
          <cell r="J440">
            <v>23.5</v>
          </cell>
          <cell r="K440">
            <v>24.6</v>
          </cell>
          <cell r="L440">
            <v>19.2</v>
          </cell>
          <cell r="M440">
            <v>14.8</v>
          </cell>
          <cell r="N440">
            <v>19.6</v>
          </cell>
        </row>
        <row r="441">
          <cell r="B441" t="str">
            <v>   Newmarket</v>
          </cell>
          <cell r="I441">
            <v>30.8</v>
          </cell>
          <cell r="J441">
            <v>29.6</v>
          </cell>
          <cell r="K441">
            <v>30.7</v>
          </cell>
          <cell r="L441">
            <v>30.6</v>
          </cell>
          <cell r="M441">
            <v>29.3</v>
          </cell>
          <cell r="N441">
            <v>30.2</v>
          </cell>
        </row>
        <row r="444">
          <cell r="B444" t="str">
            <v>MEA Interpretation</v>
          </cell>
        </row>
        <row r="445">
          <cell r="B445" t="str">
            <v>  -  This ratio provides an indication of the utility's ability to expedite the collectionof accounts receivable arising from the sale of energy.</v>
          </cell>
        </row>
        <row r="446">
          <cell r="B446" t="str">
            <v>  -  This ratio is influenced by utility collection practices.      It should be considered together with the Number of Days of Unbilled Revenue.</v>
          </cell>
        </row>
        <row r="448">
          <cell r="B448" t="str">
            <v>FINANCIAL RATIOS (continued)</v>
          </cell>
          <cell r="G448">
            <v>1996</v>
          </cell>
          <cell r="H448">
            <v>1995</v>
          </cell>
          <cell r="I448">
            <v>1994</v>
          </cell>
          <cell r="J448">
            <v>1993</v>
          </cell>
          <cell r="K448">
            <v>1992</v>
          </cell>
          <cell r="L448">
            <v>1991</v>
          </cell>
          <cell r="M448">
            <v>1990</v>
          </cell>
          <cell r="N448">
            <v>1989</v>
          </cell>
          <cell r="O448">
            <v>1988</v>
          </cell>
          <cell r="P448">
            <v>1987</v>
          </cell>
          <cell r="Q448">
            <v>1986</v>
          </cell>
        </row>
        <row r="450">
          <cell r="B450" t="str">
            <v>Ratio 34 - Number of Days of Unbilled Revenue</v>
          </cell>
        </row>
        <row r="452">
          <cell r="B452" t="str">
            <v>RHHEC Calculation</v>
          </cell>
        </row>
        <row r="453">
          <cell r="B453" t="str">
            <v>  U = Unbilled Revenue</v>
          </cell>
          <cell r="H453">
            <v>4545839</v>
          </cell>
          <cell r="I453">
            <v>4784041</v>
          </cell>
          <cell r="J453">
            <v>4750201</v>
          </cell>
          <cell r="K453">
            <v>3882186</v>
          </cell>
          <cell r="L453">
            <v>3449816</v>
          </cell>
          <cell r="M453">
            <v>2952565</v>
          </cell>
          <cell r="N453">
            <v>2777189</v>
          </cell>
          <cell r="O453">
            <v>2709470</v>
          </cell>
          <cell r="P453">
            <v>1462000</v>
          </cell>
        </row>
        <row r="454">
          <cell r="B454" t="str">
            <v>  S = Service Revenue [includes unbilled]</v>
          </cell>
          <cell r="H454">
            <v>63977000</v>
          </cell>
          <cell r="I454">
            <v>61129000</v>
          </cell>
          <cell r="J454">
            <v>59002000</v>
          </cell>
          <cell r="K454">
            <v>52054000</v>
          </cell>
          <cell r="L454">
            <v>46956000</v>
          </cell>
          <cell r="M454">
            <v>40207000</v>
          </cell>
          <cell r="N454">
            <v>35606000</v>
          </cell>
          <cell r="O454">
            <v>29904000</v>
          </cell>
          <cell r="P454">
            <v>23165000</v>
          </cell>
        </row>
        <row r="455">
          <cell r="B455" t="str">
            <v>  RHHEC Statistic</v>
          </cell>
          <cell r="H455">
            <v>25.934808368632478</v>
          </cell>
          <cell r="I455">
            <v>28.565410279899886</v>
          </cell>
          <cell r="J455">
            <v>29.385840564726617</v>
          </cell>
          <cell r="K455">
            <v>27.221690744227146</v>
          </cell>
          <cell r="L455">
            <v>26.816228809949738</v>
          </cell>
          <cell r="M455">
            <v>26.8034477827244</v>
          </cell>
          <cell r="N455">
            <v>28.469190164579004</v>
          </cell>
          <cell r="O455">
            <v>33.071045679507755</v>
          </cell>
          <cell r="P455">
            <v>23.036045758687674</v>
          </cell>
        </row>
        <row r="458">
          <cell r="B458" t="str">
            <v>MEA Survey Results</v>
          </cell>
        </row>
        <row r="459">
          <cell r="B459" t="str">
            <v>   Average for all utilities</v>
          </cell>
          <cell r="I459">
            <v>30.1</v>
          </cell>
          <cell r="J459">
            <v>32.3</v>
          </cell>
        </row>
        <row r="460">
          <cell r="B460" t="str">
            <v>   Average for medium size utilities</v>
          </cell>
          <cell r="I460">
            <v>27</v>
          </cell>
          <cell r="J460">
            <v>29.7</v>
          </cell>
        </row>
        <row r="461">
          <cell r="B461" t="str">
            <v>   Brampton</v>
          </cell>
          <cell r="I461">
            <v>13.1</v>
          </cell>
          <cell r="J461">
            <v>14.7</v>
          </cell>
        </row>
        <row r="462">
          <cell r="B462" t="str">
            <v>   Markham</v>
          </cell>
          <cell r="I462">
            <v>27.1</v>
          </cell>
          <cell r="J462">
            <v>26.7</v>
          </cell>
        </row>
        <row r="463">
          <cell r="B463" t="str">
            <v>   Vaughan</v>
          </cell>
          <cell r="I463">
            <v>18.6</v>
          </cell>
          <cell r="J463">
            <v>27.4</v>
          </cell>
        </row>
        <row r="464">
          <cell r="B464" t="str">
            <v>   Guelph</v>
          </cell>
          <cell r="I464">
            <v>41.2</v>
          </cell>
          <cell r="J464">
            <v>46.1</v>
          </cell>
        </row>
        <row r="465">
          <cell r="B465" t="str">
            <v>   Barrie</v>
          </cell>
          <cell r="I465">
            <v>36.4</v>
          </cell>
          <cell r="J465">
            <v>43.4</v>
          </cell>
        </row>
        <row r="466">
          <cell r="B466" t="str">
            <v>   Newmarket</v>
          </cell>
          <cell r="I466">
            <v>24.1</v>
          </cell>
          <cell r="J466">
            <v>25.1</v>
          </cell>
        </row>
        <row r="469">
          <cell r="B469" t="str">
            <v>MEA Interpretation</v>
          </cell>
        </row>
        <row r="470">
          <cell r="B470" t="str">
            <v>  -  Utilities may increase their cash flows by minimizing unbilled revenues.    This ratio is influenced by billing cycles and practices.</v>
          </cell>
        </row>
        <row r="471">
          <cell r="B471" t="str">
            <v>  -  This ratio , together with the ratio Number of Days Sales Outstanding will provide an indication ot the utility's ability to manage</v>
          </cell>
        </row>
        <row r="472">
          <cell r="B472" t="str">
            <v>      its major accounts receivable balances.</v>
          </cell>
        </row>
        <row r="474">
          <cell r="B474" t="str">
            <v>FINANCIAL RATIOS (continued)</v>
          </cell>
          <cell r="G474">
            <v>1996</v>
          </cell>
          <cell r="H474">
            <v>1995</v>
          </cell>
          <cell r="I474">
            <v>1994</v>
          </cell>
          <cell r="J474">
            <v>1993</v>
          </cell>
          <cell r="K474">
            <v>1992</v>
          </cell>
          <cell r="L474">
            <v>1991</v>
          </cell>
          <cell r="M474">
            <v>1990</v>
          </cell>
          <cell r="N474">
            <v>1989</v>
          </cell>
          <cell r="O474">
            <v>1988</v>
          </cell>
          <cell r="P474">
            <v>1987</v>
          </cell>
          <cell r="Q474">
            <v>1986</v>
          </cell>
        </row>
        <row r="476">
          <cell r="B476" t="str">
            <v>Ratio 12 - Write-offs as a % of Total Revenue</v>
          </cell>
        </row>
        <row r="478">
          <cell r="B478" t="str">
            <v>RHHEC Calculation</v>
          </cell>
        </row>
        <row r="479">
          <cell r="B479" t="str">
            <v>  W = Actual writeoff</v>
          </cell>
          <cell r="H479">
            <v>32418</v>
          </cell>
          <cell r="I479">
            <v>27196</v>
          </cell>
          <cell r="J479">
            <v>41329</v>
          </cell>
          <cell r="K479">
            <v>48068</v>
          </cell>
          <cell r="L479">
            <v>51093</v>
          </cell>
          <cell r="M479">
            <v>32147</v>
          </cell>
          <cell r="N479">
            <v>12046</v>
          </cell>
          <cell r="O479">
            <v>8625</v>
          </cell>
          <cell r="P479">
            <v>7005</v>
          </cell>
        </row>
        <row r="480">
          <cell r="B480" t="str">
            <v>  S = Service Revenue [includes unbilled]</v>
          </cell>
          <cell r="H480">
            <v>63977000</v>
          </cell>
          <cell r="I480">
            <v>61129000</v>
          </cell>
          <cell r="J480">
            <v>59002000</v>
          </cell>
          <cell r="K480">
            <v>52054000</v>
          </cell>
          <cell r="L480">
            <v>46956000</v>
          </cell>
          <cell r="M480">
            <v>40207000</v>
          </cell>
          <cell r="N480">
            <v>35606000</v>
          </cell>
          <cell r="O480">
            <v>29904000</v>
          </cell>
          <cell r="P480">
            <v>23165000</v>
          </cell>
        </row>
        <row r="481">
          <cell r="B481" t="str">
            <v>  RHHEC Statistic</v>
          </cell>
          <cell r="H481">
            <v>0.050671335011019586</v>
          </cell>
          <cell r="I481">
            <v>0.04448952215805919</v>
          </cell>
          <cell r="J481">
            <v>0.07004677807531948</v>
          </cell>
          <cell r="K481">
            <v>0.09234256733392246</v>
          </cell>
          <cell r="L481">
            <v>0.10881037567084079</v>
          </cell>
          <cell r="M481">
            <v>0.07995373939861218</v>
          </cell>
          <cell r="N481">
            <v>0.03383137673425827</v>
          </cell>
          <cell r="O481">
            <v>0.028842295345104334</v>
          </cell>
          <cell r="P481">
            <v>0.030239585581696524</v>
          </cell>
        </row>
        <row r="484">
          <cell r="B484" t="str">
            <v>MEA Survey Results</v>
          </cell>
        </row>
        <row r="485">
          <cell r="B485" t="str">
            <v>   Average for all utilities</v>
          </cell>
          <cell r="I485">
            <v>0.13</v>
          </cell>
          <cell r="J485">
            <v>0.14</v>
          </cell>
          <cell r="K485">
            <v>0.18</v>
          </cell>
          <cell r="L485">
            <v>0.14</v>
          </cell>
          <cell r="M485">
            <v>0.1</v>
          </cell>
          <cell r="N485">
            <v>0.07</v>
          </cell>
        </row>
        <row r="486">
          <cell r="B486" t="str">
            <v>   Average for medium size utilities</v>
          </cell>
          <cell r="I486">
            <v>0.14</v>
          </cell>
          <cell r="J486">
            <v>0.14</v>
          </cell>
          <cell r="K486">
            <v>0.19</v>
          </cell>
          <cell r="L486">
            <v>0.14</v>
          </cell>
          <cell r="M486">
            <v>0.1</v>
          </cell>
          <cell r="N486">
            <v>0.08</v>
          </cell>
        </row>
        <row r="487">
          <cell r="B487" t="str">
            <v>   Brampton</v>
          </cell>
          <cell r="I487">
            <v>0.13</v>
          </cell>
          <cell r="J487">
            <v>0.12</v>
          </cell>
          <cell r="K487">
            <v>0.16</v>
          </cell>
          <cell r="L487">
            <v>0.19</v>
          </cell>
          <cell r="M487">
            <v>0.08</v>
          </cell>
          <cell r="N487">
            <v>0.07</v>
          </cell>
        </row>
        <row r="488">
          <cell r="B488" t="str">
            <v>   Markham</v>
          </cell>
          <cell r="I488">
            <v>0.03</v>
          </cell>
          <cell r="J488">
            <v>0.03</v>
          </cell>
          <cell r="K488">
            <v>0.04</v>
          </cell>
          <cell r="L488">
            <v>0.05</v>
          </cell>
          <cell r="M488">
            <v>0.02</v>
          </cell>
          <cell r="N488">
            <v>0.02</v>
          </cell>
        </row>
        <row r="489">
          <cell r="B489" t="str">
            <v>   Vaughan</v>
          </cell>
          <cell r="I489">
            <v>0.15</v>
          </cell>
          <cell r="J489">
            <v>0.22</v>
          </cell>
          <cell r="K489">
            <v>0.5</v>
          </cell>
        </row>
        <row r="490">
          <cell r="B490" t="str">
            <v>   Guelph</v>
          </cell>
          <cell r="I490">
            <v>0.13</v>
          </cell>
          <cell r="J490">
            <v>0.09</v>
          </cell>
          <cell r="K490">
            <v>0.16</v>
          </cell>
          <cell r="L490">
            <v>0.09</v>
          </cell>
          <cell r="M490">
            <v>0.07</v>
          </cell>
          <cell r="N490">
            <v>0.06</v>
          </cell>
        </row>
        <row r="491">
          <cell r="B491" t="str">
            <v>   Barrie</v>
          </cell>
          <cell r="I491">
            <v>0.11</v>
          </cell>
          <cell r="J491">
            <v>0.19</v>
          </cell>
          <cell r="K491">
            <v>0.33</v>
          </cell>
          <cell r="L491">
            <v>0.22</v>
          </cell>
          <cell r="M491">
            <v>0.07</v>
          </cell>
          <cell r="N491">
            <v>0.09</v>
          </cell>
        </row>
        <row r="492">
          <cell r="B492" t="str">
            <v>   Newmarket</v>
          </cell>
          <cell r="I492">
            <v>0.04</v>
          </cell>
          <cell r="J492">
            <v>0.07</v>
          </cell>
          <cell r="K492">
            <v>0.02</v>
          </cell>
          <cell r="L492">
            <v>0.02</v>
          </cell>
          <cell r="M492">
            <v>0.06</v>
          </cell>
          <cell r="N492">
            <v>0.02</v>
          </cell>
        </row>
        <row r="495">
          <cell r="B495" t="str">
            <v>MEA Interpretation</v>
          </cell>
        </row>
        <row r="496">
          <cell r="B496" t="str">
            <v>  -  Energy revenue write-offs indicate how effectively a utility is collecting revenue on energy sales  ie. the  lower the percentage, the</v>
          </cell>
        </row>
        <row r="497">
          <cell r="B497" t="str">
            <v>     more effectively the utility is at collecting service revenue.</v>
          </cell>
        </row>
        <row r="498">
          <cell r="B498" t="str">
            <v>  -  Major variances from year to year may result from boom periods or recessions, or from large customers becoming insolvent.</v>
          </cell>
        </row>
        <row r="500">
          <cell r="B500" t="str">
            <v>FINANCIAL RATIOS (continued)</v>
          </cell>
          <cell r="G500">
            <v>1996</v>
          </cell>
          <cell r="H500">
            <v>1995</v>
          </cell>
          <cell r="I500">
            <v>1994</v>
          </cell>
          <cell r="J500">
            <v>1993</v>
          </cell>
          <cell r="K500">
            <v>1992</v>
          </cell>
          <cell r="L500">
            <v>1991</v>
          </cell>
          <cell r="M500">
            <v>1990</v>
          </cell>
          <cell r="N500">
            <v>1989</v>
          </cell>
          <cell r="O500">
            <v>1988</v>
          </cell>
          <cell r="P500">
            <v>1987</v>
          </cell>
          <cell r="Q500">
            <v>1986</v>
          </cell>
        </row>
        <row r="502">
          <cell r="B502" t="str">
            <v>Ratio 32 - Gross Margin %</v>
          </cell>
        </row>
        <row r="504">
          <cell r="B504" t="str">
            <v>RHHEC Calculation</v>
          </cell>
        </row>
        <row r="505">
          <cell r="B505" t="str">
            <v>  S = Service Revenue</v>
          </cell>
          <cell r="H505">
            <v>63977000</v>
          </cell>
          <cell r="I505">
            <v>61129000</v>
          </cell>
          <cell r="J505">
            <v>59002000</v>
          </cell>
          <cell r="K505">
            <v>52054000</v>
          </cell>
          <cell r="L505">
            <v>46956000</v>
          </cell>
          <cell r="M505">
            <v>40207000</v>
          </cell>
          <cell r="N505">
            <v>35606000</v>
          </cell>
          <cell r="O505">
            <v>29904000</v>
          </cell>
          <cell r="P505">
            <v>23165000</v>
          </cell>
        </row>
        <row r="506">
          <cell r="B506" t="str">
            <v>  P = Cost of Power</v>
          </cell>
          <cell r="H506">
            <v>50595778</v>
          </cell>
          <cell r="I506">
            <v>48236653</v>
          </cell>
          <cell r="J506">
            <v>45553121</v>
          </cell>
          <cell r="K506">
            <v>42171256</v>
          </cell>
          <cell r="L506">
            <v>38572043</v>
          </cell>
          <cell r="M506">
            <v>32755875</v>
          </cell>
          <cell r="N506">
            <v>29453746</v>
          </cell>
          <cell r="O506">
            <v>24203444</v>
          </cell>
          <cell r="P506">
            <v>19645347</v>
          </cell>
        </row>
        <row r="507">
          <cell r="B507" t="str">
            <v>  G = Gross margin = S - P</v>
          </cell>
          <cell r="H507">
            <v>13381222</v>
          </cell>
          <cell r="I507">
            <v>12892347</v>
          </cell>
          <cell r="J507">
            <v>13448879</v>
          </cell>
          <cell r="K507">
            <v>9882744</v>
          </cell>
          <cell r="L507">
            <v>8383957</v>
          </cell>
          <cell r="M507">
            <v>7451125</v>
          </cell>
          <cell r="N507">
            <v>6152254</v>
          </cell>
          <cell r="O507">
            <v>5700556</v>
          </cell>
          <cell r="P507">
            <v>3519653</v>
          </cell>
        </row>
        <row r="508">
          <cell r="B508" t="str">
            <v>  RHHEC Statistic</v>
          </cell>
          <cell r="H508">
            <v>20.91567594604311</v>
          </cell>
          <cell r="I508">
            <v>21.09039408464068</v>
          </cell>
          <cell r="J508">
            <v>22.793937493644282</v>
          </cell>
          <cell r="K508">
            <v>18.985561148038578</v>
          </cell>
          <cell r="L508">
            <v>17.854921628758838</v>
          </cell>
          <cell r="M508">
            <v>18.53190986644117</v>
          </cell>
          <cell r="N508">
            <v>17.278700219064202</v>
          </cell>
          <cell r="O508">
            <v>19.062854467629748</v>
          </cell>
          <cell r="P508">
            <v>15.193839844593136</v>
          </cell>
        </row>
        <row r="511">
          <cell r="B511" t="str">
            <v>MEA Survey Results</v>
          </cell>
        </row>
        <row r="512">
          <cell r="B512" t="str">
            <v>   Average for all utilities</v>
          </cell>
          <cell r="I512">
            <v>14.2</v>
          </cell>
          <cell r="J512">
            <v>15</v>
          </cell>
          <cell r="K512">
            <v>15.3</v>
          </cell>
          <cell r="L512">
            <v>15.2</v>
          </cell>
          <cell r="M512">
            <v>16.5</v>
          </cell>
          <cell r="N512">
            <v>15</v>
          </cell>
        </row>
        <row r="513">
          <cell r="B513" t="str">
            <v>   Average for medium size utilities</v>
          </cell>
          <cell r="I513">
            <v>14.5</v>
          </cell>
          <cell r="J513">
            <v>15.6</v>
          </cell>
          <cell r="K513">
            <v>15.7</v>
          </cell>
          <cell r="L513">
            <v>15.6</v>
          </cell>
          <cell r="M513">
            <v>16.6</v>
          </cell>
          <cell r="N513">
            <v>15.2</v>
          </cell>
        </row>
        <row r="514">
          <cell r="B514" t="str">
            <v>   Brampton</v>
          </cell>
          <cell r="I514">
            <v>12.3</v>
          </cell>
          <cell r="J514">
            <v>13.1</v>
          </cell>
          <cell r="K514">
            <v>14.2</v>
          </cell>
          <cell r="L514">
            <v>16.3</v>
          </cell>
          <cell r="M514">
            <v>16.3</v>
          </cell>
          <cell r="N514">
            <v>15.2</v>
          </cell>
        </row>
        <row r="515">
          <cell r="B515" t="str">
            <v>   Markham</v>
          </cell>
          <cell r="I515">
            <v>14.7</v>
          </cell>
          <cell r="J515">
            <v>16.2</v>
          </cell>
          <cell r="K515">
            <v>17.1</v>
          </cell>
          <cell r="L515">
            <v>17.9</v>
          </cell>
          <cell r="M515">
            <v>20.2</v>
          </cell>
          <cell r="N515">
            <v>20.6</v>
          </cell>
        </row>
        <row r="516">
          <cell r="B516" t="str">
            <v>   Vaughan</v>
          </cell>
          <cell r="I516">
            <v>14.1</v>
          </cell>
          <cell r="J516">
            <v>14.6</v>
          </cell>
          <cell r="K516">
            <v>18</v>
          </cell>
        </row>
        <row r="517">
          <cell r="B517" t="str">
            <v>   Guelph</v>
          </cell>
          <cell r="I517">
            <v>12.4</v>
          </cell>
          <cell r="J517">
            <v>13.8</v>
          </cell>
          <cell r="K517">
            <v>13.4</v>
          </cell>
          <cell r="L517">
            <v>14.4</v>
          </cell>
          <cell r="M517">
            <v>14.7</v>
          </cell>
          <cell r="N517">
            <v>14.3</v>
          </cell>
        </row>
        <row r="518">
          <cell r="B518" t="str">
            <v>   Barrie</v>
          </cell>
          <cell r="I518">
            <v>17.4</v>
          </cell>
          <cell r="J518">
            <v>18.4</v>
          </cell>
          <cell r="K518">
            <v>18.2</v>
          </cell>
          <cell r="L518">
            <v>16.3</v>
          </cell>
          <cell r="M518">
            <v>17</v>
          </cell>
          <cell r="N518">
            <v>15.9</v>
          </cell>
        </row>
        <row r="519">
          <cell r="B519" t="str">
            <v>   Newmarket</v>
          </cell>
          <cell r="I519">
            <v>14.6</v>
          </cell>
          <cell r="J519">
            <v>15.1</v>
          </cell>
          <cell r="K519">
            <v>14.6</v>
          </cell>
          <cell r="L519">
            <v>11.9</v>
          </cell>
          <cell r="M519">
            <v>14.6</v>
          </cell>
          <cell r="N519">
            <v>13.2</v>
          </cell>
        </row>
        <row r="522">
          <cell r="B522" t="str">
            <v>MEA Interpretation</v>
          </cell>
        </row>
        <row r="523">
          <cell r="B523" t="str">
            <v>  -  This ratio indicates the proportion of total service revenue that is available to the utility to cover local costs or hold as working captial.</v>
          </cell>
        </row>
        <row r="524">
          <cell r="B524" t="str">
            <v>  -  This ratio is directly affected by energy rates charged to customers.     Rates are in turn affected by decisions regarding capital and</v>
          </cell>
        </row>
        <row r="525">
          <cell r="B525" t="str">
            <v>      operations spending levels, working capital levels, debenture financing, system losses and ownership of transformer stations.</v>
          </cell>
        </row>
        <row r="527">
          <cell r="B527" t="str">
            <v>EFFICIENCY RATIOS</v>
          </cell>
          <cell r="G527">
            <v>1996</v>
          </cell>
          <cell r="H527">
            <v>1995</v>
          </cell>
          <cell r="I527">
            <v>1994</v>
          </cell>
          <cell r="J527">
            <v>1993</v>
          </cell>
          <cell r="K527">
            <v>1992</v>
          </cell>
          <cell r="L527">
            <v>1991</v>
          </cell>
          <cell r="M527">
            <v>1990</v>
          </cell>
          <cell r="N527">
            <v>1989</v>
          </cell>
          <cell r="O527">
            <v>1988</v>
          </cell>
          <cell r="P527">
            <v>1987</v>
          </cell>
          <cell r="Q527">
            <v>1986</v>
          </cell>
        </row>
        <row r="529">
          <cell r="B529" t="str">
            <v>Ratio 6 - System Unit Cost of Power (Cents per Kilowatt Hour)</v>
          </cell>
        </row>
        <row r="531">
          <cell r="B531" t="str">
            <v>RHHEC Calculation</v>
          </cell>
        </row>
        <row r="532">
          <cell r="B532" t="str">
            <v>  P = Cost of Power</v>
          </cell>
          <cell r="H532">
            <v>50595778</v>
          </cell>
          <cell r="I532">
            <v>48236653</v>
          </cell>
          <cell r="J532">
            <v>45553121</v>
          </cell>
          <cell r="K532">
            <v>42171256</v>
          </cell>
          <cell r="L532">
            <v>38572043</v>
          </cell>
          <cell r="M532">
            <v>32755875</v>
          </cell>
          <cell r="N532">
            <v>29453746</v>
          </cell>
          <cell r="O532">
            <v>24203444</v>
          </cell>
          <cell r="P532">
            <v>19645347</v>
          </cell>
        </row>
        <row r="533">
          <cell r="B533" t="str">
            <v>  K = Total kW.h purchased</v>
          </cell>
          <cell r="H533">
            <v>803556000</v>
          </cell>
          <cell r="I533">
            <v>765286000</v>
          </cell>
          <cell r="J533">
            <v>733898000</v>
          </cell>
          <cell r="K533">
            <v>707035000</v>
          </cell>
          <cell r="L533">
            <v>710862000</v>
          </cell>
          <cell r="M533">
            <v>659694000</v>
          </cell>
          <cell r="N533">
            <v>631124000</v>
          </cell>
          <cell r="O533">
            <v>545607000</v>
          </cell>
          <cell r="P533">
            <v>462073000</v>
          </cell>
          <cell r="Q533">
            <v>396744000</v>
          </cell>
        </row>
        <row r="534">
          <cell r="B534" t="str">
            <v>  RHHEC Statistic</v>
          </cell>
          <cell r="H534">
            <v>6.3</v>
          </cell>
          <cell r="I534">
            <v>6.3</v>
          </cell>
          <cell r="J534">
            <v>6.21</v>
          </cell>
          <cell r="K534">
            <v>5.96</v>
          </cell>
          <cell r="L534">
            <v>5.43</v>
          </cell>
          <cell r="M534">
            <v>4.97</v>
          </cell>
          <cell r="N534">
            <v>4.67</v>
          </cell>
          <cell r="O534">
            <v>4.44</v>
          </cell>
          <cell r="P534">
            <v>4.25</v>
          </cell>
          <cell r="Q534">
            <v>0</v>
          </cell>
        </row>
        <row r="535">
          <cell r="B535" t="str">
            <v>  % increase</v>
          </cell>
          <cell r="H535">
            <v>0</v>
          </cell>
          <cell r="I535">
            <v>0.014492753623188383</v>
          </cell>
          <cell r="J535">
            <v>0.04194630872483222</v>
          </cell>
          <cell r="K535">
            <v>0.09760589318600374</v>
          </cell>
          <cell r="L535">
            <v>0.0925553319919517</v>
          </cell>
          <cell r="M535">
            <v>0.06423982869379011</v>
          </cell>
          <cell r="N535">
            <v>0.051801801801801696</v>
          </cell>
          <cell r="O535">
            <v>0.04470588235294127</v>
          </cell>
        </row>
        <row r="538">
          <cell r="B538" t="str">
            <v>MEA Survey Results</v>
          </cell>
        </row>
        <row r="539">
          <cell r="B539" t="str">
            <v>   Average for all utilities</v>
          </cell>
          <cell r="I539">
            <v>6.44</v>
          </cell>
          <cell r="J539">
            <v>6.41</v>
          </cell>
          <cell r="K539">
            <v>5.99</v>
          </cell>
          <cell r="L539">
            <v>5.36</v>
          </cell>
          <cell r="M539">
            <v>4.89</v>
          </cell>
          <cell r="N539">
            <v>4.61</v>
          </cell>
        </row>
        <row r="540">
          <cell r="B540" t="str">
            <v>   Average for medium size utilities</v>
          </cell>
          <cell r="I540">
            <v>6.33</v>
          </cell>
          <cell r="J540">
            <v>6.29</v>
          </cell>
          <cell r="K540">
            <v>5.95</v>
          </cell>
          <cell r="L540">
            <v>5.38</v>
          </cell>
          <cell r="M540">
            <v>4.9</v>
          </cell>
          <cell r="N540">
            <v>4.63</v>
          </cell>
        </row>
        <row r="541">
          <cell r="B541" t="str">
            <v>   Brampton</v>
          </cell>
          <cell r="I541">
            <v>6.27</v>
          </cell>
          <cell r="J541">
            <v>6.24</v>
          </cell>
          <cell r="K541">
            <v>5.77</v>
          </cell>
          <cell r="L541">
            <v>5.22</v>
          </cell>
          <cell r="M541">
            <v>4.8</v>
          </cell>
          <cell r="N541">
            <v>4.5</v>
          </cell>
        </row>
        <row r="542">
          <cell r="B542" t="str">
            <v>   Markham</v>
          </cell>
          <cell r="I542">
            <v>6.2</v>
          </cell>
          <cell r="J542">
            <v>6.14</v>
          </cell>
          <cell r="K542">
            <v>5.74</v>
          </cell>
          <cell r="L542">
            <v>5.17</v>
          </cell>
          <cell r="M542">
            <v>4.69</v>
          </cell>
          <cell r="N542">
            <v>4.48</v>
          </cell>
        </row>
        <row r="543">
          <cell r="B543" t="str">
            <v>   Vaughan</v>
          </cell>
          <cell r="I543">
            <v>6.22</v>
          </cell>
          <cell r="J543">
            <v>6.17</v>
          </cell>
          <cell r="K543">
            <v>6.1</v>
          </cell>
        </row>
        <row r="544">
          <cell r="B544" t="str">
            <v>   Guelph</v>
          </cell>
          <cell r="I544">
            <v>6.24</v>
          </cell>
          <cell r="J544">
            <v>6.22</v>
          </cell>
          <cell r="K544">
            <v>5.8</v>
          </cell>
          <cell r="L544">
            <v>5.21</v>
          </cell>
          <cell r="M544">
            <v>4.79</v>
          </cell>
          <cell r="N544">
            <v>4.52</v>
          </cell>
        </row>
        <row r="545">
          <cell r="B545" t="str">
            <v>   Barrie</v>
          </cell>
          <cell r="I545">
            <v>6.38</v>
          </cell>
          <cell r="J545">
            <v>6.32</v>
          </cell>
          <cell r="K545">
            <v>5.88</v>
          </cell>
          <cell r="L545">
            <v>5.28</v>
          </cell>
          <cell r="M545">
            <v>4.81</v>
          </cell>
          <cell r="N545">
            <v>4.54</v>
          </cell>
        </row>
        <row r="546">
          <cell r="B546" t="str">
            <v>   Newmarket</v>
          </cell>
          <cell r="I546">
            <v>6.45</v>
          </cell>
          <cell r="J546">
            <v>6.42</v>
          </cell>
          <cell r="K546">
            <v>6</v>
          </cell>
          <cell r="L546">
            <v>5.37</v>
          </cell>
          <cell r="M546">
            <v>4.86</v>
          </cell>
          <cell r="N546">
            <v>4.63</v>
          </cell>
        </row>
        <row r="549">
          <cell r="B549" t="str">
            <v>MEA Interpretation</v>
          </cell>
        </row>
        <row r="550">
          <cell r="B550" t="str">
            <v>  -  This measure indicates cost performance for the total utility system.</v>
          </cell>
        </row>
        <row r="551">
          <cell r="B551" t="str">
            <v>  -  This ratio will be influenced by average load factors and seasonal and daily patterns of power purchases.</v>
          </cell>
        </row>
        <row r="552">
          <cell r="B552" t="str">
            <v>  -  It is meant to assist utilities in trending demand management initiatives, T.S. ownership decisions and when comparing end retail rates.</v>
          </cell>
        </row>
        <row r="554">
          <cell r="B554" t="str">
            <v>EFFICIENCY RATIOS (continued)</v>
          </cell>
          <cell r="G554">
            <v>1996</v>
          </cell>
          <cell r="H554">
            <v>1995</v>
          </cell>
          <cell r="I554">
            <v>1994</v>
          </cell>
          <cell r="J554">
            <v>1993</v>
          </cell>
          <cell r="K554">
            <v>1992</v>
          </cell>
          <cell r="L554">
            <v>1991</v>
          </cell>
          <cell r="M554">
            <v>1990</v>
          </cell>
          <cell r="N554">
            <v>1989</v>
          </cell>
          <cell r="O554">
            <v>1988</v>
          </cell>
          <cell r="P554">
            <v>1987</v>
          </cell>
          <cell r="Q554">
            <v>1986</v>
          </cell>
        </row>
        <row r="556">
          <cell r="B556" t="str">
            <v>Ratio 13 - Controllable Exp / Customer</v>
          </cell>
        </row>
        <row r="558">
          <cell r="B558" t="str">
            <v>RHHEC Calculation</v>
          </cell>
        </row>
        <row r="559">
          <cell r="B559" t="str">
            <v>  K = Controllable Expenditures</v>
          </cell>
          <cell r="H559">
            <v>6065886</v>
          </cell>
          <cell r="I559">
            <v>5760329</v>
          </cell>
          <cell r="J559">
            <v>5624176</v>
          </cell>
          <cell r="K559">
            <v>5481732</v>
          </cell>
          <cell r="L559">
            <v>5237112</v>
          </cell>
          <cell r="M559">
            <v>4402849</v>
          </cell>
          <cell r="N559">
            <v>3617994</v>
          </cell>
          <cell r="O559">
            <v>3113299</v>
          </cell>
          <cell r="P559">
            <v>2433395</v>
          </cell>
        </row>
        <row r="560">
          <cell r="B560" t="str">
            <v>  Ca = Average # of Customers .. all classes</v>
          </cell>
          <cell r="H560">
            <v>29854</v>
          </cell>
          <cell r="I560">
            <v>28937</v>
          </cell>
          <cell r="J560">
            <v>27703</v>
          </cell>
          <cell r="K560">
            <v>26247</v>
          </cell>
          <cell r="L560">
            <v>24959</v>
          </cell>
          <cell r="M560">
            <v>23823</v>
          </cell>
          <cell r="N560">
            <v>22381</v>
          </cell>
          <cell r="O560">
            <v>20326</v>
          </cell>
          <cell r="P560">
            <v>17678</v>
          </cell>
          <cell r="Q560">
            <v>0</v>
          </cell>
        </row>
        <row r="561">
          <cell r="B561" t="str">
            <v>  RHHEC Statistic</v>
          </cell>
          <cell r="H561">
            <v>203.18503383131238</v>
          </cell>
          <cell r="I561">
            <v>199.06448491550609</v>
          </cell>
          <cell r="J561">
            <v>203.01685738006714</v>
          </cell>
          <cell r="K561">
            <v>208.851754486227</v>
          </cell>
          <cell r="L561">
            <v>209.82859890219962</v>
          </cell>
          <cell r="M561">
            <v>184.81505268018302</v>
          </cell>
          <cell r="N561">
            <v>161.65470711764442</v>
          </cell>
          <cell r="O561">
            <v>153.1683066023812</v>
          </cell>
          <cell r="P561">
            <v>137.65103518497568</v>
          </cell>
          <cell r="Q561" t="e">
            <v>#DIV/0!</v>
          </cell>
        </row>
        <row r="564">
          <cell r="B564" t="str">
            <v>MEA Survey Results</v>
          </cell>
        </row>
        <row r="565">
          <cell r="B565" t="str">
            <v>   Average for all utilities</v>
          </cell>
          <cell r="I565">
            <v>161.69</v>
          </cell>
          <cell r="J565">
            <v>168.53</v>
          </cell>
          <cell r="K565">
            <v>172.72</v>
          </cell>
          <cell r="L565">
            <v>164.77</v>
          </cell>
          <cell r="M565">
            <v>150.88</v>
          </cell>
          <cell r="N565">
            <v>136.83</v>
          </cell>
        </row>
        <row r="566">
          <cell r="B566" t="str">
            <v>   Average for medium size utilities</v>
          </cell>
          <cell r="I566">
            <v>156.11</v>
          </cell>
          <cell r="J566">
            <v>164.02</v>
          </cell>
          <cell r="K566">
            <v>170.96</v>
          </cell>
          <cell r="L566">
            <v>161.9</v>
          </cell>
          <cell r="M566">
            <v>143.63</v>
          </cell>
          <cell r="N566">
            <v>132.49</v>
          </cell>
        </row>
        <row r="567">
          <cell r="B567" t="str">
            <v>   Brampton</v>
          </cell>
          <cell r="I567">
            <v>190.27</v>
          </cell>
          <cell r="J567">
            <v>215.78</v>
          </cell>
          <cell r="K567">
            <v>213.64</v>
          </cell>
          <cell r="L567">
            <v>206.1</v>
          </cell>
          <cell r="M567">
            <v>171.43</v>
          </cell>
          <cell r="N567">
            <v>144.99</v>
          </cell>
        </row>
        <row r="568">
          <cell r="B568" t="str">
            <v>   Markham</v>
          </cell>
          <cell r="I568">
            <v>154.39</v>
          </cell>
          <cell r="J568">
            <v>156.09</v>
          </cell>
          <cell r="K568">
            <v>164.91</v>
          </cell>
          <cell r="L568">
            <v>155.24</v>
          </cell>
          <cell r="M568">
            <v>152.71</v>
          </cell>
          <cell r="N568">
            <v>134.72</v>
          </cell>
        </row>
        <row r="569">
          <cell r="B569" t="str">
            <v>   Vaughan</v>
          </cell>
          <cell r="I569">
            <v>196.5</v>
          </cell>
          <cell r="J569">
            <v>225.66</v>
          </cell>
          <cell r="K569">
            <v>250.78</v>
          </cell>
        </row>
        <row r="570">
          <cell r="B570" t="str">
            <v>   Guelph</v>
          </cell>
          <cell r="I570">
            <v>174.57</v>
          </cell>
          <cell r="J570">
            <v>179.15</v>
          </cell>
          <cell r="K570">
            <v>176.25</v>
          </cell>
          <cell r="L570">
            <v>162.5</v>
          </cell>
          <cell r="M570">
            <v>154.23</v>
          </cell>
          <cell r="N570">
            <v>140.76</v>
          </cell>
        </row>
        <row r="571">
          <cell r="B571" t="str">
            <v>   Barrie</v>
          </cell>
          <cell r="I571">
            <v>155.75</v>
          </cell>
          <cell r="J571">
            <v>144.47</v>
          </cell>
          <cell r="K571">
            <v>159.01</v>
          </cell>
          <cell r="L571">
            <v>150.67</v>
          </cell>
          <cell r="M571">
            <v>130.39</v>
          </cell>
          <cell r="N571">
            <v>102.93</v>
          </cell>
        </row>
        <row r="572">
          <cell r="B572" t="str">
            <v>   Newmarket</v>
          </cell>
          <cell r="I572">
            <v>125.84</v>
          </cell>
          <cell r="J572">
            <v>129.2</v>
          </cell>
          <cell r="K572">
            <v>154.47</v>
          </cell>
          <cell r="L572">
            <v>133.89</v>
          </cell>
          <cell r="M572">
            <v>126.11</v>
          </cell>
          <cell r="N572">
            <v>122.52</v>
          </cell>
        </row>
        <row r="575">
          <cell r="B575" t="str">
            <v>MEA Interpretation</v>
          </cell>
        </row>
        <row r="576">
          <cell r="B576" t="str">
            <v>  -  This measure provides an indication of the utility's effectiveness in managing local costs.     It will be affected by customer density</v>
          </cell>
        </row>
        <row r="577">
          <cell r="B577" t="str">
            <v>      as well as the degree to which a utility provides various customer services.     It will also be influenced by the age of the plant.</v>
          </cell>
        </row>
        <row r="578">
          <cell r="B578" t="str">
            <v>  -  Bulk metered customers are counted as one customer.</v>
          </cell>
        </row>
        <row r="580">
          <cell r="B580" t="str">
            <v>EFFICIENCY RATIOS (continued)</v>
          </cell>
          <cell r="G580">
            <v>1996</v>
          </cell>
          <cell r="H580">
            <v>1995</v>
          </cell>
          <cell r="I580">
            <v>1994</v>
          </cell>
          <cell r="J580">
            <v>1993</v>
          </cell>
          <cell r="K580">
            <v>1992</v>
          </cell>
          <cell r="L580">
            <v>1991</v>
          </cell>
          <cell r="M580">
            <v>1990</v>
          </cell>
          <cell r="N580">
            <v>1989</v>
          </cell>
          <cell r="O580">
            <v>1988</v>
          </cell>
          <cell r="P580">
            <v>1987</v>
          </cell>
          <cell r="Q580">
            <v>1986</v>
          </cell>
        </row>
        <row r="582">
          <cell r="B582" t="str">
            <v>Ratio 14 - Controllable Exp / MW.h Sold</v>
          </cell>
        </row>
        <row r="584">
          <cell r="B584" t="str">
            <v>RHHEC Calculation</v>
          </cell>
        </row>
        <row r="585">
          <cell r="B585" t="str">
            <v>  K = Controllable Expenditures</v>
          </cell>
          <cell r="H585">
            <v>6065886</v>
          </cell>
          <cell r="I585">
            <v>5760329</v>
          </cell>
          <cell r="J585">
            <v>5624176</v>
          </cell>
          <cell r="K585">
            <v>5481732</v>
          </cell>
          <cell r="L585">
            <v>5237112</v>
          </cell>
          <cell r="M585">
            <v>4402849</v>
          </cell>
          <cell r="N585">
            <v>3617994</v>
          </cell>
          <cell r="O585">
            <v>3113299</v>
          </cell>
          <cell r="P585">
            <v>2433395</v>
          </cell>
        </row>
        <row r="586">
          <cell r="B586" t="str">
            <v>  E = MW.h sold</v>
          </cell>
          <cell r="H586">
            <v>778835</v>
          </cell>
          <cell r="I586">
            <v>742241</v>
          </cell>
          <cell r="J586">
            <v>717716</v>
          </cell>
          <cell r="K586">
            <v>679191</v>
          </cell>
          <cell r="L586">
            <v>691595</v>
          </cell>
          <cell r="M586">
            <v>639030</v>
          </cell>
          <cell r="N586">
            <v>601943</v>
          </cell>
          <cell r="O586">
            <v>527627</v>
          </cell>
          <cell r="P586">
            <v>428598</v>
          </cell>
        </row>
        <row r="587">
          <cell r="B587" t="str">
            <v>  RHHEC Statistic</v>
          </cell>
          <cell r="H587">
            <v>7.788409611791971</v>
          </cell>
          <cell r="I587">
            <v>7.760725963669482</v>
          </cell>
          <cell r="J587">
            <v>7.836213767005334</v>
          </cell>
          <cell r="K587">
            <v>8.070972671899362</v>
          </cell>
          <cell r="L587">
            <v>7.572512814580788</v>
          </cell>
          <cell r="M587">
            <v>6.889894058181932</v>
          </cell>
          <cell r="N587">
            <v>6.01052591358318</v>
          </cell>
          <cell r="O587">
            <v>5.900568014904469</v>
          </cell>
          <cell r="P587">
            <v>5.677569657347911</v>
          </cell>
          <cell r="Q587" t="e">
            <v>#DIV/0!</v>
          </cell>
        </row>
        <row r="590">
          <cell r="B590" t="str">
            <v>MEA Survey Results</v>
          </cell>
        </row>
        <row r="591">
          <cell r="B591" t="str">
            <v>   Average for all utilities</v>
          </cell>
          <cell r="I591">
            <v>6.6</v>
          </cell>
          <cell r="J591">
            <v>6.73</v>
          </cell>
          <cell r="K591">
            <v>6.84</v>
          </cell>
          <cell r="L591">
            <v>5.97</v>
          </cell>
          <cell r="M591">
            <v>5.35</v>
          </cell>
          <cell r="N591">
            <v>4.82</v>
          </cell>
        </row>
        <row r="592">
          <cell r="B592" t="str">
            <v>   Average for medium size utilities</v>
          </cell>
          <cell r="I592">
            <v>6.13</v>
          </cell>
          <cell r="J592">
            <v>6.37</v>
          </cell>
          <cell r="K592">
            <v>6.73</v>
          </cell>
          <cell r="L592">
            <v>6</v>
          </cell>
          <cell r="M592">
            <v>5.36</v>
          </cell>
          <cell r="N592">
            <v>4.88</v>
          </cell>
        </row>
        <row r="593">
          <cell r="B593" t="str">
            <v>   Brampton</v>
          </cell>
          <cell r="I593">
            <v>5.09</v>
          </cell>
          <cell r="J593">
            <v>5.66</v>
          </cell>
          <cell r="K593">
            <v>5.96</v>
          </cell>
          <cell r="L593">
            <v>5.59</v>
          </cell>
          <cell r="M593">
            <v>4.88</v>
          </cell>
          <cell r="N593">
            <v>4.07</v>
          </cell>
        </row>
        <row r="594">
          <cell r="B594" t="str">
            <v>   Markham</v>
          </cell>
          <cell r="I594">
            <v>4.67</v>
          </cell>
          <cell r="J594">
            <v>4.71</v>
          </cell>
          <cell r="K594">
            <v>5.08</v>
          </cell>
          <cell r="L594">
            <v>4.6</v>
          </cell>
          <cell r="M594">
            <v>4.78</v>
          </cell>
          <cell r="N594">
            <v>4.31</v>
          </cell>
        </row>
        <row r="595">
          <cell r="B595" t="str">
            <v>   Vaughan</v>
          </cell>
          <cell r="I595">
            <v>5.24</v>
          </cell>
          <cell r="J595">
            <v>5.96</v>
          </cell>
          <cell r="K595">
            <v>6.99</v>
          </cell>
        </row>
        <row r="596">
          <cell r="B596" t="str">
            <v>   Guelph</v>
          </cell>
          <cell r="I596">
            <v>4.99</v>
          </cell>
          <cell r="J596">
            <v>5.28</v>
          </cell>
          <cell r="K596">
            <v>5.38</v>
          </cell>
          <cell r="L596">
            <v>4.78</v>
          </cell>
          <cell r="M596">
            <v>4.57</v>
          </cell>
          <cell r="N596">
            <v>3.94</v>
          </cell>
        </row>
        <row r="597">
          <cell r="B597" t="str">
            <v>   Barrie</v>
          </cell>
          <cell r="I597">
            <v>6.01</v>
          </cell>
          <cell r="J597">
            <v>5.61</v>
          </cell>
          <cell r="K597">
            <v>5.97</v>
          </cell>
          <cell r="L597">
            <v>5.13</v>
          </cell>
          <cell r="M597">
            <v>4.25</v>
          </cell>
          <cell r="N597">
            <v>3.22</v>
          </cell>
        </row>
        <row r="598">
          <cell r="B598" t="str">
            <v>   Newmarket</v>
          </cell>
          <cell r="I598">
            <v>4.99</v>
          </cell>
          <cell r="J598">
            <v>5.07</v>
          </cell>
          <cell r="K598">
            <v>6.16</v>
          </cell>
          <cell r="L598">
            <v>5.03</v>
          </cell>
          <cell r="M598">
            <v>4.58</v>
          </cell>
          <cell r="N598">
            <v>4.45</v>
          </cell>
        </row>
        <row r="601">
          <cell r="B601" t="str">
            <v>MEA Interpretation</v>
          </cell>
        </row>
        <row r="602">
          <cell r="B602" t="str">
            <v>  -  This measure provides an indication of the utility's effectiveness in managing local costs.     It will be affected by customer density</v>
          </cell>
        </row>
        <row r="603">
          <cell r="B603" t="str">
            <v>      as well as the degree to which a utility provides various customer services.     It will also be influenced by the age of the plant.</v>
          </cell>
        </row>
        <row r="605">
          <cell r="B605" t="str">
            <v>EFFICIENCY RATIOS (continued)</v>
          </cell>
          <cell r="G605">
            <v>1996</v>
          </cell>
          <cell r="H605">
            <v>1995</v>
          </cell>
          <cell r="I605">
            <v>1994</v>
          </cell>
          <cell r="J605">
            <v>1993</v>
          </cell>
          <cell r="K605">
            <v>1992</v>
          </cell>
          <cell r="L605">
            <v>1991</v>
          </cell>
          <cell r="M605">
            <v>1990</v>
          </cell>
          <cell r="N605">
            <v>1989</v>
          </cell>
          <cell r="O605">
            <v>1988</v>
          </cell>
          <cell r="P605">
            <v>1987</v>
          </cell>
          <cell r="Q605">
            <v>1986</v>
          </cell>
        </row>
        <row r="607">
          <cell r="B607" t="str">
            <v>Ratio 15 - Operations &amp; Maint. / Customer</v>
          </cell>
        </row>
        <row r="609">
          <cell r="B609" t="str">
            <v>RHHEC Calculation</v>
          </cell>
        </row>
        <row r="610">
          <cell r="B610" t="str">
            <v>  V = High Voltage Transformation</v>
          </cell>
          <cell r="H610">
            <v>153759</v>
          </cell>
          <cell r="I610">
            <v>74607</v>
          </cell>
          <cell r="J610">
            <v>86232</v>
          </cell>
          <cell r="K610">
            <v>14190</v>
          </cell>
          <cell r="L610">
            <v>0</v>
          </cell>
          <cell r="M610">
            <v>0</v>
          </cell>
          <cell r="N610">
            <v>0</v>
          </cell>
          <cell r="O610">
            <v>0</v>
          </cell>
          <cell r="P610">
            <v>0</v>
          </cell>
        </row>
        <row r="611">
          <cell r="B611" t="str">
            <v>  D = Distribution</v>
          </cell>
          <cell r="H611">
            <v>2721172</v>
          </cell>
          <cell r="I611">
            <v>2634872</v>
          </cell>
          <cell r="J611">
            <v>2508032</v>
          </cell>
          <cell r="K611">
            <v>2621506</v>
          </cell>
          <cell r="L611">
            <v>2505431</v>
          </cell>
          <cell r="M611">
            <v>1993285</v>
          </cell>
          <cell r="N611">
            <v>1685256</v>
          </cell>
          <cell r="O611">
            <v>1422802</v>
          </cell>
          <cell r="P611">
            <v>933699</v>
          </cell>
        </row>
        <row r="612">
          <cell r="B612" t="str">
            <v>  U = Utilization</v>
          </cell>
          <cell r="H612">
            <v>379684</v>
          </cell>
          <cell r="I612">
            <v>356419</v>
          </cell>
          <cell r="J612">
            <v>339047</v>
          </cell>
          <cell r="K612">
            <v>252938</v>
          </cell>
          <cell r="L612">
            <v>259431</v>
          </cell>
          <cell r="M612">
            <v>192274</v>
          </cell>
          <cell r="N612">
            <v>189126</v>
          </cell>
          <cell r="O612">
            <v>157259</v>
          </cell>
          <cell r="P612">
            <v>145694</v>
          </cell>
        </row>
        <row r="613">
          <cell r="B613" t="str">
            <v>  O = Operations &amp; Maintenance</v>
          </cell>
          <cell r="H613">
            <v>3254615</v>
          </cell>
          <cell r="I613">
            <v>3065898</v>
          </cell>
          <cell r="J613">
            <v>2933311</v>
          </cell>
          <cell r="K613">
            <v>2888634</v>
          </cell>
          <cell r="L613">
            <v>2764862</v>
          </cell>
          <cell r="M613">
            <v>2185559</v>
          </cell>
          <cell r="N613">
            <v>1874382</v>
          </cell>
          <cell r="O613">
            <v>1580061</v>
          </cell>
          <cell r="P613">
            <v>1079393</v>
          </cell>
        </row>
        <row r="614">
          <cell r="B614" t="str">
            <v>  Ca = Average # of Customers .. all classes</v>
          </cell>
          <cell r="H614">
            <v>29854</v>
          </cell>
          <cell r="I614">
            <v>28937</v>
          </cell>
          <cell r="J614">
            <v>27703</v>
          </cell>
          <cell r="K614">
            <v>26247</v>
          </cell>
          <cell r="L614">
            <v>24959</v>
          </cell>
          <cell r="M614">
            <v>23823</v>
          </cell>
          <cell r="N614">
            <v>22381</v>
          </cell>
          <cell r="O614">
            <v>20326</v>
          </cell>
          <cell r="P614">
            <v>17678</v>
          </cell>
          <cell r="Q614">
            <v>0</v>
          </cell>
        </row>
        <row r="615">
          <cell r="B615" t="str">
            <v>  RHHEC Statistic</v>
          </cell>
          <cell r="H615">
            <v>109.01771956856703</v>
          </cell>
          <cell r="I615">
            <v>105.95078964647337</v>
          </cell>
          <cell r="J615">
            <v>105.88423636429268</v>
          </cell>
          <cell r="K615">
            <v>110.0557778031775</v>
          </cell>
          <cell r="L615">
            <v>110.77615289074082</v>
          </cell>
          <cell r="M615">
            <v>91.74155228140873</v>
          </cell>
          <cell r="N615">
            <v>83.74880478977704</v>
          </cell>
          <cell r="O615">
            <v>77.73595395060514</v>
          </cell>
          <cell r="P615">
            <v>61.05854734698495</v>
          </cell>
          <cell r="Q615" t="e">
            <v>#DIV/0!</v>
          </cell>
        </row>
        <row r="618">
          <cell r="B618" t="str">
            <v>MEA Survey Results</v>
          </cell>
        </row>
        <row r="619">
          <cell r="B619" t="str">
            <v>   Average for all utilities</v>
          </cell>
          <cell r="I619">
            <v>69.41</v>
          </cell>
          <cell r="J619">
            <v>74.09</v>
          </cell>
          <cell r="K619">
            <v>77.33</v>
          </cell>
          <cell r="L619">
            <v>75.42</v>
          </cell>
          <cell r="M619">
            <v>67.89</v>
          </cell>
          <cell r="N619">
            <v>62.16</v>
          </cell>
        </row>
        <row r="620">
          <cell r="B620" t="str">
            <v>   Average for medium size utilities</v>
          </cell>
          <cell r="I620">
            <v>70.34</v>
          </cell>
          <cell r="J620">
            <v>74.77</v>
          </cell>
          <cell r="K620">
            <v>81.03</v>
          </cell>
          <cell r="L620">
            <v>76.19</v>
          </cell>
          <cell r="M620">
            <v>67.04</v>
          </cell>
          <cell r="N620">
            <v>62.59</v>
          </cell>
        </row>
        <row r="621">
          <cell r="B621" t="str">
            <v>   Brampton</v>
          </cell>
          <cell r="I621">
            <v>102.95</v>
          </cell>
          <cell r="J621">
            <v>114.14</v>
          </cell>
          <cell r="K621">
            <v>109.15</v>
          </cell>
          <cell r="L621">
            <v>118.16</v>
          </cell>
          <cell r="M621">
            <v>98.78</v>
          </cell>
          <cell r="N621">
            <v>79.5</v>
          </cell>
        </row>
        <row r="622">
          <cell r="B622" t="str">
            <v>   Markham</v>
          </cell>
          <cell r="I622">
            <v>79.41</v>
          </cell>
          <cell r="J622">
            <v>81.25</v>
          </cell>
          <cell r="K622">
            <v>86.34</v>
          </cell>
          <cell r="L622">
            <v>77.92</v>
          </cell>
          <cell r="M622">
            <v>78.73</v>
          </cell>
          <cell r="N622">
            <v>71.5</v>
          </cell>
        </row>
        <row r="623">
          <cell r="B623" t="str">
            <v>   Vaughan</v>
          </cell>
          <cell r="I623">
            <v>94.13</v>
          </cell>
          <cell r="J623">
            <v>121.64</v>
          </cell>
          <cell r="K623">
            <v>114.25</v>
          </cell>
        </row>
        <row r="624">
          <cell r="B624" t="str">
            <v>   Guelph</v>
          </cell>
          <cell r="I624">
            <v>70.59</v>
          </cell>
          <cell r="J624">
            <v>74.78</v>
          </cell>
          <cell r="K624">
            <v>82.73</v>
          </cell>
          <cell r="L624">
            <v>57.83</v>
          </cell>
          <cell r="M624">
            <v>56.86</v>
          </cell>
          <cell r="N624">
            <v>55.84</v>
          </cell>
        </row>
        <row r="625">
          <cell r="B625" t="str">
            <v>   Barrie</v>
          </cell>
          <cell r="I625">
            <v>78.29</v>
          </cell>
          <cell r="J625">
            <v>64.82</v>
          </cell>
          <cell r="K625">
            <v>68.98</v>
          </cell>
          <cell r="L625">
            <v>68.29</v>
          </cell>
          <cell r="M625">
            <v>64.12</v>
          </cell>
          <cell r="N625">
            <v>49.8</v>
          </cell>
        </row>
        <row r="626">
          <cell r="B626" t="str">
            <v>   Newmarket</v>
          </cell>
          <cell r="I626">
            <v>62.53</v>
          </cell>
          <cell r="J626">
            <v>62.88</v>
          </cell>
          <cell r="K626">
            <v>88.21</v>
          </cell>
          <cell r="L626">
            <v>64.66</v>
          </cell>
          <cell r="M626">
            <v>55.65</v>
          </cell>
          <cell r="N626">
            <v>55.9</v>
          </cell>
        </row>
        <row r="629">
          <cell r="B629" t="str">
            <v>MEA Interpretation</v>
          </cell>
        </row>
        <row r="630">
          <cell r="B630" t="str">
            <v>  -  This measure provides an indication of the utility's effectiveness in managing local costs associated with operating and maintaining the </v>
          </cell>
        </row>
        <row r="631">
          <cell r="B631" t="str">
            <v>     electrical system on a per customer basis.     It will be influenced by the age of  plant and amount of plant replacement.</v>
          </cell>
        </row>
        <row r="632">
          <cell r="B632" t="str">
            <v>  -  Bulk metered customers are counted as one customer and administration costs are excluded.</v>
          </cell>
        </row>
        <row r="634">
          <cell r="B634" t="str">
            <v>EFFICIENCY RATIOS (continued)</v>
          </cell>
          <cell r="G634">
            <v>1996</v>
          </cell>
          <cell r="H634">
            <v>1995</v>
          </cell>
          <cell r="I634">
            <v>1994</v>
          </cell>
          <cell r="J634">
            <v>1993</v>
          </cell>
          <cell r="K634">
            <v>1992</v>
          </cell>
          <cell r="L634">
            <v>1991</v>
          </cell>
          <cell r="M634">
            <v>1990</v>
          </cell>
          <cell r="N634">
            <v>1989</v>
          </cell>
          <cell r="O634">
            <v>1988</v>
          </cell>
          <cell r="P634">
            <v>1987</v>
          </cell>
          <cell r="Q634">
            <v>1986</v>
          </cell>
        </row>
        <row r="636">
          <cell r="B636" t="str">
            <v>Ratio 16 - Ops. &amp; Maint. / MW.h Sold</v>
          </cell>
        </row>
        <row r="638">
          <cell r="B638" t="str">
            <v>RHHEC Calculation</v>
          </cell>
        </row>
        <row r="639">
          <cell r="B639" t="str">
            <v>  O = Operations &amp; Maintenance</v>
          </cell>
          <cell r="H639">
            <v>3254615</v>
          </cell>
          <cell r="I639">
            <v>3065898</v>
          </cell>
          <cell r="J639">
            <v>2933311</v>
          </cell>
          <cell r="K639">
            <v>2888634</v>
          </cell>
          <cell r="L639">
            <v>2764862</v>
          </cell>
          <cell r="M639">
            <v>2185559</v>
          </cell>
          <cell r="N639">
            <v>1874382</v>
          </cell>
          <cell r="O639">
            <v>1580061</v>
          </cell>
          <cell r="P639">
            <v>1079393</v>
          </cell>
          <cell r="Q639">
            <v>0</v>
          </cell>
        </row>
        <row r="640">
          <cell r="B640" t="str">
            <v>  E = MW.h sold</v>
          </cell>
          <cell r="H640">
            <v>778835</v>
          </cell>
          <cell r="I640">
            <v>742241</v>
          </cell>
          <cell r="J640">
            <v>717716</v>
          </cell>
          <cell r="K640">
            <v>679191</v>
          </cell>
          <cell r="L640">
            <v>691595</v>
          </cell>
          <cell r="M640">
            <v>639030</v>
          </cell>
          <cell r="N640">
            <v>601943</v>
          </cell>
          <cell r="O640">
            <v>527627</v>
          </cell>
          <cell r="P640">
            <v>428598</v>
          </cell>
          <cell r="Q640">
            <v>0</v>
          </cell>
        </row>
        <row r="641">
          <cell r="B641" t="str">
            <v>  RHHEC Statistic</v>
          </cell>
          <cell r="H641">
            <v>4.178824783169734</v>
          </cell>
          <cell r="I641">
            <v>4.13059639658817</v>
          </cell>
          <cell r="J641">
            <v>4.087007953006482</v>
          </cell>
          <cell r="K641">
            <v>4.253051056330252</v>
          </cell>
          <cell r="L641">
            <v>3.997805073778729</v>
          </cell>
          <cell r="M641">
            <v>3.420119556202369</v>
          </cell>
          <cell r="N641">
            <v>3.113886198527103</v>
          </cell>
          <cell r="O641">
            <v>2.994655315213209</v>
          </cell>
          <cell r="P641">
            <v>2.5184275241601686</v>
          </cell>
          <cell r="Q641" t="e">
            <v>#DIV/0!</v>
          </cell>
        </row>
        <row r="644">
          <cell r="B644" t="str">
            <v>MEA Survey Results</v>
          </cell>
        </row>
        <row r="645">
          <cell r="B645" t="str">
            <v>   Average for all utilities</v>
          </cell>
          <cell r="I645">
            <v>2.75</v>
          </cell>
          <cell r="J645">
            <v>2.92</v>
          </cell>
          <cell r="K645">
            <v>2.95</v>
          </cell>
          <cell r="L645">
            <v>2.7</v>
          </cell>
          <cell r="M645">
            <v>2.42</v>
          </cell>
          <cell r="N645">
            <v>2.2</v>
          </cell>
        </row>
        <row r="646">
          <cell r="B646" t="str">
            <v>   Average for medium size utilities</v>
          </cell>
          <cell r="I646">
            <v>2.75</v>
          </cell>
          <cell r="J646">
            <v>2.91</v>
          </cell>
          <cell r="K646">
            <v>3.16</v>
          </cell>
          <cell r="L646">
            <v>2.87</v>
          </cell>
          <cell r="M646">
            <v>2.48</v>
          </cell>
          <cell r="N646">
            <v>2.34</v>
          </cell>
        </row>
        <row r="647">
          <cell r="B647" t="str">
            <v>   Brampton</v>
          </cell>
          <cell r="I647">
            <v>2.76</v>
          </cell>
          <cell r="J647">
            <v>2.99</v>
          </cell>
          <cell r="K647">
            <v>3.05</v>
          </cell>
          <cell r="L647">
            <v>3.2</v>
          </cell>
          <cell r="M647">
            <v>2.81</v>
          </cell>
          <cell r="N647">
            <v>2.23</v>
          </cell>
        </row>
        <row r="648">
          <cell r="B648" t="str">
            <v>   Markham</v>
          </cell>
          <cell r="I648">
            <v>2.4</v>
          </cell>
          <cell r="J648">
            <v>2.49</v>
          </cell>
          <cell r="K648">
            <v>2.66</v>
          </cell>
          <cell r="L648">
            <v>2.31</v>
          </cell>
          <cell r="M648">
            <v>2.46</v>
          </cell>
          <cell r="N648">
            <v>2.29</v>
          </cell>
        </row>
        <row r="649">
          <cell r="B649" t="str">
            <v>   Vaughan</v>
          </cell>
          <cell r="I649">
            <v>2.51</v>
          </cell>
          <cell r="J649">
            <v>3.21</v>
          </cell>
          <cell r="K649">
            <v>3.5</v>
          </cell>
        </row>
        <row r="650">
          <cell r="B650" t="str">
            <v>   Guelph</v>
          </cell>
          <cell r="I650">
            <v>2.02</v>
          </cell>
          <cell r="J650">
            <v>2.2</v>
          </cell>
          <cell r="K650">
            <v>1.91</v>
          </cell>
          <cell r="L650">
            <v>1.89</v>
          </cell>
          <cell r="M650">
            <v>1.88</v>
          </cell>
          <cell r="N650">
            <v>1.56</v>
          </cell>
        </row>
        <row r="651">
          <cell r="B651" t="str">
            <v>   Barrie</v>
          </cell>
          <cell r="I651">
            <v>3.02</v>
          </cell>
          <cell r="J651">
            <v>2.52</v>
          </cell>
          <cell r="K651">
            <v>2.59</v>
          </cell>
          <cell r="L651">
            <v>2.33</v>
          </cell>
          <cell r="M651">
            <v>2.09</v>
          </cell>
          <cell r="N651">
            <v>1.56</v>
          </cell>
        </row>
        <row r="652">
          <cell r="B652" t="str">
            <v>   Newmarket</v>
          </cell>
          <cell r="I652">
            <v>2.48</v>
          </cell>
          <cell r="J652">
            <v>2.47</v>
          </cell>
          <cell r="K652">
            <v>3.52</v>
          </cell>
          <cell r="L652">
            <v>2.43</v>
          </cell>
          <cell r="M652">
            <v>2.02</v>
          </cell>
          <cell r="N652">
            <v>2.03</v>
          </cell>
        </row>
        <row r="655">
          <cell r="B655" t="str">
            <v>MEA Interpretation</v>
          </cell>
        </row>
        <row r="656">
          <cell r="B656" t="str">
            <v>  -  This measure provides an indication of the utility's effectiveness in managing operation &amp; maintenance costs on a mW.h basis.</v>
          </cell>
        </row>
        <row r="657">
          <cell r="B657" t="str">
            <v>  -  It will be influenced by the age of  plant and amount of plant replacement.</v>
          </cell>
        </row>
        <row r="658">
          <cell r="B658" t="str">
            <v>  -  It excludes administration costs.</v>
          </cell>
        </row>
        <row r="660">
          <cell r="B660" t="str">
            <v>EFFICIENCY RATIOS (continued)</v>
          </cell>
          <cell r="G660">
            <v>1996</v>
          </cell>
          <cell r="H660">
            <v>1995</v>
          </cell>
          <cell r="I660">
            <v>1994</v>
          </cell>
          <cell r="J660">
            <v>1993</v>
          </cell>
          <cell r="K660">
            <v>1992</v>
          </cell>
          <cell r="L660">
            <v>1991</v>
          </cell>
          <cell r="M660">
            <v>1990</v>
          </cell>
          <cell r="N660">
            <v>1989</v>
          </cell>
          <cell r="O660">
            <v>1988</v>
          </cell>
          <cell r="P660">
            <v>1987</v>
          </cell>
          <cell r="Q660">
            <v>1986</v>
          </cell>
        </row>
        <row r="662">
          <cell r="B662" t="str">
            <v>Ratio 17 - Administration Exp / Customer</v>
          </cell>
        </row>
        <row r="664">
          <cell r="B664" t="str">
            <v>RHHEC Calculation</v>
          </cell>
        </row>
        <row r="665">
          <cell r="B665" t="str">
            <v>  B = Billing &amp; Collecting</v>
          </cell>
          <cell r="H665">
            <v>1233633</v>
          </cell>
          <cell r="I665">
            <v>1275242</v>
          </cell>
          <cell r="J665">
            <v>1146790</v>
          </cell>
          <cell r="K665">
            <v>1139078</v>
          </cell>
          <cell r="L665">
            <v>1056452</v>
          </cell>
          <cell r="M665">
            <v>933693</v>
          </cell>
          <cell r="N665">
            <v>744346</v>
          </cell>
          <cell r="O665">
            <v>707467</v>
          </cell>
          <cell r="P665">
            <v>665271</v>
          </cell>
        </row>
        <row r="666">
          <cell r="B666" t="str">
            <v>  G = General &amp; Administration</v>
          </cell>
          <cell r="H666">
            <v>1577638</v>
          </cell>
          <cell r="I666">
            <v>1419189</v>
          </cell>
          <cell r="J666">
            <v>1544075</v>
          </cell>
          <cell r="K666">
            <v>1454020</v>
          </cell>
          <cell r="L666">
            <v>1415798</v>
          </cell>
          <cell r="M666">
            <v>1283597</v>
          </cell>
          <cell r="N666">
            <v>999266</v>
          </cell>
          <cell r="O666">
            <v>825771</v>
          </cell>
          <cell r="P666">
            <v>688731</v>
          </cell>
        </row>
        <row r="667">
          <cell r="B667" t="str">
            <v>  A = Administration</v>
          </cell>
          <cell r="H667">
            <v>2811271</v>
          </cell>
          <cell r="I667">
            <v>2694431</v>
          </cell>
          <cell r="J667">
            <v>2690865</v>
          </cell>
          <cell r="K667">
            <v>2593098</v>
          </cell>
          <cell r="L667">
            <v>2472250</v>
          </cell>
          <cell r="M667">
            <v>2217290</v>
          </cell>
          <cell r="N667">
            <v>1743612</v>
          </cell>
          <cell r="O667">
            <v>1533238</v>
          </cell>
          <cell r="P667">
            <v>1354002</v>
          </cell>
        </row>
        <row r="668">
          <cell r="B668" t="str">
            <v>  Ca = Average # of Customers .. all classes</v>
          </cell>
          <cell r="H668">
            <v>29854</v>
          </cell>
          <cell r="I668">
            <v>28937</v>
          </cell>
          <cell r="J668">
            <v>27703</v>
          </cell>
          <cell r="K668">
            <v>26247</v>
          </cell>
          <cell r="L668">
            <v>24959</v>
          </cell>
          <cell r="M668">
            <v>23823</v>
          </cell>
          <cell r="N668">
            <v>22381</v>
          </cell>
          <cell r="O668">
            <v>20326</v>
          </cell>
          <cell r="P668">
            <v>17678</v>
          </cell>
          <cell r="Q668">
            <v>0</v>
          </cell>
        </row>
        <row r="669">
          <cell r="B669" t="str">
            <v>  RHHEC Statistic</v>
          </cell>
          <cell r="H669">
            <v>94.16731426274536</v>
          </cell>
          <cell r="I669">
            <v>93.11369526903273</v>
          </cell>
          <cell r="J669">
            <v>97.13262101577446</v>
          </cell>
          <cell r="K669">
            <v>98.79597668304949</v>
          </cell>
          <cell r="L669">
            <v>99.0524460114588</v>
          </cell>
          <cell r="M669">
            <v>93.0735003987743</v>
          </cell>
          <cell r="N669">
            <v>77.90590232786738</v>
          </cell>
          <cell r="O669">
            <v>75.43235265177606</v>
          </cell>
          <cell r="P669">
            <v>76.59248783799072</v>
          </cell>
          <cell r="Q669" t="e">
            <v>#DIV/0!</v>
          </cell>
        </row>
        <row r="672">
          <cell r="B672" t="str">
            <v>MEA Survey Results</v>
          </cell>
        </row>
        <row r="673">
          <cell r="B673" t="str">
            <v>   Average for all utilities</v>
          </cell>
          <cell r="I673">
            <v>92.29</v>
          </cell>
          <cell r="J673">
            <v>94.37</v>
          </cell>
          <cell r="K673">
            <v>96.31</v>
          </cell>
          <cell r="L673">
            <v>90.3</v>
          </cell>
          <cell r="M673">
            <v>83.85</v>
          </cell>
          <cell r="N673">
            <v>74.93</v>
          </cell>
        </row>
        <row r="674">
          <cell r="B674" t="str">
            <v>   Average for medium size utilities</v>
          </cell>
          <cell r="I674">
            <v>85.76</v>
          </cell>
          <cell r="J674">
            <v>89.42</v>
          </cell>
          <cell r="K674">
            <v>90.11</v>
          </cell>
          <cell r="L674">
            <v>85.95</v>
          </cell>
          <cell r="M674">
            <v>77.58</v>
          </cell>
          <cell r="N674">
            <v>69.66</v>
          </cell>
        </row>
        <row r="675">
          <cell r="B675" t="str">
            <v>   Brampton</v>
          </cell>
          <cell r="I675">
            <v>87.32</v>
          </cell>
          <cell r="J675">
            <v>101.64</v>
          </cell>
          <cell r="K675">
            <v>104.49</v>
          </cell>
          <cell r="L675">
            <v>87.93</v>
          </cell>
          <cell r="M675">
            <v>72.64</v>
          </cell>
          <cell r="N675">
            <v>65.48</v>
          </cell>
        </row>
        <row r="676">
          <cell r="B676" t="str">
            <v>   Markham</v>
          </cell>
          <cell r="I676">
            <v>74.97</v>
          </cell>
          <cell r="J676">
            <v>74.84</v>
          </cell>
          <cell r="K676">
            <v>78.57</v>
          </cell>
          <cell r="L676">
            <v>77.32</v>
          </cell>
          <cell r="M676">
            <v>73.98</v>
          </cell>
          <cell r="N676">
            <v>63.22</v>
          </cell>
        </row>
        <row r="677">
          <cell r="B677" t="str">
            <v>   Vaughan</v>
          </cell>
          <cell r="I677">
            <v>102.37</v>
          </cell>
          <cell r="J677">
            <v>104.02</v>
          </cell>
          <cell r="K677">
            <v>120.15</v>
          </cell>
        </row>
        <row r="678">
          <cell r="B678" t="str">
            <v>   Guelph</v>
          </cell>
          <cell r="I678">
            <v>103.98</v>
          </cell>
          <cell r="J678">
            <v>104.37</v>
          </cell>
          <cell r="K678">
            <v>113.52</v>
          </cell>
          <cell r="L678">
            <v>104.88</v>
          </cell>
          <cell r="M678">
            <v>97.37</v>
          </cell>
          <cell r="N678">
            <v>84.92</v>
          </cell>
        </row>
        <row r="679">
          <cell r="B679" t="str">
            <v>   Barrie</v>
          </cell>
          <cell r="I679">
            <v>77.46</v>
          </cell>
          <cell r="J679">
            <v>79.65</v>
          </cell>
          <cell r="K679">
            <v>90.03</v>
          </cell>
          <cell r="L679">
            <v>82.37</v>
          </cell>
          <cell r="M679">
            <v>66.27</v>
          </cell>
          <cell r="N679">
            <v>53.13</v>
          </cell>
        </row>
        <row r="680">
          <cell r="B680" t="str">
            <v>   Newmarket</v>
          </cell>
          <cell r="I680">
            <v>63.31</v>
          </cell>
          <cell r="J680">
            <v>66.31</v>
          </cell>
          <cell r="K680">
            <v>66.26</v>
          </cell>
          <cell r="L680">
            <v>69.23</v>
          </cell>
          <cell r="M680">
            <v>70.46</v>
          </cell>
          <cell r="N680">
            <v>66.61</v>
          </cell>
        </row>
        <row r="683">
          <cell r="B683" t="str">
            <v>MEA Interpretation</v>
          </cell>
        </row>
        <row r="684">
          <cell r="B684" t="str">
            <v>  -  This measure provides an indication of the utility's effectiveness in managing administration costs on a per customer  basis.</v>
          </cell>
        </row>
        <row r="685">
          <cell r="B685" t="str">
            <v>  -  It is influenced by  the degree to which a utility provides various customer services, the makeup of internal support functions and</v>
          </cell>
        </row>
        <row r="686">
          <cell r="B686" t="str">
            <v>      customer mix.   Bulk metered customers are counted as one customer.</v>
          </cell>
        </row>
        <row r="688">
          <cell r="B688" t="str">
            <v>EFFICIENCY RATIOS (continued)</v>
          </cell>
          <cell r="G688">
            <v>1996</v>
          </cell>
          <cell r="H688">
            <v>1995</v>
          </cell>
          <cell r="I688">
            <v>1994</v>
          </cell>
          <cell r="J688">
            <v>1993</v>
          </cell>
          <cell r="K688">
            <v>1992</v>
          </cell>
          <cell r="L688">
            <v>1991</v>
          </cell>
          <cell r="M688">
            <v>1990</v>
          </cell>
          <cell r="N688">
            <v>1989</v>
          </cell>
          <cell r="O688">
            <v>1988</v>
          </cell>
          <cell r="P688">
            <v>1987</v>
          </cell>
          <cell r="Q688">
            <v>1986</v>
          </cell>
        </row>
        <row r="690">
          <cell r="B690" t="str">
            <v>Ratio 18 - Administration Exp / MW.h Sold</v>
          </cell>
        </row>
        <row r="692">
          <cell r="B692" t="str">
            <v>RHHEC Calculation</v>
          </cell>
        </row>
        <row r="693">
          <cell r="B693" t="str">
            <v>  A = Administration</v>
          </cell>
          <cell r="H693">
            <v>2811271</v>
          </cell>
          <cell r="I693">
            <v>2694431</v>
          </cell>
          <cell r="J693">
            <v>2690865</v>
          </cell>
          <cell r="K693">
            <v>2593098</v>
          </cell>
          <cell r="L693">
            <v>2472250</v>
          </cell>
          <cell r="M693">
            <v>2217290</v>
          </cell>
          <cell r="N693">
            <v>1743612</v>
          </cell>
          <cell r="O693">
            <v>1533238</v>
          </cell>
          <cell r="P693">
            <v>1354002</v>
          </cell>
          <cell r="Q693">
            <v>0</v>
          </cell>
        </row>
        <row r="694">
          <cell r="B694" t="str">
            <v>  E = MW.h sold</v>
          </cell>
          <cell r="H694">
            <v>778835</v>
          </cell>
          <cell r="I694">
            <v>742241</v>
          </cell>
          <cell r="J694">
            <v>717716</v>
          </cell>
          <cell r="K694">
            <v>679191</v>
          </cell>
          <cell r="L694">
            <v>691595</v>
          </cell>
          <cell r="M694">
            <v>639030</v>
          </cell>
          <cell r="N694">
            <v>601943</v>
          </cell>
          <cell r="O694">
            <v>527627</v>
          </cell>
          <cell r="P694">
            <v>428598</v>
          </cell>
          <cell r="Q694">
            <v>0</v>
          </cell>
        </row>
        <row r="695">
          <cell r="B695" t="str">
            <v>  RHHEC Statistic</v>
          </cell>
          <cell r="H695">
            <v>3.609584828622237</v>
          </cell>
          <cell r="I695">
            <v>3.630129567081312</v>
          </cell>
          <cell r="J695">
            <v>3.7492058139988518</v>
          </cell>
          <cell r="K695">
            <v>3.817921615569111</v>
          </cell>
          <cell r="L695">
            <v>3.574707740802059</v>
          </cell>
          <cell r="M695">
            <v>3.469774501979563</v>
          </cell>
          <cell r="N695">
            <v>2.8966397150560765</v>
          </cell>
          <cell r="O695">
            <v>2.905912699691259</v>
          </cell>
          <cell r="P695">
            <v>3.1591421331877423</v>
          </cell>
          <cell r="Q695" t="e">
            <v>#DIV/0!</v>
          </cell>
        </row>
        <row r="698">
          <cell r="B698" t="str">
            <v>MEA Survey Results</v>
          </cell>
        </row>
        <row r="699">
          <cell r="B699" t="str">
            <v>   Average for all utilities</v>
          </cell>
          <cell r="I699">
            <v>3.89</v>
          </cell>
          <cell r="J699">
            <v>3.75</v>
          </cell>
          <cell r="K699">
            <v>3.83</v>
          </cell>
          <cell r="L699">
            <v>3.32</v>
          </cell>
          <cell r="M699">
            <v>3.02</v>
          </cell>
          <cell r="N699">
            <v>2.63</v>
          </cell>
        </row>
        <row r="700">
          <cell r="B700" t="str">
            <v>   Average for medium size utilities</v>
          </cell>
          <cell r="I700">
            <v>3.38</v>
          </cell>
          <cell r="J700">
            <v>3.48</v>
          </cell>
          <cell r="K700">
            <v>3.58</v>
          </cell>
          <cell r="L700">
            <v>3.25</v>
          </cell>
          <cell r="M700">
            <v>2.89</v>
          </cell>
          <cell r="N700">
            <v>2.58</v>
          </cell>
        </row>
        <row r="701">
          <cell r="B701" t="str">
            <v>   Brampton</v>
          </cell>
          <cell r="I701">
            <v>2.34</v>
          </cell>
          <cell r="J701">
            <v>2.67</v>
          </cell>
          <cell r="K701">
            <v>2.91</v>
          </cell>
          <cell r="L701">
            <v>2.38</v>
          </cell>
          <cell r="M701">
            <v>2.07</v>
          </cell>
          <cell r="N701">
            <v>1.84</v>
          </cell>
        </row>
        <row r="702">
          <cell r="B702" t="str">
            <v>   Markham</v>
          </cell>
          <cell r="I702">
            <v>2.27</v>
          </cell>
          <cell r="J702">
            <v>2.3</v>
          </cell>
          <cell r="K702">
            <v>2.42</v>
          </cell>
          <cell r="L702">
            <v>2.29</v>
          </cell>
          <cell r="M702">
            <v>2.32</v>
          </cell>
          <cell r="N702">
            <v>2.02</v>
          </cell>
        </row>
        <row r="703">
          <cell r="B703" t="str">
            <v>   Vaughan</v>
          </cell>
          <cell r="I703">
            <v>2.73</v>
          </cell>
          <cell r="J703">
            <v>2.75</v>
          </cell>
          <cell r="K703">
            <v>3.35</v>
          </cell>
        </row>
        <row r="704">
          <cell r="B704" t="str">
            <v>   Guelph</v>
          </cell>
          <cell r="I704">
            <v>2.97</v>
          </cell>
          <cell r="J704">
            <v>3.07</v>
          </cell>
          <cell r="K704">
            <v>3.45</v>
          </cell>
          <cell r="L704">
            <v>3.08</v>
          </cell>
          <cell r="M704">
            <v>2.88</v>
          </cell>
          <cell r="N704">
            <v>2.38</v>
          </cell>
        </row>
        <row r="705">
          <cell r="B705" t="str">
            <v>   Barrie</v>
          </cell>
          <cell r="I705">
            <v>2.99</v>
          </cell>
          <cell r="J705">
            <v>3.09</v>
          </cell>
          <cell r="K705">
            <v>3.38</v>
          </cell>
          <cell r="L705">
            <v>2.81</v>
          </cell>
          <cell r="M705">
            <v>2.16</v>
          </cell>
          <cell r="N705">
            <v>1.66</v>
          </cell>
        </row>
        <row r="706">
          <cell r="B706" t="str">
            <v>   Newmarket</v>
          </cell>
          <cell r="I706">
            <v>2.51</v>
          </cell>
          <cell r="J706">
            <v>2.6</v>
          </cell>
          <cell r="K706">
            <v>2.64</v>
          </cell>
          <cell r="L706">
            <v>2.6</v>
          </cell>
          <cell r="M706">
            <v>2.56</v>
          </cell>
          <cell r="N706">
            <v>2.42</v>
          </cell>
        </row>
        <row r="709">
          <cell r="B709" t="str">
            <v>MEA Interpretation</v>
          </cell>
        </row>
        <row r="710">
          <cell r="B710" t="str">
            <v>  -  This measure provides an indication of the utility's effectiveness in managing administration costs on a mW.h basis.</v>
          </cell>
        </row>
        <row r="711">
          <cell r="B711" t="str">
            <v>  -  It is influenced by  the degree to which a utility provides various customer services, the makeup of internal support functions and</v>
          </cell>
        </row>
        <row r="712">
          <cell r="B712" t="str">
            <v>      customer mix.   </v>
          </cell>
        </row>
        <row r="714">
          <cell r="B714" t="str">
            <v>EFFICIENCY RATIOS (continued)</v>
          </cell>
          <cell r="G714">
            <v>1996</v>
          </cell>
          <cell r="H714">
            <v>1995</v>
          </cell>
          <cell r="I714">
            <v>1994</v>
          </cell>
          <cell r="J714">
            <v>1993</v>
          </cell>
          <cell r="K714">
            <v>1992</v>
          </cell>
          <cell r="L714">
            <v>1991</v>
          </cell>
          <cell r="M714">
            <v>1990</v>
          </cell>
          <cell r="N714">
            <v>1989</v>
          </cell>
          <cell r="O714">
            <v>1988</v>
          </cell>
          <cell r="P714">
            <v>1987</v>
          </cell>
          <cell r="Q714">
            <v>1986</v>
          </cell>
        </row>
        <row r="716">
          <cell r="B716" t="str">
            <v>Ratio 19 - Customers Served per Employee</v>
          </cell>
        </row>
        <row r="718">
          <cell r="B718" t="str">
            <v>RHHEC Calculation</v>
          </cell>
        </row>
        <row r="719">
          <cell r="B719" t="str">
            <v>  Ca = Average # of Customers .. all classes</v>
          </cell>
          <cell r="H719">
            <v>29854</v>
          </cell>
          <cell r="I719">
            <v>28937</v>
          </cell>
          <cell r="J719">
            <v>27703</v>
          </cell>
          <cell r="K719">
            <v>26247</v>
          </cell>
          <cell r="L719">
            <v>24959</v>
          </cell>
          <cell r="M719">
            <v>23823</v>
          </cell>
          <cell r="N719">
            <v>22381</v>
          </cell>
          <cell r="O719">
            <v>20326</v>
          </cell>
          <cell r="P719">
            <v>17678</v>
          </cell>
          <cell r="Q719">
            <v>0</v>
          </cell>
        </row>
        <row r="720">
          <cell r="B720" t="str">
            <v>  E = Average # of Employees</v>
          </cell>
          <cell r="H720">
            <v>98</v>
          </cell>
          <cell r="I720">
            <v>99</v>
          </cell>
          <cell r="J720">
            <v>101</v>
          </cell>
          <cell r="K720">
            <v>102</v>
          </cell>
          <cell r="L720">
            <v>102</v>
          </cell>
          <cell r="M720">
            <v>97</v>
          </cell>
          <cell r="N720">
            <v>88</v>
          </cell>
          <cell r="O720">
            <v>81</v>
          </cell>
          <cell r="P720">
            <v>69</v>
          </cell>
          <cell r="Q720">
            <v>0</v>
          </cell>
        </row>
        <row r="721">
          <cell r="B721" t="str">
            <v>  RHHEC Statistic</v>
          </cell>
          <cell r="H721">
            <v>304.6326530612245</v>
          </cell>
          <cell r="I721">
            <v>292.2929292929293</v>
          </cell>
          <cell r="J721">
            <v>274.28712871287127</v>
          </cell>
          <cell r="K721">
            <v>257.3235294117647</v>
          </cell>
          <cell r="L721">
            <v>244.69607843137254</v>
          </cell>
          <cell r="M721">
            <v>245.5979381443299</v>
          </cell>
          <cell r="N721">
            <v>254.32954545454547</v>
          </cell>
          <cell r="O721">
            <v>250.93827160493828</v>
          </cell>
          <cell r="P721">
            <v>256.2028985507246</v>
          </cell>
          <cell r="Q721" t="e">
            <v>#DIV/0!</v>
          </cell>
        </row>
        <row r="724">
          <cell r="B724" t="str">
            <v>MEA Survey Results</v>
          </cell>
        </row>
        <row r="725">
          <cell r="B725" t="str">
            <v>   Average for all utilities</v>
          </cell>
          <cell r="I725">
            <v>389</v>
          </cell>
          <cell r="J725">
            <v>377</v>
          </cell>
          <cell r="K725">
            <v>368</v>
          </cell>
          <cell r="L725">
            <v>345</v>
          </cell>
          <cell r="M725">
            <v>341</v>
          </cell>
          <cell r="N725">
            <v>338</v>
          </cell>
        </row>
        <row r="726">
          <cell r="B726" t="str">
            <v>   Average for medium size utilities</v>
          </cell>
          <cell r="I726">
            <v>407</v>
          </cell>
          <cell r="J726">
            <v>386</v>
          </cell>
          <cell r="K726">
            <v>365</v>
          </cell>
          <cell r="L726">
            <v>351</v>
          </cell>
          <cell r="M726">
            <v>349</v>
          </cell>
          <cell r="N726">
            <v>347</v>
          </cell>
        </row>
        <row r="727">
          <cell r="B727" t="str">
            <v>   Brampton</v>
          </cell>
          <cell r="I727">
            <v>314</v>
          </cell>
          <cell r="J727">
            <v>291</v>
          </cell>
          <cell r="K727">
            <v>277</v>
          </cell>
          <cell r="L727">
            <v>274</v>
          </cell>
          <cell r="M727">
            <v>286</v>
          </cell>
          <cell r="N727">
            <v>295</v>
          </cell>
        </row>
        <row r="728">
          <cell r="B728" t="str">
            <v>   Markham</v>
          </cell>
          <cell r="I728">
            <v>363</v>
          </cell>
          <cell r="J728">
            <v>399</v>
          </cell>
          <cell r="K728">
            <v>336</v>
          </cell>
          <cell r="L728">
            <v>320</v>
          </cell>
          <cell r="M728">
            <v>321</v>
          </cell>
          <cell r="N728">
            <v>307</v>
          </cell>
        </row>
        <row r="729">
          <cell r="B729" t="str">
            <v>   Vaughan</v>
          </cell>
          <cell r="I729">
            <v>281</v>
          </cell>
          <cell r="J729">
            <v>244</v>
          </cell>
          <cell r="K729">
            <v>230</v>
          </cell>
        </row>
        <row r="730">
          <cell r="B730" t="str">
            <v>   Guelph</v>
          </cell>
          <cell r="I730">
            <v>314</v>
          </cell>
          <cell r="J730">
            <v>305</v>
          </cell>
          <cell r="K730">
            <v>310</v>
          </cell>
          <cell r="L730">
            <v>305</v>
          </cell>
          <cell r="M730">
            <v>305</v>
          </cell>
          <cell r="N730">
            <v>321</v>
          </cell>
        </row>
        <row r="731">
          <cell r="B731" t="str">
            <v>   Barrie</v>
          </cell>
          <cell r="I731">
            <v>411</v>
          </cell>
          <cell r="J731">
            <v>377</v>
          </cell>
          <cell r="K731">
            <v>339</v>
          </cell>
          <cell r="L731">
            <v>324</v>
          </cell>
          <cell r="M731">
            <v>314</v>
          </cell>
          <cell r="N731">
            <v>318</v>
          </cell>
        </row>
        <row r="732">
          <cell r="B732" t="str">
            <v>   Newmarket</v>
          </cell>
          <cell r="I732">
            <v>511</v>
          </cell>
          <cell r="J732">
            <v>483</v>
          </cell>
          <cell r="K732">
            <v>468</v>
          </cell>
          <cell r="L732">
            <v>446</v>
          </cell>
          <cell r="M732">
            <v>436</v>
          </cell>
          <cell r="N732">
            <v>403</v>
          </cell>
        </row>
        <row r="735">
          <cell r="B735" t="str">
            <v>MEA Interpretation</v>
          </cell>
        </row>
        <row r="736">
          <cell r="B736" t="str">
            <v>  -  This ratio measures the average number of customers that are served by a utility employee.</v>
          </cell>
        </row>
        <row r="737">
          <cell r="B737" t="str">
            <v>  -  The ratio will be influenced by the number of bulk metered customers and by the amount of contract labour used by the utility.</v>
          </cell>
        </row>
        <row r="739">
          <cell r="B739" t="str">
            <v>EFFICIENCY RATIOS (continued)</v>
          </cell>
          <cell r="G739">
            <v>1996</v>
          </cell>
          <cell r="H739">
            <v>1995</v>
          </cell>
          <cell r="I739">
            <v>1994</v>
          </cell>
          <cell r="J739">
            <v>1993</v>
          </cell>
          <cell r="K739">
            <v>1992</v>
          </cell>
          <cell r="L739">
            <v>1991</v>
          </cell>
          <cell r="M739">
            <v>1990</v>
          </cell>
          <cell r="N739">
            <v>1989</v>
          </cell>
          <cell r="O739">
            <v>1988</v>
          </cell>
          <cell r="P739">
            <v>1987</v>
          </cell>
          <cell r="Q739">
            <v>1986</v>
          </cell>
        </row>
        <row r="741">
          <cell r="B741" t="str">
            <v>Ratio 33 - System Losses</v>
          </cell>
        </row>
        <row r="743">
          <cell r="B743" t="str">
            <v>RHHEC Calculation</v>
          </cell>
        </row>
        <row r="744">
          <cell r="B744" t="str">
            <v>  K = Total kW.h purchased</v>
          </cell>
          <cell r="H744">
            <v>803556000</v>
          </cell>
          <cell r="I744">
            <v>765286000</v>
          </cell>
          <cell r="J744">
            <v>733898000</v>
          </cell>
          <cell r="K744">
            <v>707035000</v>
          </cell>
          <cell r="L744">
            <v>710862000</v>
          </cell>
          <cell r="M744">
            <v>659694000</v>
          </cell>
          <cell r="N744">
            <v>631124000</v>
          </cell>
          <cell r="O744">
            <v>545607000</v>
          </cell>
          <cell r="P744">
            <v>462073000</v>
          </cell>
        </row>
        <row r="745">
          <cell r="B745" t="str">
            <v>  E = MW.h sold</v>
          </cell>
          <cell r="H745">
            <v>778835000</v>
          </cell>
          <cell r="I745">
            <v>742241000</v>
          </cell>
          <cell r="J745">
            <v>717716000</v>
          </cell>
          <cell r="K745">
            <v>679191000</v>
          </cell>
          <cell r="L745">
            <v>691595000</v>
          </cell>
          <cell r="M745">
            <v>639030000</v>
          </cell>
          <cell r="N745">
            <v>601943000</v>
          </cell>
          <cell r="O745">
            <v>527627000</v>
          </cell>
          <cell r="P745">
            <v>428598000</v>
          </cell>
        </row>
        <row r="746">
          <cell r="B746" t="str">
            <v>  L = Line losses</v>
          </cell>
          <cell r="H746">
            <v>24721000</v>
          </cell>
          <cell r="I746">
            <v>23045000</v>
          </cell>
          <cell r="J746">
            <v>16182000</v>
          </cell>
          <cell r="K746">
            <v>27844000</v>
          </cell>
          <cell r="L746">
            <v>19267000</v>
          </cell>
          <cell r="M746">
            <v>20664000</v>
          </cell>
          <cell r="N746">
            <v>29181000</v>
          </cell>
          <cell r="O746">
            <v>17980000</v>
          </cell>
          <cell r="P746">
            <v>33475000</v>
          </cell>
        </row>
        <row r="747">
          <cell r="B747" t="str">
            <v>  RHHEC Statistic</v>
          </cell>
          <cell r="H747">
            <v>3.076450178954545</v>
          </cell>
          <cell r="I747">
            <v>3.0112925102510673</v>
          </cell>
          <cell r="J747">
            <v>2.2049385609444414</v>
          </cell>
          <cell r="K747">
            <v>3.938136018726084</v>
          </cell>
          <cell r="L747">
            <v>2.710371351964241</v>
          </cell>
          <cell r="M747">
            <v>3.1323613675431403</v>
          </cell>
          <cell r="N747">
            <v>4.623655573231247</v>
          </cell>
          <cell r="O747">
            <v>3.295412265605094</v>
          </cell>
          <cell r="P747">
            <v>7.244526297792774</v>
          </cell>
        </row>
        <row r="750">
          <cell r="B750" t="str">
            <v>MEA Survey Results</v>
          </cell>
        </row>
        <row r="751">
          <cell r="B751" t="str">
            <v>   Average for all utilities</v>
          </cell>
          <cell r="I751">
            <v>3.9</v>
          </cell>
          <cell r="J751">
            <v>3.8</v>
          </cell>
          <cell r="K751">
            <v>3.9</v>
          </cell>
          <cell r="L751">
            <v>3.8</v>
          </cell>
          <cell r="M751">
            <v>3.6</v>
          </cell>
          <cell r="N751">
            <v>4.5</v>
          </cell>
        </row>
        <row r="752">
          <cell r="B752" t="str">
            <v>   Average for medium size utilities</v>
          </cell>
          <cell r="I752">
            <v>3.7</v>
          </cell>
          <cell r="J752">
            <v>3.6</v>
          </cell>
          <cell r="K752">
            <v>4</v>
          </cell>
          <cell r="L752">
            <v>4.1</v>
          </cell>
          <cell r="M752">
            <v>3.6</v>
          </cell>
          <cell r="N752">
            <v>4.5</v>
          </cell>
        </row>
        <row r="753">
          <cell r="B753" t="str">
            <v>   Brampton</v>
          </cell>
          <cell r="I753">
            <v>2.9</v>
          </cell>
          <cell r="J753">
            <v>3.9</v>
          </cell>
          <cell r="K753">
            <v>4.7</v>
          </cell>
          <cell r="L753">
            <v>1.3</v>
          </cell>
          <cell r="M753">
            <v>0.9</v>
          </cell>
          <cell r="N753">
            <v>3.4</v>
          </cell>
        </row>
        <row r="754">
          <cell r="B754" t="str">
            <v>   Markham</v>
          </cell>
          <cell r="I754">
            <v>1.9</v>
          </cell>
          <cell r="J754">
            <v>2.9</v>
          </cell>
          <cell r="K754">
            <v>2.3</v>
          </cell>
          <cell r="L754">
            <v>2.3</v>
          </cell>
          <cell r="M754">
            <v>2.3</v>
          </cell>
          <cell r="N754">
            <v>2.4</v>
          </cell>
        </row>
        <row r="755">
          <cell r="B755" t="str">
            <v>   Vaughan</v>
          </cell>
          <cell r="I755">
            <v>2.9</v>
          </cell>
          <cell r="J755">
            <v>5.7</v>
          </cell>
          <cell r="K755">
            <v>1</v>
          </cell>
        </row>
        <row r="756">
          <cell r="B756" t="str">
            <v>   Guelph</v>
          </cell>
          <cell r="I756">
            <v>3.1</v>
          </cell>
          <cell r="J756">
            <v>2.8</v>
          </cell>
          <cell r="K756">
            <v>3.3</v>
          </cell>
          <cell r="L756">
            <v>3.4</v>
          </cell>
          <cell r="M756">
            <v>3.1</v>
          </cell>
          <cell r="N756">
            <v>4.7</v>
          </cell>
        </row>
        <row r="757">
          <cell r="B757" t="str">
            <v>   Barrie</v>
          </cell>
          <cell r="I757">
            <v>2.8</v>
          </cell>
          <cell r="J757">
            <v>3.2</v>
          </cell>
          <cell r="K757">
            <v>2.9</v>
          </cell>
          <cell r="L757">
            <v>3.5</v>
          </cell>
          <cell r="M757">
            <v>2.9</v>
          </cell>
          <cell r="N757">
            <v>3.3</v>
          </cell>
        </row>
        <row r="758">
          <cell r="B758" t="str">
            <v>   Newmarket</v>
          </cell>
          <cell r="I758">
            <v>3.4</v>
          </cell>
          <cell r="J758">
            <v>3</v>
          </cell>
          <cell r="K758">
            <v>4</v>
          </cell>
          <cell r="L758">
            <v>5.3</v>
          </cell>
          <cell r="M758">
            <v>3.1</v>
          </cell>
          <cell r="N758">
            <v>3.9</v>
          </cell>
        </row>
        <row r="761">
          <cell r="B761" t="str">
            <v>MEA Interpretation</v>
          </cell>
        </row>
        <row r="762">
          <cell r="B762" t="str">
            <v>  -  This measure provides an indication of the efficiency of the distribution system and shows the percentage of kW.h's consumed</v>
          </cell>
        </row>
        <row r="763">
          <cell r="B763" t="str">
            <v>     by the utility that were not ultimately billed to customers.      Losses can be due to line or transformation losses, errors in billing estimates,</v>
          </cell>
        </row>
        <row r="764">
          <cell r="B764" t="str">
            <v>     or theft of power.</v>
          </cell>
        </row>
        <row r="766">
          <cell r="B766" t="str">
            <v>RELIABILITY RATIOS</v>
          </cell>
          <cell r="G766">
            <v>1996</v>
          </cell>
          <cell r="H766">
            <v>1995</v>
          </cell>
          <cell r="I766">
            <v>1994</v>
          </cell>
          <cell r="J766">
            <v>1993</v>
          </cell>
          <cell r="K766">
            <v>1992</v>
          </cell>
          <cell r="L766">
            <v>1991</v>
          </cell>
          <cell r="M766">
            <v>1990</v>
          </cell>
          <cell r="N766">
            <v>1989</v>
          </cell>
          <cell r="O766">
            <v>1988</v>
          </cell>
          <cell r="P766">
            <v>1987</v>
          </cell>
          <cell r="Q766">
            <v>1986</v>
          </cell>
        </row>
        <row r="768">
          <cell r="B768" t="str">
            <v>Ratio 20 - System Avg Interruption Duration Index [SAIDI]</v>
          </cell>
        </row>
        <row r="770">
          <cell r="B770" t="str">
            <v>RHHEC Calculation</v>
          </cell>
        </row>
        <row r="771">
          <cell r="B771" t="str">
            <v>  H = Total customer hours of interruptions</v>
          </cell>
          <cell r="H771">
            <v>44159</v>
          </cell>
          <cell r="I771">
            <v>27347</v>
          </cell>
          <cell r="J771">
            <v>26976</v>
          </cell>
          <cell r="K771">
            <v>31979</v>
          </cell>
        </row>
        <row r="772">
          <cell r="B772" t="str">
            <v>  Ca = Average # of Customers .. all classes</v>
          </cell>
          <cell r="H772">
            <v>29854</v>
          </cell>
          <cell r="I772">
            <v>28937</v>
          </cell>
          <cell r="J772">
            <v>27703</v>
          </cell>
          <cell r="K772">
            <v>26247</v>
          </cell>
        </row>
        <row r="773">
          <cell r="B773" t="str">
            <v>  RHHEC Statistic</v>
          </cell>
          <cell r="H773">
            <v>1.4791652709854626</v>
          </cell>
          <cell r="I773">
            <v>0.9450530462729377</v>
          </cell>
          <cell r="J773">
            <v>0.9737573547991192</v>
          </cell>
          <cell r="K773">
            <v>1.218386863260563</v>
          </cell>
        </row>
        <row r="776">
          <cell r="B776" t="str">
            <v>MEA Survey Results</v>
          </cell>
        </row>
        <row r="777">
          <cell r="B777" t="str">
            <v>   Average for all utilities</v>
          </cell>
          <cell r="I777">
            <v>1.22</v>
          </cell>
          <cell r="J777">
            <v>1.1</v>
          </cell>
          <cell r="K777">
            <v>1.28</v>
          </cell>
          <cell r="L777">
            <v>1.09</v>
          </cell>
          <cell r="M777">
            <v>1.6</v>
          </cell>
          <cell r="N777">
            <v>1.59</v>
          </cell>
        </row>
        <row r="778">
          <cell r="B778" t="str">
            <v>   Average for medium size utilities</v>
          </cell>
          <cell r="I778">
            <v>1.2</v>
          </cell>
          <cell r="J778">
            <v>1.19</v>
          </cell>
          <cell r="K778">
            <v>1.16</v>
          </cell>
          <cell r="L778">
            <v>1.13</v>
          </cell>
          <cell r="M778">
            <v>2.43</v>
          </cell>
          <cell r="N778">
            <v>2.3</v>
          </cell>
        </row>
        <row r="779">
          <cell r="B779" t="str">
            <v>   Brampton</v>
          </cell>
          <cell r="I779">
            <v>1.27</v>
          </cell>
          <cell r="J779">
            <v>1.11</v>
          </cell>
          <cell r="K779">
            <v>1.71</v>
          </cell>
          <cell r="L779">
            <v>2.15</v>
          </cell>
          <cell r="M779">
            <v>1.36</v>
          </cell>
          <cell r="N779">
            <v>2.01</v>
          </cell>
        </row>
        <row r="780">
          <cell r="B780" t="str">
            <v>   Markham</v>
          </cell>
          <cell r="I780">
            <v>0.71</v>
          </cell>
          <cell r="J780">
            <v>0.84</v>
          </cell>
          <cell r="K780">
            <v>1.58</v>
          </cell>
          <cell r="L780">
            <v>1.33</v>
          </cell>
          <cell r="M780">
            <v>0.9</v>
          </cell>
          <cell r="N780">
            <v>1.83</v>
          </cell>
        </row>
        <row r="781">
          <cell r="B781" t="str">
            <v>   Vaughan</v>
          </cell>
          <cell r="I781">
            <v>7.35</v>
          </cell>
          <cell r="J781">
            <v>3.63</v>
          </cell>
        </row>
        <row r="782">
          <cell r="B782" t="str">
            <v>   Guelph</v>
          </cell>
          <cell r="I782">
            <v>0.58</v>
          </cell>
          <cell r="J782">
            <v>1.16</v>
          </cell>
          <cell r="K782">
            <v>3.74</v>
          </cell>
          <cell r="L782">
            <v>0.68</v>
          </cell>
          <cell r="M782">
            <v>0.7</v>
          </cell>
          <cell r="N782">
            <v>0.98</v>
          </cell>
        </row>
        <row r="783">
          <cell r="B783" t="str">
            <v>   Barrie</v>
          </cell>
          <cell r="I783">
            <v>0.44</v>
          </cell>
          <cell r="J783">
            <v>0.93</v>
          </cell>
          <cell r="K783">
            <v>0.63</v>
          </cell>
          <cell r="L783">
            <v>0.94</v>
          </cell>
          <cell r="M783">
            <v>0.6</v>
          </cell>
          <cell r="N783">
            <v>1.77</v>
          </cell>
        </row>
        <row r="784">
          <cell r="B784" t="str">
            <v>   Newmarket</v>
          </cell>
          <cell r="I784">
            <v>0.01</v>
          </cell>
          <cell r="J784">
            <v>1.37</v>
          </cell>
          <cell r="K784">
            <v>0.01</v>
          </cell>
        </row>
        <row r="787">
          <cell r="B787" t="str">
            <v>MEA Interpretation</v>
          </cell>
        </row>
        <row r="788">
          <cell r="B788" t="str">
            <v>  -  This is oneindicator of the reliability of the distribution system and the speed of response to interruptions.    It is one of the four</v>
          </cell>
        </row>
        <row r="789">
          <cell r="B789" t="str">
            <v>     standard indicators used by the Canadian Electrical Association.</v>
          </cell>
        </row>
        <row r="790">
          <cell r="B790" t="str">
            <v>  -  This is an overall ratio influenced by:   customer density, the age and condition of the distribution system, susceptibility to lightning</v>
          </cell>
        </row>
        <row r="791">
          <cell r="B791" t="str">
            <v>     and other weather related problems, tree trimming practices etc.    It is also influenced by the speed of response crews and the</v>
          </cell>
        </row>
        <row r="792">
          <cell r="B792" t="str">
            <v>     scope of SCADA systems.   </v>
          </cell>
        </row>
        <row r="794">
          <cell r="B794" t="str">
            <v>RELIABILITY RATIOS (continued)</v>
          </cell>
          <cell r="G794">
            <v>1996</v>
          </cell>
          <cell r="H794">
            <v>1995</v>
          </cell>
          <cell r="I794">
            <v>1994</v>
          </cell>
          <cell r="J794">
            <v>1993</v>
          </cell>
          <cell r="K794">
            <v>1992</v>
          </cell>
          <cell r="L794">
            <v>1991</v>
          </cell>
          <cell r="M794">
            <v>1990</v>
          </cell>
          <cell r="N794">
            <v>1989</v>
          </cell>
          <cell r="O794">
            <v>1988</v>
          </cell>
          <cell r="P794">
            <v>1987</v>
          </cell>
          <cell r="Q794">
            <v>1986</v>
          </cell>
        </row>
        <row r="796">
          <cell r="B796" t="str">
            <v>Ratio 35 - System Avg Interruption Duration Index [SAIDI - OH] Loss of supply from OH</v>
          </cell>
        </row>
        <row r="798">
          <cell r="B798" t="str">
            <v>RHHEC Calculation</v>
          </cell>
        </row>
        <row r="799">
          <cell r="B799" t="str">
            <v>  H = Total customer hours of interruptions Ontario Hydro</v>
          </cell>
          <cell r="H799">
            <v>0</v>
          </cell>
        </row>
        <row r="800">
          <cell r="B800" t="str">
            <v>  Ca = Average # of Customers .. all classes</v>
          </cell>
          <cell r="H800">
            <v>29854</v>
          </cell>
        </row>
        <row r="801">
          <cell r="B801" t="str">
            <v>  RHHEC Statistic</v>
          </cell>
          <cell r="H801">
            <v>0</v>
          </cell>
        </row>
        <row r="804">
          <cell r="B804" t="str">
            <v>MEA Survey Results</v>
          </cell>
        </row>
        <row r="805">
          <cell r="B805" t="str">
            <v>   Average for all utilities</v>
          </cell>
        </row>
        <row r="806">
          <cell r="B806" t="str">
            <v>   Average for medium size utilities</v>
          </cell>
        </row>
        <row r="807">
          <cell r="B807" t="str">
            <v>   Brampton</v>
          </cell>
        </row>
        <row r="808">
          <cell r="B808" t="str">
            <v>   Markham</v>
          </cell>
        </row>
        <row r="809">
          <cell r="B809" t="str">
            <v>   Vaughan</v>
          </cell>
        </row>
        <row r="810">
          <cell r="B810" t="str">
            <v>   Guelph</v>
          </cell>
        </row>
        <row r="811">
          <cell r="B811" t="str">
            <v>   Barrie</v>
          </cell>
        </row>
        <row r="812">
          <cell r="B812" t="str">
            <v>   Newmarket</v>
          </cell>
        </row>
        <row r="815">
          <cell r="B815" t="str">
            <v>MEA Interpretation</v>
          </cell>
        </row>
        <row r="822">
          <cell r="B822" t="str">
            <v>RELIABILITY RATIOS (continued)</v>
          </cell>
          <cell r="G822">
            <v>1996</v>
          </cell>
          <cell r="H822">
            <v>1995</v>
          </cell>
          <cell r="I822">
            <v>1994</v>
          </cell>
          <cell r="J822">
            <v>1993</v>
          </cell>
          <cell r="K822">
            <v>1992</v>
          </cell>
          <cell r="L822">
            <v>1991</v>
          </cell>
          <cell r="M822">
            <v>1990</v>
          </cell>
          <cell r="N822">
            <v>1989</v>
          </cell>
          <cell r="O822">
            <v>1988</v>
          </cell>
          <cell r="P822">
            <v>1987</v>
          </cell>
          <cell r="Q822">
            <v>1986</v>
          </cell>
        </row>
        <row r="824">
          <cell r="B824" t="str">
            <v>Ratio 21 - Customer Avg Interruption Duration Index [CAIDI]</v>
          </cell>
        </row>
        <row r="826">
          <cell r="B826" t="str">
            <v>RHHEC Calculation</v>
          </cell>
        </row>
        <row r="827">
          <cell r="B827" t="str">
            <v>  H = Total customer hours of interruptions</v>
          </cell>
          <cell r="H827">
            <v>44159</v>
          </cell>
          <cell r="I827">
            <v>27347</v>
          </cell>
          <cell r="J827">
            <v>26976</v>
          </cell>
          <cell r="K827">
            <v>31979</v>
          </cell>
        </row>
        <row r="828">
          <cell r="B828" t="str">
            <v>  I = Total Customer Interuptions</v>
          </cell>
          <cell r="H828">
            <v>118686</v>
          </cell>
          <cell r="I828">
            <v>78009</v>
          </cell>
          <cell r="J828">
            <v>100384</v>
          </cell>
          <cell r="K828">
            <v>132074</v>
          </cell>
        </row>
        <row r="829">
          <cell r="B829" t="str">
            <v>  RHHEC Statistic</v>
          </cell>
          <cell r="H829">
            <v>0.3720657870346966</v>
          </cell>
          <cell r="I829">
            <v>0.35056211462779935</v>
          </cell>
          <cell r="J829">
            <v>0.26872808415683774</v>
          </cell>
          <cell r="K829">
            <v>0.24212941229916563</v>
          </cell>
        </row>
        <row r="832">
          <cell r="B832" t="str">
            <v>MEA Survey Results</v>
          </cell>
        </row>
        <row r="833">
          <cell r="B833" t="str">
            <v>   Average for all utilities</v>
          </cell>
          <cell r="I833">
            <v>0.97</v>
          </cell>
          <cell r="J833">
            <v>0.97</v>
          </cell>
          <cell r="K833">
            <v>1</v>
          </cell>
          <cell r="L833">
            <v>0.75</v>
          </cell>
          <cell r="M833">
            <v>0.88</v>
          </cell>
          <cell r="N833">
            <v>0.93</v>
          </cell>
        </row>
        <row r="834">
          <cell r="B834" t="str">
            <v>   Average for medium size utilities</v>
          </cell>
          <cell r="I834">
            <v>1.03</v>
          </cell>
          <cell r="J834">
            <v>1.04</v>
          </cell>
          <cell r="K834">
            <v>1.32</v>
          </cell>
          <cell r="L834">
            <v>0.75</v>
          </cell>
          <cell r="M834">
            <v>1.02</v>
          </cell>
          <cell r="N834">
            <v>1.03</v>
          </cell>
        </row>
        <row r="835">
          <cell r="B835" t="str">
            <v>   Brampton</v>
          </cell>
          <cell r="I835">
            <v>0.49</v>
          </cell>
          <cell r="J835">
            <v>0.5</v>
          </cell>
          <cell r="K835">
            <v>0.42</v>
          </cell>
          <cell r="L835">
            <v>0.61</v>
          </cell>
          <cell r="M835">
            <v>0.76</v>
          </cell>
          <cell r="N835">
            <v>0.69</v>
          </cell>
        </row>
        <row r="836">
          <cell r="B836" t="str">
            <v>   Markham</v>
          </cell>
          <cell r="I836">
            <v>0.37</v>
          </cell>
          <cell r="J836">
            <v>0.39</v>
          </cell>
          <cell r="K836">
            <v>0.48</v>
          </cell>
          <cell r="L836">
            <v>0.35</v>
          </cell>
          <cell r="M836">
            <v>0.28</v>
          </cell>
          <cell r="N836">
            <v>0.45</v>
          </cell>
        </row>
        <row r="837">
          <cell r="B837" t="str">
            <v>   Vaughan</v>
          </cell>
          <cell r="I837">
            <v>1.93</v>
          </cell>
          <cell r="J837">
            <v>1.15</v>
          </cell>
        </row>
        <row r="838">
          <cell r="B838" t="str">
            <v>   Guelph</v>
          </cell>
          <cell r="I838">
            <v>0.54</v>
          </cell>
          <cell r="J838">
            <v>0.68</v>
          </cell>
          <cell r="K838">
            <v>1.62</v>
          </cell>
          <cell r="L838">
            <v>0.5</v>
          </cell>
          <cell r="M838">
            <v>0.68</v>
          </cell>
          <cell r="N838">
            <v>0.83</v>
          </cell>
        </row>
        <row r="839">
          <cell r="B839" t="str">
            <v>   Barrie</v>
          </cell>
          <cell r="I839">
            <v>0.48</v>
          </cell>
          <cell r="J839">
            <v>1.17</v>
          </cell>
          <cell r="K839">
            <v>1.01</v>
          </cell>
          <cell r="L839">
            <v>1.4</v>
          </cell>
          <cell r="M839">
            <v>0.64</v>
          </cell>
          <cell r="N839">
            <v>1.39</v>
          </cell>
        </row>
        <row r="840">
          <cell r="B840" t="str">
            <v>   Newmarket</v>
          </cell>
          <cell r="I840">
            <v>2.1</v>
          </cell>
          <cell r="J840">
            <v>0.67</v>
          </cell>
          <cell r="K840">
            <v>1.39</v>
          </cell>
        </row>
        <row r="843">
          <cell r="B843" t="str">
            <v>MEA Interpretation</v>
          </cell>
        </row>
        <row r="844">
          <cell r="B844" t="str">
            <v>  -  This is oneindicator of the reliability of the distribution system and the speed of response to interruptions.    It is one of the four</v>
          </cell>
        </row>
        <row r="845">
          <cell r="B845" t="str">
            <v>     standard indicators used by the Canadian Electrical Association.</v>
          </cell>
        </row>
        <row r="846">
          <cell r="B846" t="str">
            <v>  -  This is an overall ratio influenced by:   customer density, the age and condition of the distribution system, susceptibility to lightning</v>
          </cell>
        </row>
        <row r="847">
          <cell r="B847" t="str">
            <v>     and other weather related problems, tree trimming practices etc.    It is also influenced by the speed of response crews and the</v>
          </cell>
        </row>
        <row r="848">
          <cell r="B848" t="str">
            <v>     scope of SCADA systems.   </v>
          </cell>
        </row>
        <row r="850">
          <cell r="B850" t="str">
            <v>RELIABILITY RATIOS (continued)</v>
          </cell>
          <cell r="G850">
            <v>1996</v>
          </cell>
          <cell r="H850">
            <v>1995</v>
          </cell>
          <cell r="I850">
            <v>1994</v>
          </cell>
          <cell r="J850">
            <v>1993</v>
          </cell>
          <cell r="K850">
            <v>1992</v>
          </cell>
          <cell r="L850">
            <v>1991</v>
          </cell>
          <cell r="M850">
            <v>1990</v>
          </cell>
          <cell r="N850">
            <v>1989</v>
          </cell>
          <cell r="O850">
            <v>1988</v>
          </cell>
          <cell r="P850">
            <v>1987</v>
          </cell>
          <cell r="Q850">
            <v>1986</v>
          </cell>
        </row>
        <row r="852">
          <cell r="B852" t="str">
            <v>Ratio 36 - Customer Avg Interruption Duration Index [CAIDI - OH] Loss of supply from OH</v>
          </cell>
        </row>
        <row r="854">
          <cell r="B854" t="str">
            <v>RHHEC Calculation</v>
          </cell>
        </row>
        <row r="855">
          <cell r="B855" t="str">
            <v>  H = Total customer hours of interruptions re loss of supply from OH</v>
          </cell>
          <cell r="H855">
            <v>0</v>
          </cell>
          <cell r="I855">
            <v>0</v>
          </cell>
          <cell r="J855">
            <v>0</v>
          </cell>
          <cell r="K855">
            <v>0</v>
          </cell>
        </row>
        <row r="856">
          <cell r="B856" t="str">
            <v>  I = Total Customer Interuptions</v>
          </cell>
          <cell r="H856">
            <v>118686</v>
          </cell>
        </row>
        <row r="857">
          <cell r="B857" t="str">
            <v>  RHHEC Statistic</v>
          </cell>
          <cell r="H857">
            <v>0</v>
          </cell>
        </row>
        <row r="860">
          <cell r="B860" t="str">
            <v>MEA Survey Results</v>
          </cell>
        </row>
        <row r="861">
          <cell r="B861" t="str">
            <v>   Average for all utilities</v>
          </cell>
        </row>
        <row r="862">
          <cell r="B862" t="str">
            <v>   Average for medium size utilities</v>
          </cell>
        </row>
        <row r="863">
          <cell r="B863" t="str">
            <v>   Brampton</v>
          </cell>
        </row>
        <row r="864">
          <cell r="B864" t="str">
            <v>   Markham</v>
          </cell>
        </row>
        <row r="865">
          <cell r="B865" t="str">
            <v>   Vaughan</v>
          </cell>
        </row>
        <row r="866">
          <cell r="B866" t="str">
            <v>   Guelph</v>
          </cell>
        </row>
        <row r="867">
          <cell r="B867" t="str">
            <v>   Barrie</v>
          </cell>
        </row>
        <row r="868">
          <cell r="B868" t="str">
            <v>   Newmarket</v>
          </cell>
        </row>
        <row r="871">
          <cell r="B871" t="str">
            <v>MEA Interpretation</v>
          </cell>
        </row>
        <row r="878">
          <cell r="B878" t="str">
            <v>RELIABILITY RATIOS (continued)</v>
          </cell>
          <cell r="G878">
            <v>1996</v>
          </cell>
          <cell r="H878">
            <v>1995</v>
          </cell>
          <cell r="I878">
            <v>1994</v>
          </cell>
          <cell r="J878">
            <v>1993</v>
          </cell>
          <cell r="K878">
            <v>1992</v>
          </cell>
          <cell r="L878">
            <v>1991</v>
          </cell>
          <cell r="M878">
            <v>1990</v>
          </cell>
          <cell r="N878">
            <v>1989</v>
          </cell>
          <cell r="O878">
            <v>1988</v>
          </cell>
          <cell r="P878">
            <v>1987</v>
          </cell>
          <cell r="Q878">
            <v>1986</v>
          </cell>
        </row>
        <row r="880">
          <cell r="B880" t="str">
            <v>Ratio 22 - System Avg Interruption Frequency Index [SAIFI]</v>
          </cell>
        </row>
        <row r="882">
          <cell r="B882" t="str">
            <v>RHHEC Calculation</v>
          </cell>
        </row>
        <row r="883">
          <cell r="B883" t="str">
            <v>  I = Total Customer Interuptions</v>
          </cell>
          <cell r="H883">
            <v>118686</v>
          </cell>
          <cell r="I883">
            <v>78009</v>
          </cell>
          <cell r="J883">
            <v>100384</v>
          </cell>
          <cell r="K883">
            <v>132074</v>
          </cell>
        </row>
        <row r="884">
          <cell r="B884" t="str">
            <v>  Ca = Average # of Customers .. all classes</v>
          </cell>
          <cell r="H884">
            <v>29854</v>
          </cell>
          <cell r="I884">
            <v>28937</v>
          </cell>
          <cell r="J884">
            <v>27703</v>
          </cell>
          <cell r="K884">
            <v>26247</v>
          </cell>
        </row>
        <row r="885">
          <cell r="B885" t="str">
            <v>  RHHEC Statistic</v>
          </cell>
          <cell r="H885">
            <v>3.975547665304482</v>
          </cell>
          <cell r="I885">
            <v>2.6958219580467913</v>
          </cell>
          <cell r="J885">
            <v>3.6235786737898423</v>
          </cell>
          <cell r="K885">
            <v>5.03196555796853</v>
          </cell>
        </row>
        <row r="888">
          <cell r="B888" t="str">
            <v>MEA Survey Results</v>
          </cell>
        </row>
        <row r="889">
          <cell r="B889" t="str">
            <v>   Average for all utilities</v>
          </cell>
          <cell r="I889">
            <v>1.58</v>
          </cell>
          <cell r="J889">
            <v>1.5</v>
          </cell>
          <cell r="K889">
            <v>1.82</v>
          </cell>
          <cell r="L889">
            <v>1.75</v>
          </cell>
          <cell r="M889">
            <v>1.83</v>
          </cell>
          <cell r="N889">
            <v>1.74</v>
          </cell>
        </row>
        <row r="890">
          <cell r="B890" t="str">
            <v>   Average for medium size utilities</v>
          </cell>
          <cell r="I890">
            <v>1.48</v>
          </cell>
          <cell r="J890">
            <v>1.56</v>
          </cell>
          <cell r="K890">
            <v>1.25</v>
          </cell>
          <cell r="L890">
            <v>1.61</v>
          </cell>
          <cell r="M890">
            <v>2.53</v>
          </cell>
          <cell r="N890">
            <v>1.85</v>
          </cell>
        </row>
        <row r="891">
          <cell r="B891" t="str">
            <v>   Brampton</v>
          </cell>
          <cell r="I891">
            <v>2.56</v>
          </cell>
          <cell r="J891">
            <v>2.22</v>
          </cell>
          <cell r="K891">
            <v>4.06</v>
          </cell>
          <cell r="L891">
            <v>3.54</v>
          </cell>
          <cell r="M891">
            <v>1.81</v>
          </cell>
          <cell r="N891">
            <v>2.88</v>
          </cell>
        </row>
        <row r="892">
          <cell r="B892" t="str">
            <v>   Markham</v>
          </cell>
          <cell r="I892">
            <v>1.93</v>
          </cell>
          <cell r="J892">
            <v>2.14</v>
          </cell>
          <cell r="K892">
            <v>3.3</v>
          </cell>
          <cell r="L892">
            <v>3.82</v>
          </cell>
          <cell r="M892">
            <v>2.82</v>
          </cell>
          <cell r="N892">
            <v>4.03</v>
          </cell>
        </row>
        <row r="893">
          <cell r="B893" t="str">
            <v>   Vaughan</v>
          </cell>
          <cell r="I893">
            <v>3.8</v>
          </cell>
          <cell r="J893">
            <v>3.15</v>
          </cell>
        </row>
        <row r="894">
          <cell r="B894" t="str">
            <v>   Guelph</v>
          </cell>
          <cell r="I894">
            <v>1.08</v>
          </cell>
          <cell r="J894">
            <v>1.72</v>
          </cell>
          <cell r="K894">
            <v>2.31</v>
          </cell>
          <cell r="L894">
            <v>1.35</v>
          </cell>
          <cell r="M894">
            <v>1.03</v>
          </cell>
          <cell r="N894">
            <v>1.17</v>
          </cell>
        </row>
        <row r="895">
          <cell r="B895" t="str">
            <v>   Barrie</v>
          </cell>
          <cell r="I895">
            <v>0.91</v>
          </cell>
          <cell r="J895">
            <v>0.8</v>
          </cell>
          <cell r="K895">
            <v>0.62</v>
          </cell>
          <cell r="L895">
            <v>0.67</v>
          </cell>
          <cell r="M895">
            <v>0.93</v>
          </cell>
          <cell r="N895">
            <v>1.27</v>
          </cell>
        </row>
        <row r="896">
          <cell r="B896" t="str">
            <v>   Newmarket</v>
          </cell>
          <cell r="I896">
            <v>0.01</v>
          </cell>
          <cell r="J896">
            <v>2.05</v>
          </cell>
          <cell r="K896">
            <v>0.01</v>
          </cell>
        </row>
        <row r="899">
          <cell r="B899" t="str">
            <v>MEA Interpretation</v>
          </cell>
        </row>
        <row r="900">
          <cell r="B900" t="str">
            <v>  -  This is oneindicator of the reliability of the distribution system and the speed of response to interruptions.    It is one of the four</v>
          </cell>
        </row>
        <row r="901">
          <cell r="B901" t="str">
            <v>     standard indicators used by the Canadian Electrical Association.</v>
          </cell>
        </row>
        <row r="902">
          <cell r="B902" t="str">
            <v>  -  This is an overall ratio influenced by:   customer density, the age and condition of the distribution system, susceptibility to lightning</v>
          </cell>
        </row>
        <row r="903">
          <cell r="B903" t="str">
            <v>     and other weather related problems, tree trimming practices etc.    </v>
          </cell>
        </row>
        <row r="905">
          <cell r="B905" t="str">
            <v>RELIABILITY RATIOS (continued)</v>
          </cell>
          <cell r="G905">
            <v>1996</v>
          </cell>
          <cell r="H905">
            <v>1995</v>
          </cell>
          <cell r="I905">
            <v>1994</v>
          </cell>
          <cell r="J905">
            <v>1993</v>
          </cell>
          <cell r="K905">
            <v>1992</v>
          </cell>
          <cell r="L905">
            <v>1991</v>
          </cell>
          <cell r="M905">
            <v>1990</v>
          </cell>
          <cell r="N905">
            <v>1989</v>
          </cell>
          <cell r="O905">
            <v>1988</v>
          </cell>
          <cell r="P905">
            <v>1987</v>
          </cell>
          <cell r="Q905">
            <v>1986</v>
          </cell>
        </row>
        <row r="907">
          <cell r="B907" t="str">
            <v>Ratio 37 - System Avg Interruption Frequency Index [SAIFI - OH] Loss of supply from OH</v>
          </cell>
        </row>
        <row r="909">
          <cell r="B909" t="str">
            <v>RHHEC Calculation</v>
          </cell>
        </row>
        <row r="910">
          <cell r="B910" t="str">
            <v>  I = Total Customer Interuptions re loss of supply from OH</v>
          </cell>
          <cell r="H910">
            <v>0</v>
          </cell>
        </row>
        <row r="911">
          <cell r="B911" t="str">
            <v>  Ca = Average # of Customers .. all classes</v>
          </cell>
          <cell r="H911">
            <v>29854</v>
          </cell>
        </row>
        <row r="912">
          <cell r="B912" t="str">
            <v>  RHHEC Statistic</v>
          </cell>
          <cell r="H912">
            <v>0</v>
          </cell>
        </row>
        <row r="915">
          <cell r="B915" t="str">
            <v>MEA Survey Results</v>
          </cell>
        </row>
        <row r="916">
          <cell r="B916" t="str">
            <v>   Average for all utilities</v>
          </cell>
        </row>
        <row r="917">
          <cell r="B917" t="str">
            <v>   Average for medium size utilities</v>
          </cell>
        </row>
        <row r="918">
          <cell r="B918" t="str">
            <v>   Brampton</v>
          </cell>
        </row>
        <row r="919">
          <cell r="B919" t="str">
            <v>   Markham</v>
          </cell>
        </row>
        <row r="920">
          <cell r="B920" t="str">
            <v>   Vaughan</v>
          </cell>
        </row>
        <row r="921">
          <cell r="B921" t="str">
            <v>   Guelph</v>
          </cell>
        </row>
        <row r="922">
          <cell r="B922" t="str">
            <v>   Barrie</v>
          </cell>
        </row>
        <row r="923">
          <cell r="B923" t="str">
            <v>   Newmarket</v>
          </cell>
        </row>
        <row r="926">
          <cell r="B926" t="str">
            <v>MEA Interpretation</v>
          </cell>
        </row>
        <row r="932">
          <cell r="B932" t="str">
            <v>RELIABILITY RATIOS (continued)</v>
          </cell>
          <cell r="G932">
            <v>1996</v>
          </cell>
          <cell r="H932">
            <v>1995</v>
          </cell>
          <cell r="I932">
            <v>1994</v>
          </cell>
          <cell r="J932">
            <v>1993</v>
          </cell>
          <cell r="K932">
            <v>1992</v>
          </cell>
          <cell r="L932">
            <v>1991</v>
          </cell>
          <cell r="M932">
            <v>1990</v>
          </cell>
          <cell r="N932">
            <v>1989</v>
          </cell>
          <cell r="O932">
            <v>1988</v>
          </cell>
          <cell r="P932">
            <v>1987</v>
          </cell>
          <cell r="Q932">
            <v>1986</v>
          </cell>
        </row>
        <row r="934">
          <cell r="B934" t="str">
            <v>Ratio 23 - Index of Reliability</v>
          </cell>
        </row>
        <row r="936">
          <cell r="B936" t="str">
            <v>RHHEC Calculation</v>
          </cell>
        </row>
        <row r="937">
          <cell r="B937" t="str">
            <v>  SAIDI</v>
          </cell>
          <cell r="H937">
            <v>1.4791652709854626</v>
          </cell>
          <cell r="I937">
            <v>0.9450530462729377</v>
          </cell>
          <cell r="J937">
            <v>0.9737573547991192</v>
          </cell>
          <cell r="K937">
            <v>1.218386863260563</v>
          </cell>
        </row>
        <row r="938">
          <cell r="B938" t="str">
            <v>  RHHEC Statistic</v>
          </cell>
          <cell r="H938">
            <v>0.9998311455170109</v>
          </cell>
          <cell r="I938">
            <v>0.9998921172321606</v>
          </cell>
          <cell r="J938">
            <v>0.999888840484612</v>
          </cell>
          <cell r="K938">
            <v>0.999860914741637</v>
          </cell>
        </row>
        <row r="941">
          <cell r="B941" t="str">
            <v>MEA Survey Results</v>
          </cell>
        </row>
        <row r="942">
          <cell r="B942" t="str">
            <v>   Average for all utilities</v>
          </cell>
          <cell r="I942">
            <v>0.99986</v>
          </cell>
          <cell r="J942">
            <v>0.999874</v>
          </cell>
          <cell r="K942">
            <v>0.999847</v>
          </cell>
          <cell r="L942">
            <v>0.999599</v>
          </cell>
          <cell r="M942">
            <v>0.999782</v>
          </cell>
          <cell r="N942">
            <v>0.999801</v>
          </cell>
        </row>
        <row r="943">
          <cell r="B943" t="str">
            <v>   Average for medium size utilities</v>
          </cell>
          <cell r="I943">
            <v>0.999863</v>
          </cell>
          <cell r="J943">
            <v>0.999871</v>
          </cell>
          <cell r="K943">
            <v>0.999867</v>
          </cell>
          <cell r="L943">
            <v>0.999185</v>
          </cell>
          <cell r="M943">
            <v>0.999711</v>
          </cell>
          <cell r="N943">
            <v>0.999709</v>
          </cell>
        </row>
        <row r="944">
          <cell r="B944" t="str">
            <v>   Brampton</v>
          </cell>
          <cell r="I944">
            <v>0.99985</v>
          </cell>
          <cell r="J944">
            <v>0.99987</v>
          </cell>
          <cell r="K944">
            <v>0.999805</v>
          </cell>
          <cell r="L944">
            <v>0.99975</v>
          </cell>
          <cell r="M944">
            <v>0.99984</v>
          </cell>
          <cell r="N944">
            <v>0.9997</v>
          </cell>
        </row>
        <row r="945">
          <cell r="B945" t="str">
            <v>   Markham</v>
          </cell>
          <cell r="I945">
            <v>0.999919</v>
          </cell>
          <cell r="J945">
            <v>0.999904</v>
          </cell>
          <cell r="K945">
            <v>0.99982</v>
          </cell>
          <cell r="L945">
            <v>0.999848</v>
          </cell>
          <cell r="M945">
            <v>0.999991</v>
          </cell>
          <cell r="N945">
            <v>0.999791</v>
          </cell>
        </row>
        <row r="946">
          <cell r="B946" t="str">
            <v>   Vaughan</v>
          </cell>
          <cell r="I946">
            <v>0.999161</v>
          </cell>
          <cell r="J946">
            <v>0.9996</v>
          </cell>
        </row>
        <row r="947">
          <cell r="B947" t="str">
            <v>   Guelph</v>
          </cell>
          <cell r="I947">
            <v>0.9993</v>
          </cell>
          <cell r="J947">
            <v>0.99987</v>
          </cell>
          <cell r="K947">
            <v>0.999573</v>
          </cell>
          <cell r="L947">
            <v>0.999922</v>
          </cell>
          <cell r="M947">
            <v>0.99992</v>
          </cell>
          <cell r="N947">
            <v>0.999888</v>
          </cell>
        </row>
        <row r="948">
          <cell r="B948" t="str">
            <v>   Barrie</v>
          </cell>
          <cell r="I948">
            <v>0.999949</v>
          </cell>
          <cell r="J948">
            <v>0.999894</v>
          </cell>
          <cell r="K948">
            <v>0.999928</v>
          </cell>
          <cell r="L948">
            <v>0.999893</v>
          </cell>
          <cell r="M948">
            <v>0.999931</v>
          </cell>
          <cell r="N948">
            <v>0.999798</v>
          </cell>
        </row>
        <row r="949">
          <cell r="B949" t="str">
            <v>   Newmarket</v>
          </cell>
          <cell r="I949">
            <v>0.999991</v>
          </cell>
          <cell r="J949">
            <v>0.999844</v>
          </cell>
          <cell r="K949">
            <v>0.999999</v>
          </cell>
        </row>
        <row r="952">
          <cell r="B952" t="str">
            <v>MEA Interpretation</v>
          </cell>
        </row>
        <row r="953">
          <cell r="B953" t="str">
            <v>  -  This is oneindicator of the reliability of the distribution system and the speed of response to interruptions.    It is one of the four</v>
          </cell>
        </row>
        <row r="954">
          <cell r="B954" t="str">
            <v>     standard indicators used by the Canadian Electrical Association.</v>
          </cell>
        </row>
        <row r="955">
          <cell r="B955" t="str">
            <v>  -  This is an overall ratio influenced by:   customer density, the age and condition of the distribution system, susceptibility to lightning</v>
          </cell>
        </row>
        <row r="956">
          <cell r="B956" t="str">
            <v>     and other weather related problems, tree trimming practices etc.    It is also influenced by the speed of response crews and the</v>
          </cell>
        </row>
        <row r="957">
          <cell r="B957" t="str">
            <v>     scope of SCADA systems.   </v>
          </cell>
        </row>
        <row r="959">
          <cell r="B959" t="str">
            <v>RELIABILITY RATIOS (continued)</v>
          </cell>
          <cell r="G959">
            <v>1996</v>
          </cell>
          <cell r="H959">
            <v>1995</v>
          </cell>
          <cell r="I959">
            <v>1994</v>
          </cell>
          <cell r="J959">
            <v>1993</v>
          </cell>
          <cell r="K959">
            <v>1992</v>
          </cell>
          <cell r="L959">
            <v>1991</v>
          </cell>
          <cell r="M959">
            <v>1990</v>
          </cell>
          <cell r="N959">
            <v>1989</v>
          </cell>
          <cell r="O959">
            <v>1988</v>
          </cell>
          <cell r="P959">
            <v>1987</v>
          </cell>
          <cell r="Q959">
            <v>1986</v>
          </cell>
        </row>
        <row r="961">
          <cell r="B961" t="str">
            <v>Ratio 38 - Index of Reliability - Loss of supply from OH</v>
          </cell>
        </row>
        <row r="963">
          <cell r="B963" t="str">
            <v>8760 - (1.48 - 0) / 8760 = .999831</v>
          </cell>
        </row>
        <row r="966">
          <cell r="B966" t="str">
            <v>RELIABILITY RATIOS (continued)</v>
          </cell>
          <cell r="G966">
            <v>1996</v>
          </cell>
          <cell r="H966">
            <v>1995</v>
          </cell>
          <cell r="I966">
            <v>1994</v>
          </cell>
          <cell r="J966">
            <v>1993</v>
          </cell>
          <cell r="K966">
            <v>1992</v>
          </cell>
          <cell r="L966">
            <v>1991</v>
          </cell>
          <cell r="M966">
            <v>1990</v>
          </cell>
          <cell r="N966">
            <v>1989</v>
          </cell>
          <cell r="O966">
            <v>1988</v>
          </cell>
          <cell r="P966">
            <v>1987</v>
          </cell>
          <cell r="Q966">
            <v>1986</v>
          </cell>
        </row>
        <row r="968">
          <cell r="B968" t="str">
            <v>Ratio 39 - System Average Automatic Reclosure Index (SAARI)</v>
          </cell>
        </row>
        <row r="970">
          <cell r="B970" t="str">
            <v>(118, 686 - 89) / 29903</v>
          </cell>
        </row>
        <row r="973">
          <cell r="B973" t="str">
            <v>RELIABILITY RATIOS (continued)</v>
          </cell>
          <cell r="G973">
            <v>1996</v>
          </cell>
          <cell r="H973">
            <v>1995</v>
          </cell>
          <cell r="I973">
            <v>1994</v>
          </cell>
          <cell r="J973">
            <v>1993</v>
          </cell>
          <cell r="K973">
            <v>1992</v>
          </cell>
          <cell r="L973">
            <v>1991</v>
          </cell>
          <cell r="M973">
            <v>1990</v>
          </cell>
          <cell r="N973">
            <v>1989</v>
          </cell>
          <cell r="O973">
            <v>1988</v>
          </cell>
          <cell r="P973">
            <v>1987</v>
          </cell>
          <cell r="Q973">
            <v>1986</v>
          </cell>
        </row>
        <row r="975">
          <cell r="B975" t="str">
            <v>Ratio 40 - System Average Automatic Reclosure Index (SAARI - OH) - Loss of supply from OH</v>
          </cell>
        </row>
        <row r="977">
          <cell r="B977" t="str">
            <v>118, 686 - 1 / 29903 = 3.97</v>
          </cell>
        </row>
        <row r="980">
          <cell r="B980" t="str">
            <v>RESOURCE MANAGEMENT RATIOS</v>
          </cell>
          <cell r="G980">
            <v>1996</v>
          </cell>
          <cell r="H980">
            <v>1995</v>
          </cell>
          <cell r="I980">
            <v>1994</v>
          </cell>
          <cell r="J980">
            <v>1993</v>
          </cell>
          <cell r="K980">
            <v>1992</v>
          </cell>
          <cell r="L980">
            <v>1991</v>
          </cell>
          <cell r="M980">
            <v>1990</v>
          </cell>
          <cell r="N980">
            <v>1989</v>
          </cell>
          <cell r="O980">
            <v>1988</v>
          </cell>
          <cell r="P980">
            <v>1987</v>
          </cell>
          <cell r="Q980">
            <v>1986</v>
          </cell>
        </row>
        <row r="982">
          <cell r="B982" t="str">
            <v>Ratio 25 - Short Term Absences per Employee</v>
          </cell>
        </row>
        <row r="984">
          <cell r="B984" t="str">
            <v>RHHEC Calculation</v>
          </cell>
        </row>
        <row r="985">
          <cell r="B985" t="str">
            <v>  O = # of occurances off due to s/t absenteeism</v>
          </cell>
          <cell r="H985">
            <v>226</v>
          </cell>
          <cell r="I985">
            <v>218</v>
          </cell>
          <cell r="J985">
            <v>243</v>
          </cell>
          <cell r="K985">
            <v>256.02</v>
          </cell>
          <cell r="L985">
            <v>317.118</v>
          </cell>
          <cell r="M985">
            <v>274.80100000000004</v>
          </cell>
          <cell r="N985">
            <v>273.68</v>
          </cell>
          <cell r="O985">
            <v>211.005</v>
          </cell>
        </row>
        <row r="986">
          <cell r="B986" t="str">
            <v>  E = Average # of Employees</v>
          </cell>
          <cell r="H986">
            <v>98</v>
          </cell>
          <cell r="I986">
            <v>99</v>
          </cell>
          <cell r="J986">
            <v>101</v>
          </cell>
          <cell r="K986">
            <v>102</v>
          </cell>
          <cell r="L986">
            <v>102</v>
          </cell>
          <cell r="M986">
            <v>97</v>
          </cell>
          <cell r="N986">
            <v>88</v>
          </cell>
          <cell r="O986">
            <v>81</v>
          </cell>
          <cell r="P986">
            <v>69</v>
          </cell>
          <cell r="Q986">
            <v>0</v>
          </cell>
        </row>
        <row r="987">
          <cell r="B987" t="str">
            <v>  RHHEC Statistic</v>
          </cell>
          <cell r="H987">
            <v>2.306122448979592</v>
          </cell>
          <cell r="I987">
            <v>2.202020202020202</v>
          </cell>
          <cell r="J987">
            <v>2.405940594059406</v>
          </cell>
          <cell r="K987">
            <v>2.51</v>
          </cell>
          <cell r="L987">
            <v>3.109</v>
          </cell>
          <cell r="M987">
            <v>2.833</v>
          </cell>
          <cell r="N987">
            <v>3.11</v>
          </cell>
          <cell r="O987">
            <v>2.605</v>
          </cell>
        </row>
        <row r="990">
          <cell r="B990" t="str">
            <v>MEA Survey Results</v>
          </cell>
        </row>
        <row r="991">
          <cell r="B991" t="str">
            <v>   Average for all utilities</v>
          </cell>
          <cell r="I991">
            <v>2.69</v>
          </cell>
          <cell r="J991">
            <v>2.64</v>
          </cell>
          <cell r="K991">
            <v>2.82</v>
          </cell>
          <cell r="L991">
            <v>3.04</v>
          </cell>
          <cell r="M991">
            <v>3.22</v>
          </cell>
          <cell r="N991">
            <v>3.21</v>
          </cell>
        </row>
        <row r="992">
          <cell r="B992" t="str">
            <v>   Average for medium size utilities</v>
          </cell>
          <cell r="I992">
            <v>3.14</v>
          </cell>
          <cell r="J992">
            <v>3.1</v>
          </cell>
          <cell r="K992">
            <v>3.05</v>
          </cell>
          <cell r="L992">
            <v>3.28</v>
          </cell>
          <cell r="M992">
            <v>2.9</v>
          </cell>
          <cell r="N992">
            <v>2.9</v>
          </cell>
        </row>
        <row r="993">
          <cell r="B993" t="str">
            <v>   Brampton</v>
          </cell>
          <cell r="I993">
            <v>1.25</v>
          </cell>
          <cell r="J993">
            <v>1.54</v>
          </cell>
          <cell r="K993">
            <v>1.63</v>
          </cell>
          <cell r="L993">
            <v>1.8</v>
          </cell>
          <cell r="M993">
            <v>1.8</v>
          </cell>
          <cell r="N993">
            <v>2</v>
          </cell>
        </row>
        <row r="994">
          <cell r="B994" t="str">
            <v>   Markham</v>
          </cell>
          <cell r="I994">
            <v>1.75</v>
          </cell>
          <cell r="J994">
            <v>1.58</v>
          </cell>
          <cell r="K994">
            <v>1.55</v>
          </cell>
          <cell r="L994">
            <v>1.72</v>
          </cell>
          <cell r="M994">
            <v>2.13</v>
          </cell>
          <cell r="N994">
            <v>2.38</v>
          </cell>
        </row>
        <row r="995">
          <cell r="B995" t="str">
            <v>   Vaughan</v>
          </cell>
          <cell r="I995">
            <v>4.55</v>
          </cell>
          <cell r="J995">
            <v>4.78</v>
          </cell>
        </row>
        <row r="996">
          <cell r="B996" t="str">
            <v>   Guelph</v>
          </cell>
          <cell r="I996">
            <v>2.07</v>
          </cell>
          <cell r="J996">
            <v>2.1</v>
          </cell>
          <cell r="K996">
            <v>2.14</v>
          </cell>
          <cell r="L996">
            <v>3.33</v>
          </cell>
          <cell r="M996">
            <v>2.65</v>
          </cell>
          <cell r="N996">
            <v>2.58</v>
          </cell>
        </row>
        <row r="997">
          <cell r="B997" t="str">
            <v>   Barrie</v>
          </cell>
          <cell r="I997">
            <v>2.95</v>
          </cell>
          <cell r="J997">
            <v>3.85</v>
          </cell>
          <cell r="K997">
            <v>4.23</v>
          </cell>
          <cell r="L997">
            <v>4.05</v>
          </cell>
          <cell r="M997">
            <v>3.78</v>
          </cell>
          <cell r="N997">
            <v>2.28</v>
          </cell>
        </row>
        <row r="998">
          <cell r="B998" t="str">
            <v>   Newmarket</v>
          </cell>
          <cell r="I998">
            <v>2.88</v>
          </cell>
          <cell r="J998">
            <v>2.97</v>
          </cell>
          <cell r="K998">
            <v>1.5</v>
          </cell>
        </row>
        <row r="1001">
          <cell r="B1001" t="str">
            <v>MEA Interpretation</v>
          </cell>
        </row>
        <row r="1002">
          <cell r="B1002" t="str">
            <v>  -  Absenteeism measured in the average incidents or number of times taken off is an indicator of employee </v>
          </cell>
        </row>
        <row r="1003">
          <cell r="B1003" t="str">
            <v>     satisfaction levels.</v>
          </cell>
        </row>
        <row r="1005">
          <cell r="B1005" t="str">
            <v>RESOURCE MANAGEMENT RATIOS (continued)</v>
          </cell>
          <cell r="G1005">
            <v>1996</v>
          </cell>
          <cell r="H1005">
            <v>1995</v>
          </cell>
          <cell r="I1005">
            <v>1994</v>
          </cell>
          <cell r="J1005">
            <v>1993</v>
          </cell>
          <cell r="K1005">
            <v>1992</v>
          </cell>
          <cell r="L1005">
            <v>1991</v>
          </cell>
          <cell r="M1005">
            <v>1990</v>
          </cell>
          <cell r="N1005">
            <v>1989</v>
          </cell>
          <cell r="O1005">
            <v>1988</v>
          </cell>
          <cell r="P1005">
            <v>1987</v>
          </cell>
          <cell r="Q1005">
            <v>1986</v>
          </cell>
        </row>
        <row r="1007">
          <cell r="B1007" t="str">
            <v>Ratio 26 - Short Term Absenteeism - Days per Employee</v>
          </cell>
        </row>
        <row r="1009">
          <cell r="B1009" t="str">
            <v>RHHEC Calculation</v>
          </cell>
        </row>
        <row r="1010">
          <cell r="B1010" t="str">
            <v>  W = # of Work days lost</v>
          </cell>
          <cell r="H1010">
            <v>343</v>
          </cell>
          <cell r="I1010">
            <v>323</v>
          </cell>
          <cell r="J1010">
            <v>343</v>
          </cell>
          <cell r="K1010">
            <v>332.52</v>
          </cell>
          <cell r="L1010">
            <v>548.3520000000001</v>
          </cell>
          <cell r="M1010">
            <v>584.4250000000001</v>
          </cell>
          <cell r="N1010">
            <v>551.672</v>
          </cell>
          <cell r="O1010">
            <v>437.481</v>
          </cell>
        </row>
        <row r="1011">
          <cell r="B1011" t="str">
            <v>  E = Average # of Employees</v>
          </cell>
          <cell r="H1011">
            <v>98</v>
          </cell>
          <cell r="I1011">
            <v>99</v>
          </cell>
          <cell r="J1011">
            <v>101</v>
          </cell>
          <cell r="K1011">
            <v>102</v>
          </cell>
          <cell r="L1011">
            <v>102</v>
          </cell>
          <cell r="M1011">
            <v>97</v>
          </cell>
          <cell r="N1011">
            <v>88</v>
          </cell>
          <cell r="O1011">
            <v>81</v>
          </cell>
          <cell r="P1011">
            <v>69</v>
          </cell>
          <cell r="Q1011">
            <v>0</v>
          </cell>
        </row>
        <row r="1012">
          <cell r="B1012" t="str">
            <v>  RHHEC Statistic</v>
          </cell>
          <cell r="H1012">
            <v>3.5</v>
          </cell>
          <cell r="I1012">
            <v>3.2626262626262625</v>
          </cell>
          <cell r="J1012">
            <v>3.396039603960396</v>
          </cell>
          <cell r="K1012">
            <v>3.26</v>
          </cell>
          <cell r="L1012">
            <v>5.376</v>
          </cell>
          <cell r="M1012">
            <v>6.025</v>
          </cell>
          <cell r="N1012">
            <v>6.269</v>
          </cell>
          <cell r="O1012">
            <v>5.401</v>
          </cell>
        </row>
        <row r="1015">
          <cell r="B1015" t="str">
            <v>MEA Survey Results</v>
          </cell>
        </row>
        <row r="1016">
          <cell r="B1016" t="str">
            <v>   Average for all utilities</v>
          </cell>
          <cell r="I1016">
            <v>3.65</v>
          </cell>
          <cell r="J1016">
            <v>3.59</v>
          </cell>
          <cell r="K1016">
            <v>4.03</v>
          </cell>
          <cell r="L1016">
            <v>4.33</v>
          </cell>
          <cell r="M1016">
            <v>4.83</v>
          </cell>
          <cell r="N1016">
            <v>4.71</v>
          </cell>
        </row>
        <row r="1017">
          <cell r="B1017" t="str">
            <v>   Average for medium size utilities</v>
          </cell>
          <cell r="I1017">
            <v>4.15</v>
          </cell>
          <cell r="J1017">
            <v>4.11</v>
          </cell>
          <cell r="K1017">
            <v>4.54</v>
          </cell>
          <cell r="L1017">
            <v>4.75</v>
          </cell>
          <cell r="M1017">
            <v>4.62</v>
          </cell>
          <cell r="N1017">
            <v>4.58</v>
          </cell>
        </row>
        <row r="1018">
          <cell r="B1018" t="str">
            <v>   Brampton</v>
          </cell>
          <cell r="I1018">
            <v>2.4</v>
          </cell>
          <cell r="J1018">
            <v>2.9</v>
          </cell>
          <cell r="K1018">
            <v>2.58</v>
          </cell>
          <cell r="L1018">
            <v>3.25</v>
          </cell>
          <cell r="M1018">
            <v>2.82</v>
          </cell>
          <cell r="N1018">
            <v>3.28</v>
          </cell>
        </row>
        <row r="1019">
          <cell r="B1019" t="str">
            <v>   Markham</v>
          </cell>
          <cell r="I1019">
            <v>2.93</v>
          </cell>
          <cell r="J1019">
            <v>2.55</v>
          </cell>
          <cell r="K1019">
            <v>2.41</v>
          </cell>
          <cell r="L1019">
            <v>2.79</v>
          </cell>
          <cell r="M1019">
            <v>3.06</v>
          </cell>
          <cell r="N1019">
            <v>3.2</v>
          </cell>
        </row>
        <row r="1020">
          <cell r="B1020" t="str">
            <v>   Vaughan</v>
          </cell>
          <cell r="I1020">
            <v>5.88</v>
          </cell>
          <cell r="J1020">
            <v>5.72</v>
          </cell>
        </row>
        <row r="1021">
          <cell r="B1021" t="str">
            <v>   Guelph</v>
          </cell>
          <cell r="I1021">
            <v>3.33</v>
          </cell>
          <cell r="J1021">
            <v>3.32</v>
          </cell>
          <cell r="K1021">
            <v>3.32</v>
          </cell>
          <cell r="L1021">
            <v>8.08</v>
          </cell>
          <cell r="M1021">
            <v>6.53</v>
          </cell>
          <cell r="N1021">
            <v>4.96</v>
          </cell>
        </row>
        <row r="1022">
          <cell r="B1022" t="str">
            <v>   Barrie</v>
          </cell>
          <cell r="I1022">
            <v>3.9</v>
          </cell>
          <cell r="J1022">
            <v>4.41</v>
          </cell>
          <cell r="K1022">
            <v>5.11</v>
          </cell>
          <cell r="L1022">
            <v>4.26</v>
          </cell>
          <cell r="M1022">
            <v>3.7</v>
          </cell>
          <cell r="N1022">
            <v>2.62</v>
          </cell>
        </row>
        <row r="1023">
          <cell r="B1023" t="str">
            <v>   Newmarket</v>
          </cell>
          <cell r="I1023">
            <v>5.73</v>
          </cell>
          <cell r="J1023">
            <v>6</v>
          </cell>
          <cell r="K1023">
            <v>2.58</v>
          </cell>
        </row>
        <row r="1026">
          <cell r="B1026" t="str">
            <v>MEA Interpretation</v>
          </cell>
        </row>
        <row r="1027">
          <cell r="B1027" t="str">
            <v>  -  Absenteeism is a reasonable indication of employee satisfaction and may help indicate a utility's efforts to create a highly productive,</v>
          </cell>
        </row>
        <row r="1028">
          <cell r="B1028" t="str">
            <v>     satisfying work environment.</v>
          </cell>
        </row>
        <row r="1030">
          <cell r="B1030" t="str">
            <v>RESOURCE MANAGEMENT RATIOS (continued)</v>
          </cell>
          <cell r="G1030">
            <v>1996</v>
          </cell>
          <cell r="H1030">
            <v>1995</v>
          </cell>
          <cell r="I1030">
            <v>1994</v>
          </cell>
          <cell r="J1030">
            <v>1993</v>
          </cell>
          <cell r="K1030">
            <v>1992</v>
          </cell>
          <cell r="L1030">
            <v>1991</v>
          </cell>
          <cell r="M1030">
            <v>1990</v>
          </cell>
          <cell r="N1030">
            <v>1989</v>
          </cell>
          <cell r="O1030">
            <v>1988</v>
          </cell>
          <cell r="P1030">
            <v>1987</v>
          </cell>
          <cell r="Q1030">
            <v>1986</v>
          </cell>
        </row>
        <row r="1032">
          <cell r="B1032" t="str">
            <v>Ratio 27 - Overtime Hours as a % of Regular Hours Worked</v>
          </cell>
        </row>
        <row r="1034">
          <cell r="B1034" t="str">
            <v>RHHEC Calculation</v>
          </cell>
        </row>
        <row r="1035">
          <cell r="B1035" t="str">
            <v>  O = Overtime hours worked</v>
          </cell>
          <cell r="H1035">
            <v>3969</v>
          </cell>
          <cell r="I1035">
            <v>3734</v>
          </cell>
          <cell r="J1035">
            <v>4026</v>
          </cell>
        </row>
        <row r="1036">
          <cell r="B1036" t="str">
            <v>  P = Total paid regular hours worked [inc. vacation]</v>
          </cell>
          <cell r="H1036">
            <v>163838</v>
          </cell>
          <cell r="I1036">
            <v>193301</v>
          </cell>
          <cell r="J1036">
            <v>198929</v>
          </cell>
        </row>
        <row r="1037">
          <cell r="B1037" t="str">
            <v>  RHHEC Statistic</v>
          </cell>
          <cell r="H1037">
            <v>2.422514923277872</v>
          </cell>
          <cell r="I1037">
            <v>1.9317023709137564</v>
          </cell>
          <cell r="J1037">
            <v>2.023837650619065</v>
          </cell>
          <cell r="K1037">
            <v>2.85</v>
          </cell>
          <cell r="L1037">
            <v>2.7</v>
          </cell>
          <cell r="M1037">
            <v>3.5</v>
          </cell>
          <cell r="N1037">
            <v>4.1</v>
          </cell>
          <cell r="O1037">
            <v>3.34</v>
          </cell>
          <cell r="P1037">
            <v>4.2</v>
          </cell>
        </row>
        <row r="1040">
          <cell r="B1040" t="str">
            <v>MEA Survey Results</v>
          </cell>
        </row>
        <row r="1041">
          <cell r="B1041" t="str">
            <v>   Average for all utilities</v>
          </cell>
          <cell r="I1041">
            <v>2.58</v>
          </cell>
          <cell r="J1041">
            <v>2.34</v>
          </cell>
          <cell r="K1041">
            <v>2.85</v>
          </cell>
          <cell r="L1041">
            <v>3.06</v>
          </cell>
          <cell r="M1041">
            <v>3.26</v>
          </cell>
          <cell r="N1041">
            <v>3.51</v>
          </cell>
        </row>
        <row r="1042">
          <cell r="B1042" t="str">
            <v>   Average for medium size utilities</v>
          </cell>
          <cell r="I1042">
            <v>2.6</v>
          </cell>
          <cell r="J1042">
            <v>2.4</v>
          </cell>
          <cell r="K1042">
            <v>2.66</v>
          </cell>
          <cell r="L1042">
            <v>2.75</v>
          </cell>
          <cell r="M1042">
            <v>3.11</v>
          </cell>
          <cell r="N1042">
            <v>2.86</v>
          </cell>
        </row>
        <row r="1043">
          <cell r="B1043" t="str">
            <v>   Brampton</v>
          </cell>
          <cell r="I1043">
            <v>1.34</v>
          </cell>
          <cell r="J1043">
            <v>1.39</v>
          </cell>
          <cell r="K1043">
            <v>1.91</v>
          </cell>
          <cell r="L1043">
            <v>3.21</v>
          </cell>
          <cell r="M1043">
            <v>4.5</v>
          </cell>
          <cell r="N1043">
            <v>6.2</v>
          </cell>
        </row>
        <row r="1044">
          <cell r="B1044" t="str">
            <v>   Markham</v>
          </cell>
          <cell r="I1044">
            <v>1.91</v>
          </cell>
          <cell r="J1044">
            <v>1.87</v>
          </cell>
          <cell r="K1044">
            <v>2.71</v>
          </cell>
          <cell r="L1044">
            <v>2.84</v>
          </cell>
          <cell r="M1044">
            <v>4</v>
          </cell>
          <cell r="N1044">
            <v>5.04</v>
          </cell>
        </row>
        <row r="1045">
          <cell r="B1045" t="str">
            <v>   Vaughan</v>
          </cell>
          <cell r="I1045">
            <v>3.6</v>
          </cell>
          <cell r="J1045">
            <v>2.8</v>
          </cell>
          <cell r="K1045">
            <v>3.92</v>
          </cell>
        </row>
        <row r="1046">
          <cell r="B1046" t="str">
            <v>   Guelph</v>
          </cell>
          <cell r="I1046">
            <v>2</v>
          </cell>
          <cell r="J1046">
            <v>2.11</v>
          </cell>
          <cell r="K1046">
            <v>1.95</v>
          </cell>
          <cell r="L1046">
            <v>2.37</v>
          </cell>
          <cell r="M1046">
            <v>1.98</v>
          </cell>
          <cell r="N1046">
            <v>3.1</v>
          </cell>
        </row>
        <row r="1047">
          <cell r="B1047" t="str">
            <v>   Barrie</v>
          </cell>
          <cell r="I1047">
            <v>2.92</v>
          </cell>
          <cell r="J1047">
            <v>1.1</v>
          </cell>
          <cell r="K1047">
            <v>1.09</v>
          </cell>
          <cell r="L1047">
            <v>2.4</v>
          </cell>
          <cell r="M1047">
            <v>2.84</v>
          </cell>
          <cell r="N1047">
            <v>3.49</v>
          </cell>
        </row>
        <row r="1048">
          <cell r="B1048" t="str">
            <v>   Newmarket</v>
          </cell>
          <cell r="I1048">
            <v>5.56</v>
          </cell>
          <cell r="J1048">
            <v>5.67</v>
          </cell>
          <cell r="K1048">
            <v>1.35</v>
          </cell>
        </row>
        <row r="1051">
          <cell r="B1051" t="str">
            <v>MEA Interpretation</v>
          </cell>
        </row>
        <row r="1052">
          <cell r="B1052" t="str">
            <v>  -  This measure provides an indication of how utilities manage their workload.</v>
          </cell>
        </row>
        <row r="1054">
          <cell r="B1054" t="str">
            <v>RESOURCE MANAGEMENT RATIOS (continued)</v>
          </cell>
          <cell r="G1054">
            <v>1996</v>
          </cell>
          <cell r="H1054">
            <v>1995</v>
          </cell>
          <cell r="I1054">
            <v>1994</v>
          </cell>
          <cell r="J1054">
            <v>1993</v>
          </cell>
          <cell r="K1054">
            <v>1992</v>
          </cell>
          <cell r="L1054">
            <v>1991</v>
          </cell>
          <cell r="M1054">
            <v>1990</v>
          </cell>
          <cell r="N1054">
            <v>1989</v>
          </cell>
          <cell r="O1054">
            <v>1988</v>
          </cell>
          <cell r="P1054">
            <v>1987</v>
          </cell>
          <cell r="Q1054">
            <v>1986</v>
          </cell>
        </row>
        <row r="1056">
          <cell r="B1056" t="str">
            <v>Ratio 28 - Accidents - Frequency / 200,000 Hours</v>
          </cell>
        </row>
        <row r="1058">
          <cell r="B1058" t="str">
            <v>RHHEC Calculation</v>
          </cell>
        </row>
        <row r="1059">
          <cell r="B1059" t="str">
            <v>  C = # of compensable injuries</v>
          </cell>
          <cell r="H1059">
            <v>2</v>
          </cell>
          <cell r="I1059">
            <v>1</v>
          </cell>
          <cell r="J1059">
            <v>1</v>
          </cell>
        </row>
        <row r="1060">
          <cell r="B1060" t="str">
            <v>  H = Total number of hours worked [inc. vacation]</v>
          </cell>
          <cell r="H1060">
            <v>167807</v>
          </cell>
          <cell r="I1060">
            <v>197035</v>
          </cell>
          <cell r="J1060">
            <v>202955</v>
          </cell>
        </row>
        <row r="1061">
          <cell r="B1061" t="str">
            <v>  RHHEC Statistic</v>
          </cell>
          <cell r="H1061">
            <v>2.3836907876310285</v>
          </cell>
          <cell r="I1061">
            <v>1.0150480879031645</v>
          </cell>
          <cell r="J1061">
            <v>0.9854401221945751</v>
          </cell>
          <cell r="K1061">
            <v>1.05</v>
          </cell>
          <cell r="L1061">
            <v>0.001</v>
          </cell>
          <cell r="M1061">
            <v>0.0004</v>
          </cell>
          <cell r="N1061">
            <v>0.0015</v>
          </cell>
          <cell r="O1061">
            <v>0.0009000000000000001</v>
          </cell>
          <cell r="P1061">
            <v>0.0034000000000000002</v>
          </cell>
        </row>
        <row r="1064">
          <cell r="B1064" t="str">
            <v>MEA Survey Results</v>
          </cell>
        </row>
        <row r="1065">
          <cell r="B1065" t="str">
            <v>   Average for all utilities</v>
          </cell>
          <cell r="I1065">
            <v>2.97</v>
          </cell>
          <cell r="J1065">
            <v>3.21</v>
          </cell>
          <cell r="K1065">
            <v>3.8</v>
          </cell>
          <cell r="L1065">
            <v>3.09</v>
          </cell>
          <cell r="M1065">
            <v>4.19</v>
          </cell>
          <cell r="N1065">
            <v>4.24</v>
          </cell>
        </row>
        <row r="1066">
          <cell r="B1066" t="str">
            <v>   Average for medium size utilities</v>
          </cell>
          <cell r="I1066">
            <v>3.37</v>
          </cell>
          <cell r="J1066">
            <v>4.13</v>
          </cell>
          <cell r="K1066">
            <v>5.23</v>
          </cell>
          <cell r="L1066">
            <v>3.43</v>
          </cell>
          <cell r="M1066">
            <v>4.85</v>
          </cell>
          <cell r="N1066">
            <v>4.22</v>
          </cell>
        </row>
        <row r="1067">
          <cell r="B1067" t="str">
            <v>   Brampton</v>
          </cell>
          <cell r="I1067">
            <v>1.03</v>
          </cell>
          <cell r="J1067">
            <v>0</v>
          </cell>
          <cell r="K1067">
            <v>1.36</v>
          </cell>
          <cell r="L1067">
            <v>2.85</v>
          </cell>
          <cell r="M1067">
            <v>2.5</v>
          </cell>
          <cell r="N1067">
            <v>1.37</v>
          </cell>
        </row>
        <row r="1068">
          <cell r="B1068" t="str">
            <v>   Markham</v>
          </cell>
          <cell r="I1068">
            <v>6.79</v>
          </cell>
          <cell r="J1068">
            <v>3.29</v>
          </cell>
          <cell r="K1068">
            <v>4.6</v>
          </cell>
          <cell r="L1068">
            <v>1.49</v>
          </cell>
          <cell r="M1068">
            <v>0.73</v>
          </cell>
          <cell r="N1068">
            <v>0.75</v>
          </cell>
        </row>
        <row r="1069">
          <cell r="B1069" t="str">
            <v>   Vaughan</v>
          </cell>
          <cell r="I1069">
            <v>3.3</v>
          </cell>
          <cell r="J1069">
            <v>4.38</v>
          </cell>
          <cell r="K1069">
            <v>5.64</v>
          </cell>
        </row>
        <row r="1070">
          <cell r="B1070" t="str">
            <v>   Guelph</v>
          </cell>
          <cell r="I1070">
            <v>3.56</v>
          </cell>
          <cell r="J1070">
            <v>5.56</v>
          </cell>
          <cell r="K1070">
            <v>2.14</v>
          </cell>
          <cell r="L1070">
            <v>5.67</v>
          </cell>
          <cell r="M1070">
            <v>6.68</v>
          </cell>
          <cell r="N1070">
            <v>5.4</v>
          </cell>
        </row>
        <row r="1071">
          <cell r="B1071" t="str">
            <v>   Barrie</v>
          </cell>
          <cell r="I1071">
            <v>14.65</v>
          </cell>
          <cell r="J1071">
            <v>3.21</v>
          </cell>
          <cell r="K1071">
            <v>10.23</v>
          </cell>
          <cell r="L1071">
            <v>5.17</v>
          </cell>
          <cell r="M1071">
            <v>2.84</v>
          </cell>
          <cell r="N1071">
            <v>3.49</v>
          </cell>
        </row>
        <row r="1072">
          <cell r="B1072" t="str">
            <v>   Newmarket</v>
          </cell>
          <cell r="I1072">
            <v>0</v>
          </cell>
          <cell r="J1072">
            <v>2.52</v>
          </cell>
          <cell r="K1072">
            <v>6.37</v>
          </cell>
          <cell r="L1072">
            <v>2.75</v>
          </cell>
          <cell r="M1072">
            <v>0</v>
          </cell>
          <cell r="N1072">
            <v>2.91</v>
          </cell>
        </row>
        <row r="1075">
          <cell r="B1075" t="str">
            <v>MEA Interpretation</v>
          </cell>
        </row>
        <row r="1076">
          <cell r="B1076" t="str">
            <v>  -  This ratio demonstrates the trend in the accident frequency of on-the-job accidents.</v>
          </cell>
        </row>
        <row r="1078">
          <cell r="B1078" t="str">
            <v>RESOURCE MANAGEMENT RATIOS (continued)</v>
          </cell>
          <cell r="G1078">
            <v>1996</v>
          </cell>
          <cell r="H1078">
            <v>1995</v>
          </cell>
          <cell r="I1078">
            <v>1994</v>
          </cell>
          <cell r="J1078">
            <v>1993</v>
          </cell>
          <cell r="K1078">
            <v>1992</v>
          </cell>
          <cell r="L1078">
            <v>1991</v>
          </cell>
          <cell r="M1078">
            <v>1990</v>
          </cell>
          <cell r="N1078">
            <v>1989</v>
          </cell>
          <cell r="O1078">
            <v>1988</v>
          </cell>
          <cell r="P1078">
            <v>1987</v>
          </cell>
          <cell r="Q1078">
            <v>1986</v>
          </cell>
        </row>
        <row r="1080">
          <cell r="B1080" t="str">
            <v>Ratio 29 - Accidents - Serverity Rate / 200,000 Hours</v>
          </cell>
        </row>
        <row r="1082">
          <cell r="B1082" t="str">
            <v>RHHEC Calculation</v>
          </cell>
        </row>
        <row r="1083">
          <cell r="B1083" t="str">
            <v>  C = # of calendar days lost + scheduled work days charged</v>
          </cell>
          <cell r="H1083">
            <v>6.5</v>
          </cell>
          <cell r="I1083">
            <v>60</v>
          </cell>
          <cell r="J1083">
            <v>1</v>
          </cell>
        </row>
        <row r="1084">
          <cell r="B1084" t="str">
            <v>  H = Total number of hours worked [inc. vacation]</v>
          </cell>
          <cell r="H1084">
            <v>167807</v>
          </cell>
          <cell r="I1084">
            <v>197035</v>
          </cell>
          <cell r="J1084">
            <v>202955</v>
          </cell>
        </row>
        <row r="1085">
          <cell r="B1085" t="str">
            <v>  RHHEC Statistic</v>
          </cell>
          <cell r="H1085">
            <v>7.746995059800843</v>
          </cell>
          <cell r="I1085">
            <v>60.90288527418986</v>
          </cell>
          <cell r="J1085">
            <v>0.9854401221945751</v>
          </cell>
          <cell r="K1085">
            <v>1.05</v>
          </cell>
        </row>
        <row r="1088">
          <cell r="B1088" t="str">
            <v>MEA Survey Results</v>
          </cell>
        </row>
        <row r="1089">
          <cell r="B1089" t="str">
            <v>   Average for all utilities</v>
          </cell>
          <cell r="I1089">
            <v>32.73</v>
          </cell>
          <cell r="J1089">
            <v>66.27</v>
          </cell>
          <cell r="K1089">
            <v>66.86</v>
          </cell>
          <cell r="L1089">
            <v>59.11</v>
          </cell>
          <cell r="M1089">
            <v>89.48</v>
          </cell>
          <cell r="N1089">
            <v>106.55</v>
          </cell>
        </row>
        <row r="1090">
          <cell r="B1090" t="str">
            <v>   Average for medium size utilities</v>
          </cell>
          <cell r="I1090">
            <v>37.42</v>
          </cell>
          <cell r="J1090">
            <v>83.75</v>
          </cell>
          <cell r="K1090">
            <v>87.41</v>
          </cell>
          <cell r="L1090">
            <v>80.86</v>
          </cell>
          <cell r="M1090">
            <v>117.8</v>
          </cell>
          <cell r="N1090">
            <v>162.13</v>
          </cell>
        </row>
        <row r="1091">
          <cell r="B1091" t="str">
            <v>   Brampton</v>
          </cell>
          <cell r="I1091">
            <v>5.7</v>
          </cell>
          <cell r="J1091">
            <v>0</v>
          </cell>
          <cell r="K1091">
            <v>29.6</v>
          </cell>
          <cell r="L1091">
            <v>31.3</v>
          </cell>
          <cell r="M1091">
            <v>132</v>
          </cell>
          <cell r="N1091">
            <v>35.77</v>
          </cell>
        </row>
        <row r="1092">
          <cell r="B1092" t="str">
            <v>   Markham</v>
          </cell>
          <cell r="I1092">
            <v>39.05</v>
          </cell>
          <cell r="J1092">
            <v>22.18</v>
          </cell>
          <cell r="K1092">
            <v>95.11</v>
          </cell>
          <cell r="L1092">
            <v>5.2</v>
          </cell>
          <cell r="M1092">
            <v>4.39</v>
          </cell>
          <cell r="N1092">
            <v>6</v>
          </cell>
        </row>
        <row r="1093">
          <cell r="B1093" t="str">
            <v>   Vaughan</v>
          </cell>
          <cell r="I1093">
            <v>0</v>
          </cell>
          <cell r="J1093">
            <v>54.13</v>
          </cell>
          <cell r="K1093">
            <v>59.95</v>
          </cell>
        </row>
        <row r="1094">
          <cell r="B1094" t="str">
            <v>   Guelph</v>
          </cell>
          <cell r="I1094">
            <v>14.23</v>
          </cell>
          <cell r="J1094">
            <v>75.07</v>
          </cell>
          <cell r="K1094">
            <v>5.97</v>
          </cell>
          <cell r="L1094">
            <v>55.76</v>
          </cell>
          <cell r="M1094">
            <v>160.22</v>
          </cell>
          <cell r="N1094">
            <v>33.47</v>
          </cell>
        </row>
        <row r="1095">
          <cell r="B1095" t="str">
            <v>   Barrie</v>
          </cell>
          <cell r="I1095">
            <v>56.97</v>
          </cell>
          <cell r="J1095">
            <v>68.92</v>
          </cell>
          <cell r="K1095">
            <v>78.01</v>
          </cell>
          <cell r="L1095">
            <v>53.59</v>
          </cell>
          <cell r="M1095">
            <v>5.17</v>
          </cell>
          <cell r="N1095">
            <v>0.95</v>
          </cell>
        </row>
        <row r="1096">
          <cell r="B1096" t="str">
            <v>   Newmarket</v>
          </cell>
          <cell r="I1096">
            <v>0</v>
          </cell>
          <cell r="J1096">
            <v>62.97</v>
          </cell>
          <cell r="K1096">
            <v>5.67</v>
          </cell>
        </row>
        <row r="1099">
          <cell r="B1099" t="str">
            <v>MEA Interpretation</v>
          </cell>
        </row>
        <row r="1100">
          <cell r="B1100" t="str">
            <v>  -  This ratio demonstrates the trend in severity of on the job accidents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UGexplain"/>
      <sheetName val="ALL"/>
      <sheetName val="BU995"/>
      <sheetName val="995"/>
      <sheetName val="dep"/>
      <sheetName val="1935"/>
      <sheetName val="1930"/>
      <sheetName val="1940"/>
      <sheetName val="1980"/>
      <sheetName val="1808"/>
      <sheetName val="1835"/>
      <sheetName val="1849"/>
      <sheetName val="1845"/>
      <sheetName val="1850"/>
      <sheetName val="1980A"/>
      <sheetName val="1820"/>
      <sheetName val="1860"/>
      <sheetName val="1815"/>
      <sheetName val="1965"/>
      <sheetName val="1915"/>
      <sheetName val="1920"/>
      <sheetName val="1925"/>
      <sheetName val="1955"/>
      <sheetName val="1910"/>
      <sheetName val="1995"/>
      <sheetName val="1998"/>
      <sheetName val="0812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JE"/>
      <sheetName val="1"/>
      <sheetName val="2"/>
      <sheetName val="3"/>
      <sheetName val="4"/>
      <sheetName val="5"/>
      <sheetName val="5A"/>
      <sheetName val="6"/>
      <sheetName val="7"/>
      <sheetName val="8"/>
      <sheetName val="9"/>
      <sheetName val="9A"/>
      <sheetName val="10"/>
      <sheetName val="11"/>
      <sheetName val="12"/>
      <sheetName val="13"/>
      <sheetName val="14"/>
      <sheetName val="15"/>
      <sheetName val="16"/>
      <sheetName val="17"/>
      <sheetName val="18"/>
      <sheetName val="19"/>
      <sheetName val="21"/>
      <sheetName val="20"/>
      <sheetName val="22"/>
      <sheetName val="23"/>
      <sheetName val="24"/>
      <sheetName val="24A"/>
      <sheetName val="FMV"/>
      <sheetName val="2004vs2005"/>
      <sheetName val="budgetde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Fixed Assets"/>
      <sheetName val="Cash"/>
      <sheetName val="A R"/>
      <sheetName val="City"/>
      <sheetName val="Inv"/>
      <sheetName val="A P"/>
      <sheetName val="Prepaids"/>
      <sheetName val="Cust Dep"/>
      <sheetName val="Equity"/>
      <sheetName val="C Capital"/>
      <sheetName val="Rev"/>
      <sheetName val="Exp"/>
      <sheetName val="Debt"/>
    </sheetNames>
    <sheetDataSet>
      <sheetData sheetId="0">
        <row r="10">
          <cell r="A10">
            <v>10</v>
          </cell>
          <cell r="B10">
            <v>1801</v>
          </cell>
          <cell r="D10" t="str">
            <v>Land</v>
          </cell>
          <cell r="E10">
            <v>688701.12</v>
          </cell>
          <cell r="F10">
            <v>5524461.96</v>
          </cell>
        </row>
        <row r="11">
          <cell r="A11">
            <v>20</v>
          </cell>
          <cell r="B11" t="str">
            <v>1905</v>
          </cell>
          <cell r="D11" t="str">
            <v>Joint Operations Centre</v>
          </cell>
          <cell r="E11">
            <v>0</v>
          </cell>
          <cell r="F11">
            <v>1579467.11</v>
          </cell>
        </row>
        <row r="12">
          <cell r="A12">
            <v>50</v>
          </cell>
          <cell r="B12" t="str">
            <v>1816</v>
          </cell>
          <cell r="D12" t="str">
            <v>Transformer Station 1</v>
          </cell>
          <cell r="E12">
            <v>10962220.89</v>
          </cell>
          <cell r="F12">
            <v>10753802.97</v>
          </cell>
        </row>
        <row r="13">
          <cell r="A13">
            <v>51</v>
          </cell>
          <cell r="B13" t="str">
            <v>1817</v>
          </cell>
          <cell r="D13" t="str">
            <v>Transformer Station 2</v>
          </cell>
          <cell r="E13">
            <v>10051088.38</v>
          </cell>
          <cell r="F13">
            <v>10002851.02</v>
          </cell>
        </row>
        <row r="14">
          <cell r="A14">
            <v>52</v>
          </cell>
          <cell r="B14" t="str">
            <v>1818</v>
          </cell>
          <cell r="D14" t="str">
            <v>Transformer Station 3</v>
          </cell>
          <cell r="E14">
            <v>6148115.19</v>
          </cell>
          <cell r="F14">
            <v>123160.13</v>
          </cell>
        </row>
        <row r="15">
          <cell r="A15">
            <v>55</v>
          </cell>
          <cell r="B15" t="str">
            <v>1819</v>
          </cell>
          <cell r="D15" t="str">
            <v>Distribution Substations</v>
          </cell>
          <cell r="E15">
            <v>398118.85</v>
          </cell>
          <cell r="F15">
            <v>957158.48</v>
          </cell>
        </row>
        <row r="16">
          <cell r="A16">
            <v>60</v>
          </cell>
          <cell r="B16" t="str">
            <v>1836</v>
          </cell>
          <cell r="D16" t="str">
            <v>27kv O/H Lines</v>
          </cell>
          <cell r="E16">
            <v>50202286.82</v>
          </cell>
          <cell r="F16">
            <v>34475738.58</v>
          </cell>
        </row>
        <row r="17">
          <cell r="A17">
            <v>65</v>
          </cell>
          <cell r="B17" t="str">
            <v>1846</v>
          </cell>
          <cell r="D17" t="str">
            <v>27kv U/G Services</v>
          </cell>
          <cell r="E17">
            <v>73404083.26</v>
          </cell>
          <cell r="F17">
            <v>72691303.34</v>
          </cell>
        </row>
        <row r="18">
          <cell r="A18">
            <v>70</v>
          </cell>
          <cell r="B18" t="str">
            <v>1837</v>
          </cell>
          <cell r="D18" t="str">
            <v>15kv Dist Lines</v>
          </cell>
          <cell r="E18">
            <v>2604429.95</v>
          </cell>
          <cell r="F18">
            <v>2448978.47</v>
          </cell>
        </row>
        <row r="19">
          <cell r="A19">
            <v>71</v>
          </cell>
          <cell r="B19" t="str">
            <v>1838</v>
          </cell>
          <cell r="D19" t="str">
            <v>15kv O/H Services</v>
          </cell>
          <cell r="E19">
            <v>2121303.44</v>
          </cell>
          <cell r="F19">
            <v>2265291.02</v>
          </cell>
        </row>
        <row r="20">
          <cell r="A20">
            <v>72</v>
          </cell>
          <cell r="B20" t="str">
            <v>1847</v>
          </cell>
          <cell r="D20" t="str">
            <v>Distr U/G 15kv</v>
          </cell>
          <cell r="E20">
            <v>1557667.15</v>
          </cell>
          <cell r="F20">
            <v>1557667.15</v>
          </cell>
        </row>
        <row r="21">
          <cell r="A21">
            <v>75</v>
          </cell>
          <cell r="B21" t="str">
            <v>1848</v>
          </cell>
          <cell r="D21" t="str">
            <v>15kv U/G Services</v>
          </cell>
          <cell r="E21">
            <v>13470809.4</v>
          </cell>
          <cell r="F21">
            <v>11952300.67</v>
          </cell>
        </row>
        <row r="22">
          <cell r="A22">
            <v>80</v>
          </cell>
          <cell r="B22" t="str">
            <v>1851</v>
          </cell>
          <cell r="D22" t="str">
            <v>Transformers &lt;15kv</v>
          </cell>
          <cell r="E22">
            <v>940005.44</v>
          </cell>
          <cell r="F22">
            <v>2904105.17</v>
          </cell>
        </row>
        <row r="23">
          <cell r="A23">
            <v>85</v>
          </cell>
          <cell r="B23" t="str">
            <v>1853</v>
          </cell>
          <cell r="D23" t="str">
            <v>Transformers &gt;15kv</v>
          </cell>
          <cell r="E23">
            <v>57295290.4</v>
          </cell>
          <cell r="F23">
            <v>47582039.32</v>
          </cell>
        </row>
        <row r="24">
          <cell r="B24" t="str">
            <v>1855</v>
          </cell>
          <cell r="D24" t="str">
            <v>Temporary Services</v>
          </cell>
          <cell r="E24">
            <v>-232359.92</v>
          </cell>
          <cell r="F24">
            <v>24902.86</v>
          </cell>
        </row>
        <row r="25">
          <cell r="A25">
            <v>90</v>
          </cell>
          <cell r="B25" t="str">
            <v>1860</v>
          </cell>
          <cell r="D25" t="str">
            <v>Meters</v>
          </cell>
          <cell r="E25">
            <v>14029227.87</v>
          </cell>
          <cell r="F25">
            <v>13069909.58</v>
          </cell>
        </row>
        <row r="26">
          <cell r="A26">
            <v>110</v>
          </cell>
          <cell r="B26" t="str">
            <v>1915</v>
          </cell>
          <cell r="D26" t="str">
            <v>Office Equipment</v>
          </cell>
          <cell r="E26">
            <v>393503.18</v>
          </cell>
          <cell r="F26">
            <v>311439.8</v>
          </cell>
        </row>
        <row r="27">
          <cell r="A27" t="str">
            <v>112/141</v>
          </cell>
          <cell r="B27" t="str">
            <v>1955</v>
          </cell>
          <cell r="D27" t="str">
            <v>Communication Equipment</v>
          </cell>
          <cell r="E27">
            <v>176577.72</v>
          </cell>
          <cell r="F27">
            <v>35442.88</v>
          </cell>
        </row>
        <row r="28">
          <cell r="A28" t="str">
            <v>115/6/7</v>
          </cell>
          <cell r="B28" t="str">
            <v>1920</v>
          </cell>
          <cell r="D28" t="str">
            <v>Computer Equipment</v>
          </cell>
          <cell r="E28">
            <v>1589946.62</v>
          </cell>
          <cell r="F28">
            <v>1434231</v>
          </cell>
        </row>
        <row r="29">
          <cell r="A29">
            <v>118</v>
          </cell>
          <cell r="B29" t="str">
            <v>1925</v>
          </cell>
          <cell r="D29" t="str">
            <v>Computer Software</v>
          </cell>
          <cell r="E29">
            <v>709480.61</v>
          </cell>
          <cell r="F29">
            <v>414148.26</v>
          </cell>
        </row>
        <row r="30">
          <cell r="A30">
            <v>120</v>
          </cell>
          <cell r="B30" t="str">
            <v>1935</v>
          </cell>
          <cell r="D30" t="str">
            <v>Stores Equipment</v>
          </cell>
          <cell r="E30">
            <v>169661.67</v>
          </cell>
          <cell r="F30">
            <v>139443.81</v>
          </cell>
        </row>
        <row r="31">
          <cell r="A31">
            <v>125</v>
          </cell>
          <cell r="B31" t="str">
            <v>1910</v>
          </cell>
          <cell r="D31" t="str">
            <v>Leasehold Improvements</v>
          </cell>
          <cell r="E31">
            <v>0</v>
          </cell>
          <cell r="F31">
            <v>52837.64</v>
          </cell>
        </row>
        <row r="32">
          <cell r="A32">
            <v>130</v>
          </cell>
          <cell r="B32" t="str">
            <v>1930</v>
          </cell>
          <cell r="D32" t="str">
            <v>Transportation Equipment</v>
          </cell>
          <cell r="E32">
            <v>4172718.46</v>
          </cell>
          <cell r="F32">
            <v>4386240.51</v>
          </cell>
        </row>
        <row r="33">
          <cell r="A33">
            <v>140</v>
          </cell>
          <cell r="B33" t="str">
            <v>1940&amp;60</v>
          </cell>
          <cell r="D33" t="str">
            <v>Major Tools</v>
          </cell>
          <cell r="E33">
            <v>929051.52</v>
          </cell>
          <cell r="F33">
            <v>853680.57</v>
          </cell>
        </row>
        <row r="34">
          <cell r="A34">
            <v>155</v>
          </cell>
          <cell r="B34" t="str">
            <v>1985</v>
          </cell>
          <cell r="D34" t="str">
            <v>Sentinel Lights</v>
          </cell>
          <cell r="E34">
            <v>23313.42</v>
          </cell>
          <cell r="F34">
            <v>27230.71</v>
          </cell>
        </row>
        <row r="35">
          <cell r="A35">
            <v>153</v>
          </cell>
          <cell r="B35" t="str">
            <v>1980</v>
          </cell>
          <cell r="D35" t="str">
            <v>Scada</v>
          </cell>
          <cell r="E35">
            <v>3863634.34</v>
          </cell>
          <cell r="F35">
            <v>3473422.81</v>
          </cell>
        </row>
        <row r="36">
          <cell r="B36">
            <v>1995</v>
          </cell>
          <cell r="D36" t="str">
            <v>Contribution &amp; Grant-Credit</v>
          </cell>
          <cell r="E36">
            <v>-11577337.71</v>
          </cell>
          <cell r="F36">
            <v>0</v>
          </cell>
        </row>
        <row r="37">
          <cell r="E37">
            <v>244163255.06</v>
          </cell>
          <cell r="F37">
            <v>229041255.82</v>
          </cell>
        </row>
        <row r="39">
          <cell r="A39" t="str">
            <v>2xxx</v>
          </cell>
          <cell r="B39" t="str">
            <v>2135 - 2170</v>
          </cell>
          <cell r="D39" t="str">
            <v>Work in Progress</v>
          </cell>
          <cell r="E39">
            <v>1111764.96</v>
          </cell>
          <cell r="F39">
            <v>622679.32</v>
          </cell>
        </row>
        <row r="41">
          <cell r="D41" t="str">
            <v>Accumulated Depreciation</v>
          </cell>
        </row>
        <row r="42">
          <cell r="A42">
            <v>425</v>
          </cell>
          <cell r="B42" t="str">
            <v>2110.1815</v>
          </cell>
          <cell r="D42" t="str">
            <v>Transformer Stations ( 1,2 &amp; 3)</v>
          </cell>
          <cell r="E42">
            <v>-5364694.22</v>
          </cell>
          <cell r="F42">
            <v>-4685658.6</v>
          </cell>
        </row>
        <row r="43">
          <cell r="A43">
            <v>430</v>
          </cell>
          <cell r="B43" t="str">
            <v>2110.1820</v>
          </cell>
          <cell r="D43" t="str">
            <v>Trans Stn Equipment</v>
          </cell>
          <cell r="E43">
            <v>-79381.35</v>
          </cell>
          <cell r="F43">
            <v>-683293.28</v>
          </cell>
        </row>
        <row r="44">
          <cell r="A44">
            <v>435</v>
          </cell>
          <cell r="B44" t="str">
            <v>2110.1836</v>
          </cell>
          <cell r="D44" t="str">
            <v>27kv O/H Lines</v>
          </cell>
          <cell r="E44">
            <v>-14617538.94</v>
          </cell>
          <cell r="F44">
            <v>-12644039.97</v>
          </cell>
        </row>
        <row r="45">
          <cell r="A45">
            <v>436</v>
          </cell>
          <cell r="B45" t="str">
            <v>2110.1846</v>
          </cell>
          <cell r="D45" t="str">
            <v>27kv U/G Services</v>
          </cell>
          <cell r="E45">
            <v>-26045642.45</v>
          </cell>
          <cell r="F45">
            <v>-23321123.76</v>
          </cell>
        </row>
        <row r="46">
          <cell r="A46">
            <v>440</v>
          </cell>
          <cell r="B46" t="str">
            <v>2110.1837</v>
          </cell>
          <cell r="D46" t="str">
            <v>15kv Dist Lines</v>
          </cell>
          <cell r="E46">
            <v>-1305395.02</v>
          </cell>
          <cell r="F46">
            <v>-1201217.83</v>
          </cell>
        </row>
        <row r="47">
          <cell r="A47">
            <v>441</v>
          </cell>
          <cell r="B47" t="str">
            <v>2110.1838</v>
          </cell>
          <cell r="D47" t="str">
            <v>15kv O/H Services</v>
          </cell>
          <cell r="E47">
            <v>-861668.98</v>
          </cell>
          <cell r="F47">
            <v>-1047181.66</v>
          </cell>
        </row>
        <row r="48">
          <cell r="A48">
            <v>445</v>
          </cell>
          <cell r="B48" t="str">
            <v>2110.1847</v>
          </cell>
          <cell r="D48" t="str">
            <v>Distr U/G 15kv</v>
          </cell>
          <cell r="E48">
            <v>-928091.85</v>
          </cell>
          <cell r="F48">
            <v>-884010.28</v>
          </cell>
        </row>
        <row r="49">
          <cell r="A49">
            <v>446</v>
          </cell>
          <cell r="B49" t="str">
            <v>2110.1848</v>
          </cell>
          <cell r="D49" t="str">
            <v>15kv U/G Services</v>
          </cell>
          <cell r="E49">
            <v>-4710469.78</v>
          </cell>
          <cell r="F49">
            <v>-4216192.31</v>
          </cell>
        </row>
        <row r="50">
          <cell r="A50">
            <v>450</v>
          </cell>
          <cell r="B50" t="str">
            <v>2110.1851</v>
          </cell>
          <cell r="D50" t="str">
            <v>Transformers &lt;15kv</v>
          </cell>
          <cell r="E50">
            <v>-514637.46</v>
          </cell>
          <cell r="F50">
            <v>-2538785.19</v>
          </cell>
        </row>
        <row r="51">
          <cell r="A51">
            <v>451</v>
          </cell>
          <cell r="B51" t="str">
            <v>2110.1853</v>
          </cell>
          <cell r="D51" t="str">
            <v>Transformers &gt;15kv</v>
          </cell>
          <cell r="E51">
            <v>-18168184.91</v>
          </cell>
          <cell r="F51">
            <v>-15937219.85</v>
          </cell>
        </row>
        <row r="52">
          <cell r="A52">
            <v>455</v>
          </cell>
          <cell r="B52" t="str">
            <v>2110.1860</v>
          </cell>
          <cell r="D52" t="str">
            <v>Meters</v>
          </cell>
          <cell r="E52">
            <v>-5190996.95</v>
          </cell>
          <cell r="F52">
            <v>-4647629.82</v>
          </cell>
        </row>
        <row r="53">
          <cell r="A53">
            <v>488</v>
          </cell>
          <cell r="B53" t="str">
            <v>2110.1905</v>
          </cell>
          <cell r="D53" t="str">
            <v>Joint Operations Centre</v>
          </cell>
          <cell r="E53">
            <v>0</v>
          </cell>
          <cell r="F53">
            <v>-130163.93</v>
          </cell>
        </row>
        <row r="54">
          <cell r="A54">
            <v>491</v>
          </cell>
          <cell r="B54" t="str">
            <v>2110.1910</v>
          </cell>
          <cell r="D54" t="str">
            <v>Leasehold Improvements</v>
          </cell>
          <cell r="E54">
            <v>0</v>
          </cell>
          <cell r="F54">
            <v>-28926.59</v>
          </cell>
        </row>
        <row r="55">
          <cell r="A55">
            <v>480</v>
          </cell>
          <cell r="B55" t="str">
            <v>2110.1915</v>
          </cell>
          <cell r="D55" t="str">
            <v>Office Equipment</v>
          </cell>
          <cell r="E55">
            <v>-125156.57</v>
          </cell>
          <cell r="F55">
            <v>-140864.07</v>
          </cell>
        </row>
        <row r="56">
          <cell r="A56">
            <v>481</v>
          </cell>
          <cell r="B56" t="str">
            <v>2110.1920</v>
          </cell>
          <cell r="D56" t="str">
            <v>Computer Equipment</v>
          </cell>
          <cell r="E56">
            <v>-935288.46</v>
          </cell>
          <cell r="F56">
            <v>-1092363.42</v>
          </cell>
        </row>
        <row r="57">
          <cell r="A57">
            <v>482</v>
          </cell>
          <cell r="B57" t="str">
            <v>2110.1935</v>
          </cell>
          <cell r="D57" t="str">
            <v>Stores Equipment</v>
          </cell>
          <cell r="E57">
            <v>-79169.22</v>
          </cell>
          <cell r="F57">
            <v>-63360.84</v>
          </cell>
        </row>
        <row r="58">
          <cell r="A58">
            <v>483</v>
          </cell>
          <cell r="B58" t="str">
            <v>2110.1930</v>
          </cell>
          <cell r="D58" t="str">
            <v>Transportation Equipment</v>
          </cell>
          <cell r="E58">
            <v>-3408142.32</v>
          </cell>
          <cell r="F58">
            <v>-3404677.32</v>
          </cell>
        </row>
        <row r="59">
          <cell r="A59">
            <v>484</v>
          </cell>
          <cell r="B59" t="str">
            <v>2110.1940</v>
          </cell>
          <cell r="D59" t="str">
            <v>Major Tools</v>
          </cell>
          <cell r="E59">
            <v>-450550.93</v>
          </cell>
          <cell r="F59">
            <v>-449248.4</v>
          </cell>
        </row>
        <row r="60">
          <cell r="A60">
            <v>487</v>
          </cell>
          <cell r="B60" t="str">
            <v>2110.1955</v>
          </cell>
          <cell r="D60" t="str">
            <v>Communication Equipment</v>
          </cell>
          <cell r="E60">
            <v>-33439.41</v>
          </cell>
          <cell r="F60">
            <v>-22830.96</v>
          </cell>
        </row>
        <row r="61">
          <cell r="A61">
            <v>486</v>
          </cell>
          <cell r="B61" t="str">
            <v>2110.1985</v>
          </cell>
          <cell r="D61" t="str">
            <v>Sentinel Lights</v>
          </cell>
          <cell r="E61">
            <v>-13817.93</v>
          </cell>
          <cell r="F61">
            <v>-18258.88</v>
          </cell>
        </row>
        <row r="62">
          <cell r="A62">
            <v>426</v>
          </cell>
          <cell r="B62" t="str">
            <v>2110.1980</v>
          </cell>
          <cell r="D62" t="str">
            <v>Scada</v>
          </cell>
          <cell r="E62">
            <v>-1301183.4</v>
          </cell>
          <cell r="F62">
            <v>-1078270.08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Fixed Assets"/>
      <sheetName val="Cash"/>
      <sheetName val="A R"/>
      <sheetName val="City"/>
      <sheetName val="Inv"/>
      <sheetName val="A P"/>
      <sheetName val="Prepaids"/>
      <sheetName val="Cust Dep"/>
      <sheetName val="Equity"/>
      <sheetName val="C Capital"/>
      <sheetName val="Rev"/>
      <sheetName val="Exp"/>
      <sheetName val="Debt"/>
    </sheetNames>
    <sheetDataSet>
      <sheetData sheetId="0">
        <row r="10">
          <cell r="A10">
            <v>10</v>
          </cell>
          <cell r="B10">
            <v>1801</v>
          </cell>
          <cell r="D10" t="str">
            <v>Land</v>
          </cell>
          <cell r="E10">
            <v>688701.12</v>
          </cell>
          <cell r="F10">
            <v>5524461.96</v>
          </cell>
        </row>
        <row r="11">
          <cell r="A11">
            <v>20</v>
          </cell>
          <cell r="B11" t="str">
            <v>1905</v>
          </cell>
          <cell r="D11" t="str">
            <v>Joint Operations Centre</v>
          </cell>
          <cell r="E11">
            <v>0</v>
          </cell>
          <cell r="F11">
            <v>1579467.11</v>
          </cell>
        </row>
        <row r="12">
          <cell r="A12">
            <v>50</v>
          </cell>
          <cell r="B12" t="str">
            <v>1816</v>
          </cell>
          <cell r="D12" t="str">
            <v>Transformer Station 1</v>
          </cell>
          <cell r="E12">
            <v>10962220.89</v>
          </cell>
          <cell r="F12">
            <v>10753802.97</v>
          </cell>
        </row>
        <row r="13">
          <cell r="A13">
            <v>51</v>
          </cell>
          <cell r="B13" t="str">
            <v>1817</v>
          </cell>
          <cell r="D13" t="str">
            <v>Transformer Station 2</v>
          </cell>
          <cell r="E13">
            <v>10051088.38</v>
          </cell>
          <cell r="F13">
            <v>10002851.02</v>
          </cell>
        </row>
        <row r="14">
          <cell r="A14">
            <v>52</v>
          </cell>
          <cell r="B14" t="str">
            <v>1818</v>
          </cell>
          <cell r="D14" t="str">
            <v>Transformer Station 3</v>
          </cell>
          <cell r="E14">
            <v>6148115.19</v>
          </cell>
          <cell r="F14">
            <v>123160.13</v>
          </cell>
        </row>
        <row r="15">
          <cell r="A15">
            <v>55</v>
          </cell>
          <cell r="B15" t="str">
            <v>1819</v>
          </cell>
          <cell r="D15" t="str">
            <v>Distribution Substations</v>
          </cell>
          <cell r="E15">
            <v>398118.85</v>
          </cell>
          <cell r="F15">
            <v>957158.48</v>
          </cell>
        </row>
        <row r="16">
          <cell r="A16">
            <v>60</v>
          </cell>
          <cell r="B16" t="str">
            <v>1836</v>
          </cell>
          <cell r="D16" t="str">
            <v>27kv O/H Lines</v>
          </cell>
          <cell r="E16">
            <v>50202286.82</v>
          </cell>
          <cell r="F16">
            <v>34475738.58</v>
          </cell>
        </row>
        <row r="17">
          <cell r="A17">
            <v>65</v>
          </cell>
          <cell r="B17" t="str">
            <v>1846</v>
          </cell>
          <cell r="D17" t="str">
            <v>27kv U/G Services</v>
          </cell>
          <cell r="E17">
            <v>73404083.26</v>
          </cell>
          <cell r="F17">
            <v>72691303.34</v>
          </cell>
        </row>
        <row r="18">
          <cell r="A18">
            <v>70</v>
          </cell>
          <cell r="B18" t="str">
            <v>1837</v>
          </cell>
          <cell r="D18" t="str">
            <v>15kv Dist Lines</v>
          </cell>
          <cell r="E18">
            <v>2604429.95</v>
          </cell>
          <cell r="F18">
            <v>2448978.47</v>
          </cell>
        </row>
        <row r="19">
          <cell r="A19">
            <v>71</v>
          </cell>
          <cell r="B19" t="str">
            <v>1838</v>
          </cell>
          <cell r="D19" t="str">
            <v>15kv O/H Services</v>
          </cell>
          <cell r="E19">
            <v>2121303.44</v>
          </cell>
          <cell r="F19">
            <v>2265291.02</v>
          </cell>
        </row>
        <row r="20">
          <cell r="A20">
            <v>72</v>
          </cell>
          <cell r="B20" t="str">
            <v>1847</v>
          </cell>
          <cell r="D20" t="str">
            <v>Distr U/G 15kv</v>
          </cell>
          <cell r="E20">
            <v>1557667.15</v>
          </cell>
          <cell r="F20">
            <v>1557667.15</v>
          </cell>
        </row>
        <row r="21">
          <cell r="A21">
            <v>75</v>
          </cell>
          <cell r="B21" t="str">
            <v>1848</v>
          </cell>
          <cell r="D21" t="str">
            <v>15kv U/G Services</v>
          </cell>
          <cell r="E21">
            <v>13470809.4</v>
          </cell>
          <cell r="F21">
            <v>11952300.67</v>
          </cell>
        </row>
        <row r="22">
          <cell r="A22">
            <v>80</v>
          </cell>
          <cell r="B22" t="str">
            <v>1851</v>
          </cell>
          <cell r="D22" t="str">
            <v>Transformers &lt;15kv</v>
          </cell>
          <cell r="E22">
            <v>940005.44</v>
          </cell>
          <cell r="F22">
            <v>2904105.17</v>
          </cell>
        </row>
        <row r="23">
          <cell r="A23">
            <v>85</v>
          </cell>
          <cell r="B23" t="str">
            <v>1853</v>
          </cell>
          <cell r="D23" t="str">
            <v>Transformers &gt;15kv</v>
          </cell>
          <cell r="E23">
            <v>57295290.4</v>
          </cell>
          <cell r="F23">
            <v>47582039.32</v>
          </cell>
        </row>
        <row r="24">
          <cell r="B24" t="str">
            <v>1855</v>
          </cell>
          <cell r="D24" t="str">
            <v>Temporary Services</v>
          </cell>
          <cell r="E24">
            <v>-232359.92</v>
          </cell>
          <cell r="F24">
            <v>24902.86</v>
          </cell>
        </row>
        <row r="25">
          <cell r="A25">
            <v>90</v>
          </cell>
          <cell r="B25" t="str">
            <v>1860</v>
          </cell>
          <cell r="D25" t="str">
            <v>Meters</v>
          </cell>
          <cell r="E25">
            <v>14029227.87</v>
          </cell>
          <cell r="F25">
            <v>13069909.58</v>
          </cell>
        </row>
        <row r="26">
          <cell r="A26">
            <v>110</v>
          </cell>
          <cell r="B26" t="str">
            <v>1915</v>
          </cell>
          <cell r="D26" t="str">
            <v>Office Equipment</v>
          </cell>
          <cell r="E26">
            <v>393503.18</v>
          </cell>
          <cell r="F26">
            <v>311439.8</v>
          </cell>
        </row>
        <row r="27">
          <cell r="A27" t="str">
            <v>112/141</v>
          </cell>
          <cell r="B27" t="str">
            <v>1955</v>
          </cell>
          <cell r="D27" t="str">
            <v>Communication Equipment</v>
          </cell>
          <cell r="E27">
            <v>176577.72</v>
          </cell>
          <cell r="F27">
            <v>35442.88</v>
          </cell>
        </row>
        <row r="28">
          <cell r="A28" t="str">
            <v>115/6/7</v>
          </cell>
          <cell r="B28" t="str">
            <v>1920</v>
          </cell>
          <cell r="D28" t="str">
            <v>Computer Equipment</v>
          </cell>
          <cell r="E28">
            <v>1589946.62</v>
          </cell>
          <cell r="F28">
            <v>1434231</v>
          </cell>
        </row>
        <row r="29">
          <cell r="A29">
            <v>118</v>
          </cell>
          <cell r="B29" t="str">
            <v>1925</v>
          </cell>
          <cell r="D29" t="str">
            <v>Computer Software</v>
          </cell>
          <cell r="E29">
            <v>709480.61</v>
          </cell>
          <cell r="F29">
            <v>414148.26</v>
          </cell>
        </row>
        <row r="30">
          <cell r="A30">
            <v>120</v>
          </cell>
          <cell r="B30" t="str">
            <v>1935</v>
          </cell>
          <cell r="D30" t="str">
            <v>Stores Equipment</v>
          </cell>
          <cell r="E30">
            <v>169661.67</v>
          </cell>
          <cell r="F30">
            <v>139443.81</v>
          </cell>
        </row>
        <row r="31">
          <cell r="A31">
            <v>125</v>
          </cell>
          <cell r="B31" t="str">
            <v>1910</v>
          </cell>
          <cell r="D31" t="str">
            <v>Leasehold Improvements</v>
          </cell>
          <cell r="E31">
            <v>0</v>
          </cell>
          <cell r="F31">
            <v>52837.64</v>
          </cell>
        </row>
        <row r="32">
          <cell r="A32">
            <v>130</v>
          </cell>
          <cell r="B32" t="str">
            <v>1930</v>
          </cell>
          <cell r="D32" t="str">
            <v>Transportation Equipment</v>
          </cell>
          <cell r="E32">
            <v>4172718.46</v>
          </cell>
          <cell r="F32">
            <v>4386240.51</v>
          </cell>
        </row>
        <row r="33">
          <cell r="A33">
            <v>140</v>
          </cell>
          <cell r="B33" t="str">
            <v>1940&amp;60</v>
          </cell>
          <cell r="D33" t="str">
            <v>Major Tools</v>
          </cell>
          <cell r="E33">
            <v>929051.52</v>
          </cell>
          <cell r="F33">
            <v>853680.57</v>
          </cell>
        </row>
        <row r="34">
          <cell r="A34">
            <v>155</v>
          </cell>
          <cell r="B34" t="str">
            <v>1985</v>
          </cell>
          <cell r="D34" t="str">
            <v>Sentinel Lights</v>
          </cell>
          <cell r="E34">
            <v>23313.42</v>
          </cell>
          <cell r="F34">
            <v>27230.71</v>
          </cell>
        </row>
        <row r="35">
          <cell r="A35">
            <v>153</v>
          </cell>
          <cell r="B35" t="str">
            <v>1980</v>
          </cell>
          <cell r="D35" t="str">
            <v>Scada</v>
          </cell>
          <cell r="E35">
            <v>3863634.34</v>
          </cell>
          <cell r="F35">
            <v>3473422.81</v>
          </cell>
        </row>
        <row r="36">
          <cell r="B36">
            <v>1995</v>
          </cell>
          <cell r="D36" t="str">
            <v>Contribution &amp; Grant-Credit</v>
          </cell>
          <cell r="E36">
            <v>-11577337.71</v>
          </cell>
          <cell r="F36">
            <v>0</v>
          </cell>
        </row>
        <row r="37">
          <cell r="E37">
            <v>244163255.06</v>
          </cell>
          <cell r="F37">
            <v>229041255.82</v>
          </cell>
        </row>
        <row r="39">
          <cell r="A39" t="str">
            <v>2xxx</v>
          </cell>
          <cell r="B39" t="str">
            <v>2135 - 2170</v>
          </cell>
          <cell r="D39" t="str">
            <v>Work in Progress</v>
          </cell>
          <cell r="E39">
            <v>1111764.96</v>
          </cell>
          <cell r="F39">
            <v>622679.32</v>
          </cell>
        </row>
        <row r="41">
          <cell r="D41" t="str">
            <v>Accumulated Depreciation</v>
          </cell>
        </row>
        <row r="42">
          <cell r="A42">
            <v>425</v>
          </cell>
          <cell r="B42" t="str">
            <v>2110.1815</v>
          </cell>
          <cell r="D42" t="str">
            <v>Transformer Stations ( 1,2 &amp; 3)</v>
          </cell>
          <cell r="E42">
            <v>-5364694.22</v>
          </cell>
          <cell r="F42">
            <v>-4685658.6</v>
          </cell>
        </row>
        <row r="43">
          <cell r="A43">
            <v>430</v>
          </cell>
          <cell r="B43" t="str">
            <v>2110.1820</v>
          </cell>
          <cell r="D43" t="str">
            <v>Trans Stn Equipment</v>
          </cell>
          <cell r="E43">
            <v>-79381.35</v>
          </cell>
          <cell r="F43">
            <v>-683293.28</v>
          </cell>
        </row>
        <row r="44">
          <cell r="A44">
            <v>435</v>
          </cell>
          <cell r="B44" t="str">
            <v>2110.1836</v>
          </cell>
          <cell r="D44" t="str">
            <v>27kv O/H Lines</v>
          </cell>
          <cell r="E44">
            <v>-14617538.94</v>
          </cell>
          <cell r="F44">
            <v>-12644039.97</v>
          </cell>
        </row>
        <row r="45">
          <cell r="A45">
            <v>436</v>
          </cell>
          <cell r="B45" t="str">
            <v>2110.1846</v>
          </cell>
          <cell r="D45" t="str">
            <v>27kv U/G Services</v>
          </cell>
          <cell r="E45">
            <v>-26045642.45</v>
          </cell>
          <cell r="F45">
            <v>-23321123.76</v>
          </cell>
        </row>
        <row r="46">
          <cell r="A46">
            <v>440</v>
          </cell>
          <cell r="B46" t="str">
            <v>2110.1837</v>
          </cell>
          <cell r="D46" t="str">
            <v>15kv Dist Lines</v>
          </cell>
          <cell r="E46">
            <v>-1305395.02</v>
          </cell>
          <cell r="F46">
            <v>-1201217.83</v>
          </cell>
        </row>
        <row r="47">
          <cell r="A47">
            <v>441</v>
          </cell>
          <cell r="B47" t="str">
            <v>2110.1838</v>
          </cell>
          <cell r="D47" t="str">
            <v>15kv O/H Services</v>
          </cell>
          <cell r="E47">
            <v>-861668.98</v>
          </cell>
          <cell r="F47">
            <v>-1047181.66</v>
          </cell>
        </row>
        <row r="48">
          <cell r="A48">
            <v>445</v>
          </cell>
          <cell r="B48" t="str">
            <v>2110.1847</v>
          </cell>
          <cell r="D48" t="str">
            <v>Distr U/G 15kv</v>
          </cell>
          <cell r="E48">
            <v>-928091.85</v>
          </cell>
          <cell r="F48">
            <v>-884010.28</v>
          </cell>
        </row>
        <row r="49">
          <cell r="A49">
            <v>446</v>
          </cell>
          <cell r="B49" t="str">
            <v>2110.1848</v>
          </cell>
          <cell r="D49" t="str">
            <v>15kv U/G Services</v>
          </cell>
          <cell r="E49">
            <v>-4710469.78</v>
          </cell>
          <cell r="F49">
            <v>-4216192.31</v>
          </cell>
        </row>
        <row r="50">
          <cell r="A50">
            <v>450</v>
          </cell>
          <cell r="B50" t="str">
            <v>2110.1851</v>
          </cell>
          <cell r="D50" t="str">
            <v>Transformers &lt;15kv</v>
          </cell>
          <cell r="E50">
            <v>-514637.46</v>
          </cell>
          <cell r="F50">
            <v>-2538785.19</v>
          </cell>
        </row>
        <row r="51">
          <cell r="A51">
            <v>451</v>
          </cell>
          <cell r="B51" t="str">
            <v>2110.1853</v>
          </cell>
          <cell r="D51" t="str">
            <v>Transformers &gt;15kv</v>
          </cell>
          <cell r="E51">
            <v>-18168184.91</v>
          </cell>
          <cell r="F51">
            <v>-15937219.85</v>
          </cell>
        </row>
        <row r="52">
          <cell r="A52">
            <v>455</v>
          </cell>
          <cell r="B52" t="str">
            <v>2110.1860</v>
          </cell>
          <cell r="D52" t="str">
            <v>Meters</v>
          </cell>
          <cell r="E52">
            <v>-5190996.95</v>
          </cell>
          <cell r="F52">
            <v>-4647629.82</v>
          </cell>
        </row>
        <row r="53">
          <cell r="A53">
            <v>488</v>
          </cell>
          <cell r="B53" t="str">
            <v>2110.1905</v>
          </cell>
          <cell r="D53" t="str">
            <v>Joint Operations Centre</v>
          </cell>
          <cell r="E53">
            <v>0</v>
          </cell>
          <cell r="F53">
            <v>-130163.93</v>
          </cell>
        </row>
        <row r="54">
          <cell r="A54">
            <v>491</v>
          </cell>
          <cell r="B54" t="str">
            <v>2110.1910</v>
          </cell>
          <cell r="D54" t="str">
            <v>Leasehold Improvements</v>
          </cell>
          <cell r="E54">
            <v>0</v>
          </cell>
          <cell r="F54">
            <v>-28926.59</v>
          </cell>
        </row>
        <row r="55">
          <cell r="A55">
            <v>480</v>
          </cell>
          <cell r="B55" t="str">
            <v>2110.1915</v>
          </cell>
          <cell r="D55" t="str">
            <v>Office Equipment</v>
          </cell>
          <cell r="E55">
            <v>-125156.57</v>
          </cell>
          <cell r="F55">
            <v>-140864.07</v>
          </cell>
        </row>
        <row r="56">
          <cell r="A56">
            <v>481</v>
          </cell>
          <cell r="B56" t="str">
            <v>2110.1920</v>
          </cell>
          <cell r="D56" t="str">
            <v>Computer Equipment</v>
          </cell>
          <cell r="E56">
            <v>-935288.46</v>
          </cell>
          <cell r="F56">
            <v>-1092363.42</v>
          </cell>
        </row>
        <row r="57">
          <cell r="A57">
            <v>482</v>
          </cell>
          <cell r="B57" t="str">
            <v>2110.1935</v>
          </cell>
          <cell r="D57" t="str">
            <v>Stores Equipment</v>
          </cell>
          <cell r="E57">
            <v>-79169.22</v>
          </cell>
          <cell r="F57">
            <v>-63360.84</v>
          </cell>
        </row>
        <row r="58">
          <cell r="A58">
            <v>483</v>
          </cell>
          <cell r="B58" t="str">
            <v>2110.1930</v>
          </cell>
          <cell r="D58" t="str">
            <v>Transportation Equipment</v>
          </cell>
          <cell r="E58">
            <v>-3408142.32</v>
          </cell>
          <cell r="F58">
            <v>-3404677.32</v>
          </cell>
        </row>
        <row r="59">
          <cell r="A59">
            <v>484</v>
          </cell>
          <cell r="B59" t="str">
            <v>2110.1940</v>
          </cell>
          <cell r="D59" t="str">
            <v>Major Tools</v>
          </cell>
          <cell r="E59">
            <v>-450550.93</v>
          </cell>
          <cell r="F59">
            <v>-449248.4</v>
          </cell>
        </row>
        <row r="60">
          <cell r="A60">
            <v>487</v>
          </cell>
          <cell r="B60" t="str">
            <v>2110.1955</v>
          </cell>
          <cell r="D60" t="str">
            <v>Communication Equipment</v>
          </cell>
          <cell r="E60">
            <v>-33439.41</v>
          </cell>
          <cell r="F60">
            <v>-22830.96</v>
          </cell>
        </row>
        <row r="61">
          <cell r="A61">
            <v>486</v>
          </cell>
          <cell r="B61" t="str">
            <v>2110.1985</v>
          </cell>
          <cell r="D61" t="str">
            <v>Sentinel Lights</v>
          </cell>
          <cell r="E61">
            <v>-13817.93</v>
          </cell>
          <cell r="F61">
            <v>-18258.88</v>
          </cell>
        </row>
        <row r="62">
          <cell r="A62">
            <v>426</v>
          </cell>
          <cell r="B62" t="str">
            <v>2110.1980</v>
          </cell>
          <cell r="D62" t="str">
            <v>Scada</v>
          </cell>
          <cell r="E62">
            <v>-1301183.4</v>
          </cell>
          <cell r="F62">
            <v>-1078270.08</v>
          </cell>
        </row>
      </sheetData>
      <sheetData sheetId="1">
        <row r="10">
          <cell r="A10">
            <v>202</v>
          </cell>
          <cell r="B10" t="str">
            <v>1010.02</v>
          </cell>
          <cell r="D10" t="str">
            <v>Bank-Payroll Account</v>
          </cell>
          <cell r="E10">
            <v>-62615.2</v>
          </cell>
          <cell r="F10">
            <v>-62704.36</v>
          </cell>
          <cell r="G10">
            <v>0</v>
          </cell>
        </row>
        <row r="11">
          <cell r="B11" t="str">
            <v>1010</v>
          </cell>
          <cell r="D11" t="str">
            <v>sub-total</v>
          </cell>
          <cell r="E11">
            <v>4797247.49</v>
          </cell>
          <cell r="F11">
            <v>5658721.93</v>
          </cell>
          <cell r="G11">
            <v>6374217.03</v>
          </cell>
        </row>
        <row r="12">
          <cell r="A12">
            <v>210</v>
          </cell>
          <cell r="B12" t="str">
            <v>1012,3,4</v>
          </cell>
          <cell r="D12" t="str">
            <v>Tellers' Cash</v>
          </cell>
          <cell r="E12">
            <v>900</v>
          </cell>
          <cell r="F12">
            <v>10900</v>
          </cell>
          <cell r="G12">
            <v>900</v>
          </cell>
        </row>
        <row r="13">
          <cell r="A13">
            <v>205</v>
          </cell>
          <cell r="B13" t="str">
            <v>1016</v>
          </cell>
          <cell r="D13" t="str">
            <v>Cash Over/Short</v>
          </cell>
          <cell r="E13">
            <v>20</v>
          </cell>
          <cell r="F13">
            <v>335.7</v>
          </cell>
          <cell r="G13">
            <v>0</v>
          </cell>
        </row>
        <row r="14">
          <cell r="A14">
            <v>11</v>
          </cell>
          <cell r="B14">
            <v>1017</v>
          </cell>
          <cell r="D14" t="str">
            <v>Unidentified Cash Receipts</v>
          </cell>
          <cell r="E14">
            <v>0</v>
          </cell>
          <cell r="F14">
            <v>0</v>
          </cell>
          <cell r="G14">
            <v>0</v>
          </cell>
        </row>
        <row r="15">
          <cell r="A15">
            <v>220</v>
          </cell>
          <cell r="B15" t="str">
            <v>1070.01</v>
          </cell>
          <cell r="D15" t="str">
            <v>Current Investments</v>
          </cell>
          <cell r="E15">
            <v>34537346</v>
          </cell>
          <cell r="F15">
            <v>37744145</v>
          </cell>
          <cell r="G15">
            <v>26822550</v>
          </cell>
        </row>
        <row r="16">
          <cell r="E16">
            <v>39335513.49</v>
          </cell>
          <cell r="F16">
            <v>43414102.63</v>
          </cell>
          <cell r="G16">
            <v>33197667.03</v>
          </cell>
        </row>
      </sheetData>
      <sheetData sheetId="2">
        <row r="10">
          <cell r="B10" t="str">
            <v>1110.02</v>
          </cell>
          <cell r="D10" t="str">
            <v>Misc. Non-Invoiced</v>
          </cell>
          <cell r="E10">
            <v>600</v>
          </cell>
          <cell r="F10">
            <v>600</v>
          </cell>
        </row>
        <row r="11">
          <cell r="A11">
            <v>244</v>
          </cell>
          <cell r="B11" t="str">
            <v>1110.03</v>
          </cell>
          <cell r="D11" t="str">
            <v>M.A.R. Sundry</v>
          </cell>
          <cell r="E11">
            <v>1594460.52</v>
          </cell>
          <cell r="F11">
            <v>0</v>
          </cell>
          <cell r="G11">
            <v>5066.2</v>
          </cell>
        </row>
        <row r="12">
          <cell r="A12">
            <v>245</v>
          </cell>
          <cell r="B12" t="str">
            <v>1110.03</v>
          </cell>
          <cell r="D12" t="str">
            <v>M.A.R. Work Order</v>
          </cell>
          <cell r="F12">
            <v>1744150.8</v>
          </cell>
          <cell r="G12">
            <v>1457247.81</v>
          </cell>
        </row>
        <row r="13">
          <cell r="A13" t="str">
            <v>253</v>
          </cell>
          <cell r="B13" t="str">
            <v>1110.06</v>
          </cell>
          <cell r="E13">
            <v>3872.39</v>
          </cell>
          <cell r="F13">
            <v>3872.39</v>
          </cell>
        </row>
        <row r="14">
          <cell r="A14">
            <v>339</v>
          </cell>
          <cell r="B14" t="str">
            <v>1110.10</v>
          </cell>
          <cell r="D14" t="str">
            <v>A/P Computer Purchase Plan</v>
          </cell>
          <cell r="E14">
            <v>1301.8</v>
          </cell>
          <cell r="F14">
            <v>1693.42</v>
          </cell>
          <cell r="G14">
            <v>11824.64</v>
          </cell>
        </row>
        <row r="15">
          <cell r="A15">
            <v>246</v>
          </cell>
          <cell r="B15" t="str">
            <v>1110.20</v>
          </cell>
          <cell r="D15" t="str">
            <v>M.A.R. G.S.T. Refund</v>
          </cell>
          <cell r="E15">
            <v>460034.48</v>
          </cell>
          <cell r="F15">
            <v>298409.25</v>
          </cell>
          <cell r="G15">
            <v>0</v>
          </cell>
        </row>
        <row r="16">
          <cell r="A16">
            <v>247</v>
          </cell>
          <cell r="B16" t="str">
            <v>1110.21</v>
          </cell>
          <cell r="D16" t="str">
            <v>M.A.R. Town of Richmond Hill</v>
          </cell>
          <cell r="E16">
            <v>-2653.9</v>
          </cell>
          <cell r="F16">
            <v>-2653.9</v>
          </cell>
          <cell r="G16">
            <v>0</v>
          </cell>
        </row>
        <row r="17">
          <cell r="A17">
            <v>248</v>
          </cell>
          <cell r="B17" t="str">
            <v>1110.22</v>
          </cell>
          <cell r="D17" t="str">
            <v>M.A.R. Mortgages</v>
          </cell>
          <cell r="E17">
            <v>8005.89</v>
          </cell>
          <cell r="F17">
            <v>228173.27</v>
          </cell>
          <cell r="G17">
            <v>0</v>
          </cell>
        </row>
        <row r="18">
          <cell r="B18" t="str">
            <v>1110.25</v>
          </cell>
          <cell r="D18" t="str">
            <v>A/R Acquisitions</v>
          </cell>
          <cell r="E18">
            <v>1966.66</v>
          </cell>
        </row>
        <row r="19">
          <cell r="B19" t="str">
            <v>1110.26</v>
          </cell>
          <cell r="D19" t="str">
            <v>A/R Amalgamation</v>
          </cell>
          <cell r="E19">
            <v>2250</v>
          </cell>
        </row>
        <row r="20">
          <cell r="D20" t="str">
            <v>sub-total</v>
          </cell>
          <cell r="E20">
            <v>2226619.17</v>
          </cell>
          <cell r="F20">
            <v>2274245.23</v>
          </cell>
          <cell r="G20">
            <v>1474138.65</v>
          </cell>
        </row>
        <row r="21">
          <cell r="A21">
            <v>242</v>
          </cell>
          <cell r="B21" t="str">
            <v>1121</v>
          </cell>
          <cell r="D21" t="str">
            <v>Year end Unbilled Revenue</v>
          </cell>
          <cell r="E21">
            <v>16915055.82</v>
          </cell>
          <cell r="F21">
            <v>12392559.91</v>
          </cell>
          <cell r="G21">
            <v>9796942.45</v>
          </cell>
        </row>
        <row r="22">
          <cell r="A22">
            <v>255</v>
          </cell>
          <cell r="B22" t="str">
            <v>1130.01</v>
          </cell>
          <cell r="D22" t="str">
            <v>Reserve for bad M.A.R.</v>
          </cell>
          <cell r="E22">
            <v>-70000</v>
          </cell>
          <cell r="F22">
            <v>-70000</v>
          </cell>
          <cell r="G22">
            <v>-70000</v>
          </cell>
        </row>
        <row r="23">
          <cell r="A23">
            <v>241</v>
          </cell>
          <cell r="B23" t="str">
            <v>1130.02</v>
          </cell>
          <cell r="D23" t="str">
            <v>Reserve for bad debts</v>
          </cell>
          <cell r="E23">
            <v>-270000</v>
          </cell>
          <cell r="F23">
            <v>-270000</v>
          </cell>
          <cell r="G23">
            <v>-270000</v>
          </cell>
        </row>
        <row r="24">
          <cell r="A24">
            <v>257</v>
          </cell>
          <cell r="B24" t="str">
            <v>1140</v>
          </cell>
          <cell r="D24" t="str">
            <v>Interest Receivable</v>
          </cell>
          <cell r="F24">
            <v>20721.23</v>
          </cell>
          <cell r="G24">
            <v>0</v>
          </cell>
        </row>
        <row r="25">
          <cell r="B25" t="str">
            <v>1205</v>
          </cell>
          <cell r="D25" t="str">
            <v>Inter-Company</v>
          </cell>
          <cell r="E25">
            <v>-2435.86</v>
          </cell>
          <cell r="F25">
            <v>-51.57</v>
          </cell>
        </row>
        <row r="26">
          <cell r="E26">
            <v>29675719.05</v>
          </cell>
          <cell r="F26">
            <v>23683021.02</v>
          </cell>
          <cell r="G26">
            <v>21880304.1</v>
          </cell>
        </row>
        <row r="28">
          <cell r="A28" t="str">
            <v>Less:</v>
          </cell>
        </row>
        <row r="29">
          <cell r="A29">
            <v>240</v>
          </cell>
          <cell r="B29" t="str">
            <v>1101.01</v>
          </cell>
          <cell r="D29" t="str">
            <v>Accounts Receivable - Energy</v>
          </cell>
          <cell r="E29">
            <v>-274269.02</v>
          </cell>
          <cell r="F29">
            <v>-174951.32</v>
          </cell>
          <cell r="G29">
            <v>-207222.6</v>
          </cell>
        </row>
        <row r="30">
          <cell r="A30">
            <v>245</v>
          </cell>
          <cell r="B30" t="str">
            <v>1110.03</v>
          </cell>
          <cell r="D30" t="str">
            <v>M.A.R. Work Order</v>
          </cell>
          <cell r="E30">
            <v>-1022193.2</v>
          </cell>
          <cell r="F30">
            <v>-1104008.2</v>
          </cell>
          <cell r="G30">
            <v>-861700.82</v>
          </cell>
        </row>
        <row r="31">
          <cell r="A31">
            <v>253</v>
          </cell>
          <cell r="B31" t="str">
            <v>1110.06</v>
          </cell>
          <cell r="D31" t="str">
            <v>MAR City Special</v>
          </cell>
          <cell r="F31">
            <v>0</v>
          </cell>
          <cell r="G31">
            <v>0</v>
          </cell>
        </row>
        <row r="32">
          <cell r="A32">
            <v>339</v>
          </cell>
          <cell r="B32" t="str">
            <v>1110.10</v>
          </cell>
          <cell r="D32" t="str">
            <v>A/P Computer Purchase Plan</v>
          </cell>
          <cell r="E32">
            <v>-1301.8</v>
          </cell>
          <cell r="F32">
            <v>-1693.42</v>
          </cell>
          <cell r="G32">
            <v>-11824.64</v>
          </cell>
        </row>
        <row r="33">
          <cell r="B33" t="str">
            <v>1205</v>
          </cell>
          <cell r="D33" t="str">
            <v>Inter-Company</v>
          </cell>
          <cell r="E33">
            <v>2435.86</v>
          </cell>
          <cell r="F33">
            <v>51.57</v>
          </cell>
          <cell r="G33">
            <v>0</v>
          </cell>
        </row>
        <row r="34">
          <cell r="E34">
            <v>28380390.89</v>
          </cell>
          <cell r="F34">
            <v>22402419.65</v>
          </cell>
          <cell r="G34">
            <v>20799556.04</v>
          </cell>
        </row>
        <row r="40">
          <cell r="A40" t="str">
            <v>Note:</v>
          </cell>
        </row>
      </sheetData>
      <sheetData sheetId="3">
        <row r="1">
          <cell r="A1" t="str">
            <v>Vaughan Hydro-Electric Commission</v>
          </cell>
        </row>
        <row r="2">
          <cell r="A2" t="str">
            <v>Due To/From City</v>
          </cell>
        </row>
        <row r="3">
          <cell r="A3" t="str">
            <v>@ December 31, 2000</v>
          </cell>
        </row>
        <row r="5">
          <cell r="A5" t="str">
            <v>G/L Run Date 28 Mar 01</v>
          </cell>
        </row>
        <row r="7">
          <cell r="A7" t="str">
            <v>Account</v>
          </cell>
          <cell r="D7" t="str">
            <v>Description</v>
          </cell>
          <cell r="E7">
            <v>2000</v>
          </cell>
          <cell r="F7">
            <v>1999</v>
          </cell>
          <cell r="G7">
            <v>1998</v>
          </cell>
        </row>
        <row r="8">
          <cell r="A8">
            <v>239</v>
          </cell>
          <cell r="D8" t="str">
            <v>General Service-Water Arrears</v>
          </cell>
          <cell r="E8">
            <v>0</v>
          </cell>
          <cell r="F8">
            <v>0</v>
          </cell>
          <cell r="G8">
            <v>0</v>
          </cell>
        </row>
        <row r="9">
          <cell r="A9">
            <v>240</v>
          </cell>
          <cell r="B9">
            <v>1101.01</v>
          </cell>
          <cell r="D9" t="str">
            <v>Accounts Receivable - Energy</v>
          </cell>
          <cell r="E9">
            <v>274269.02</v>
          </cell>
          <cell r="F9">
            <v>174951.32</v>
          </cell>
          <cell r="G9">
            <v>-207222.6</v>
          </cell>
        </row>
        <row r="10">
          <cell r="A10">
            <v>244</v>
          </cell>
          <cell r="B10">
            <v>1110.03</v>
          </cell>
          <cell r="D10" t="str">
            <v>M.A.R. Sundry</v>
          </cell>
          <cell r="E10">
            <v>1022193.2</v>
          </cell>
          <cell r="F10">
            <v>0</v>
          </cell>
          <cell r="G10">
            <v>5066.2</v>
          </cell>
        </row>
        <row r="11">
          <cell r="A11">
            <v>245</v>
          </cell>
          <cell r="B11">
            <v>1110.03</v>
          </cell>
          <cell r="D11" t="str">
            <v>M.A.R. Work Order</v>
          </cell>
          <cell r="E11">
            <v>0</v>
          </cell>
          <cell r="F11">
            <v>1104008.2</v>
          </cell>
          <cell r="G11">
            <v>1457247.81</v>
          </cell>
        </row>
        <row r="12">
          <cell r="A12">
            <v>249</v>
          </cell>
          <cell r="D12" t="str">
            <v>MAR City Misc. Construction</v>
          </cell>
          <cell r="E12">
            <v>0</v>
          </cell>
          <cell r="F12">
            <v>0</v>
          </cell>
          <cell r="G12">
            <v>0</v>
          </cell>
        </row>
        <row r="13">
          <cell r="A13">
            <v>250</v>
          </cell>
          <cell r="B13">
            <v>1110.06</v>
          </cell>
          <cell r="D13" t="str">
            <v>MAR City Street Light Capital</v>
          </cell>
          <cell r="E13">
            <v>0</v>
          </cell>
          <cell r="F13">
            <v>0</v>
          </cell>
          <cell r="G13">
            <v>0</v>
          </cell>
        </row>
        <row r="14">
          <cell r="A14">
            <v>251</v>
          </cell>
          <cell r="B14">
            <v>1110.06</v>
          </cell>
          <cell r="D14" t="str">
            <v>MAR City Street Light Mtce</v>
          </cell>
          <cell r="E14">
            <v>0</v>
          </cell>
          <cell r="F14">
            <v>0</v>
          </cell>
          <cell r="G14">
            <v>0</v>
          </cell>
        </row>
        <row r="15">
          <cell r="A15">
            <v>252</v>
          </cell>
          <cell r="B15">
            <v>1110.06</v>
          </cell>
          <cell r="D15" t="str">
            <v>MAR City Parks &amp; Recreation</v>
          </cell>
          <cell r="E15">
            <v>0</v>
          </cell>
          <cell r="F15">
            <v>0</v>
          </cell>
          <cell r="G15">
            <v>0</v>
          </cell>
        </row>
        <row r="16">
          <cell r="A16">
            <v>253</v>
          </cell>
          <cell r="B16" t="str">
            <v>1110.06</v>
          </cell>
          <cell r="D16" t="str">
            <v>MAR City Special</v>
          </cell>
          <cell r="E16">
            <v>0</v>
          </cell>
          <cell r="F16">
            <v>0</v>
          </cell>
          <cell r="G16">
            <v>0</v>
          </cell>
        </row>
        <row r="17">
          <cell r="B17" t="str">
            <v>1205</v>
          </cell>
          <cell r="D17" t="str">
            <v>Inter-Company </v>
          </cell>
          <cell r="E17">
            <v>-2435.86</v>
          </cell>
          <cell r="F17">
            <v>-51.57</v>
          </cell>
          <cell r="G17">
            <v>0</v>
          </cell>
        </row>
        <row r="18">
          <cell r="A18">
            <v>320</v>
          </cell>
          <cell r="B18" t="str">
            <v>2203.01</v>
          </cell>
          <cell r="D18" t="str">
            <v>City of Vaughan Invoices</v>
          </cell>
          <cell r="E18">
            <v>-1847314.6</v>
          </cell>
          <cell r="F18">
            <v>-2754788.14</v>
          </cell>
          <cell r="G18">
            <v>0</v>
          </cell>
        </row>
        <row r="19">
          <cell r="A19">
            <v>325</v>
          </cell>
          <cell r="B19" t="str">
            <v>2221.01</v>
          </cell>
          <cell r="D19" t="str">
            <v>Debit - A/P Accrual-Joint Serv.</v>
          </cell>
          <cell r="E19">
            <v>0</v>
          </cell>
          <cell r="F19">
            <v>0</v>
          </cell>
          <cell r="G19">
            <v>0</v>
          </cell>
        </row>
        <row r="20">
          <cell r="A20">
            <v>325</v>
          </cell>
          <cell r="B20" t="str">
            <v>2221.01</v>
          </cell>
          <cell r="D20" t="str">
            <v>Credit - A/P Accrual-Joint Serv.</v>
          </cell>
          <cell r="E20">
            <v>0</v>
          </cell>
          <cell r="F20">
            <v>-1118390.36</v>
          </cell>
          <cell r="G20">
            <v>-282845.22</v>
          </cell>
        </row>
        <row r="21">
          <cell r="A21">
            <v>325</v>
          </cell>
          <cell r="B21" t="str">
            <v>2221.01</v>
          </cell>
          <cell r="D21" t="str">
            <v>City of Vaughan Invoices</v>
          </cell>
          <cell r="E21">
            <v>-1301793.92</v>
          </cell>
          <cell r="F21">
            <v>-2904415.31</v>
          </cell>
          <cell r="G21">
            <v>-5850449.36</v>
          </cell>
        </row>
        <row r="22">
          <cell r="A22">
            <v>325</v>
          </cell>
          <cell r="B22" t="str">
            <v>2221.01</v>
          </cell>
          <cell r="D22" t="str">
            <v>Joint Operations Centre</v>
          </cell>
          <cell r="E22">
            <v>0</v>
          </cell>
          <cell r="F22">
            <v>-57239.22</v>
          </cell>
          <cell r="G22">
            <v>-122841.77</v>
          </cell>
        </row>
        <row r="23">
          <cell r="B23">
            <v>2221.04</v>
          </cell>
          <cell r="D23" t="str">
            <v>Credit - A/P Accrual-Joint Serv.</v>
          </cell>
          <cell r="E23">
            <v>-2117949.38</v>
          </cell>
          <cell r="F23">
            <v>4080044.89</v>
          </cell>
          <cell r="G23">
            <v>6133294.58</v>
          </cell>
        </row>
        <row r="24">
          <cell r="B24" t="str">
            <v>2294.12</v>
          </cell>
          <cell r="D24" t="str">
            <v>City Memberships</v>
          </cell>
          <cell r="E24">
            <v>-56.24</v>
          </cell>
          <cell r="F24">
            <v>203.35</v>
          </cell>
          <cell r="G24">
            <v>0</v>
          </cell>
        </row>
        <row r="25">
          <cell r="A25">
            <v>315</v>
          </cell>
          <cell r="B25" t="str">
            <v>2203.17</v>
          </cell>
          <cell r="D25" t="str">
            <v>A/P Water Revenue Payable</v>
          </cell>
          <cell r="E25">
            <v>-2297605.12</v>
          </cell>
          <cell r="F25">
            <v>-1027128.74</v>
          </cell>
          <cell r="G25">
            <v>0</v>
          </cell>
        </row>
        <row r="26">
          <cell r="A26">
            <v>316</v>
          </cell>
          <cell r="B26" t="str">
            <v>2203.18</v>
          </cell>
          <cell r="D26" t="str">
            <v>A/P Sewage Revenue Payable</v>
          </cell>
          <cell r="E26">
            <v>-1697122.55</v>
          </cell>
          <cell r="F26">
            <v>-741271.5</v>
          </cell>
          <cell r="G26">
            <v>0</v>
          </cell>
        </row>
        <row r="27">
          <cell r="A27">
            <v>317</v>
          </cell>
          <cell r="B27" t="str">
            <v>2203.19</v>
          </cell>
          <cell r="D27" t="str">
            <v>A/P Water/Sewage Late Pymts</v>
          </cell>
          <cell r="E27">
            <v>0</v>
          </cell>
          <cell r="F27">
            <v>0</v>
          </cell>
          <cell r="G27">
            <v>0</v>
          </cell>
        </row>
        <row r="28">
          <cell r="A28">
            <v>318</v>
          </cell>
          <cell r="B28" t="str">
            <v>2203.20</v>
          </cell>
          <cell r="D28" t="str">
            <v>Water/Sewer Uncollectable</v>
          </cell>
          <cell r="E28">
            <v>2761.84</v>
          </cell>
          <cell r="F28">
            <v>0</v>
          </cell>
          <cell r="G28">
            <v>0</v>
          </cell>
        </row>
        <row r="29">
          <cell r="A29">
            <v>319</v>
          </cell>
          <cell r="B29" t="str">
            <v>2203.19</v>
          </cell>
          <cell r="D29" t="str">
            <v>A/P C of V Dev. Charges (J.O.C.)</v>
          </cell>
          <cell r="E29">
            <v>9262726.4</v>
          </cell>
          <cell r="F29">
            <v>4775832.45</v>
          </cell>
          <cell r="G29">
            <v>777216.71</v>
          </cell>
        </row>
        <row r="30">
          <cell r="A30">
            <v>341</v>
          </cell>
          <cell r="B30" t="str">
            <v>2294.21</v>
          </cell>
          <cell r="D30" t="str">
            <v>A/P City of Vaughan</v>
          </cell>
          <cell r="E30">
            <v>0</v>
          </cell>
          <cell r="F30">
            <v>0</v>
          </cell>
          <cell r="G30">
            <v>0</v>
          </cell>
        </row>
        <row r="32">
          <cell r="E32">
            <v>1297672.79</v>
          </cell>
          <cell r="F32">
            <v>1531755.37</v>
          </cell>
          <cell r="G32">
            <v>1909466.35</v>
          </cell>
        </row>
        <row r="34">
          <cell r="A34" t="str">
            <v>Less:</v>
          </cell>
        </row>
        <row r="35">
          <cell r="D35" t="str">
            <v>Long-Term Debt - Due to City</v>
          </cell>
        </row>
        <row r="37">
          <cell r="A37">
            <v>319</v>
          </cell>
          <cell r="B37" t="str">
            <v>2203.19</v>
          </cell>
          <cell r="D37" t="str">
            <v>Joint Operations Centre</v>
          </cell>
        </row>
        <row r="38">
          <cell r="A38">
            <v>325</v>
          </cell>
          <cell r="B38" t="str">
            <v>2221.01</v>
          </cell>
          <cell r="D38" t="str">
            <v>Joint Operations Centre</v>
          </cell>
        </row>
        <row r="39">
          <cell r="E39">
            <v>0</v>
          </cell>
          <cell r="F39">
            <v>0</v>
          </cell>
          <cell r="G39">
            <v>0</v>
          </cell>
        </row>
        <row r="41">
          <cell r="E41">
            <v>1297672.79</v>
          </cell>
          <cell r="F41">
            <v>1531755.37</v>
          </cell>
          <cell r="G41">
            <v>1909466.35</v>
          </cell>
        </row>
        <row r="49">
          <cell r="A49" t="str">
            <v>Balance per City</v>
          </cell>
          <cell r="E49">
            <v>4764094.84</v>
          </cell>
        </row>
        <row r="51">
          <cell r="D51" t="str">
            <v>Tax Roll refunds</v>
          </cell>
          <cell r="E51">
            <v>168.43</v>
          </cell>
        </row>
        <row r="52">
          <cell r="D52" t="str">
            <v>Tax Roll refunds</v>
          </cell>
          <cell r="E52">
            <v>457</v>
          </cell>
        </row>
        <row r="53">
          <cell r="D53" t="str">
            <v>Tax Roll refunds</v>
          </cell>
          <cell r="E53">
            <v>210</v>
          </cell>
        </row>
        <row r="54">
          <cell r="D54" t="str">
            <v>Tax Roll refunds</v>
          </cell>
          <cell r="E54">
            <v>300.19</v>
          </cell>
        </row>
        <row r="55">
          <cell r="D55" t="str">
            <v>Final joc oper cost</v>
          </cell>
          <cell r="E55">
            <v>-9148.64</v>
          </cell>
        </row>
        <row r="56">
          <cell r="D56" t="str">
            <v>Q4 suite 304 oper expenses</v>
          </cell>
          <cell r="E56">
            <v>-1600.05</v>
          </cell>
        </row>
        <row r="57">
          <cell r="D57" t="str">
            <v>Dec/98 suite 304 rent</v>
          </cell>
          <cell r="E57">
            <v>-1862.6</v>
          </cell>
        </row>
        <row r="58">
          <cell r="D58" t="str">
            <v>Dec/98 joc oper cost</v>
          </cell>
          <cell r="E58">
            <v>-8514.25</v>
          </cell>
          <cell r="F58">
            <v>-21125.54</v>
          </cell>
        </row>
        <row r="59">
          <cell r="D59" t="str">
            <v>Miller Thompson legal bills</v>
          </cell>
          <cell r="E59">
            <v>16700.92</v>
          </cell>
        </row>
        <row r="60">
          <cell r="E60">
            <v>-4319.66</v>
          </cell>
        </row>
        <row r="61">
          <cell r="E61">
            <v>-347.62</v>
          </cell>
        </row>
        <row r="62">
          <cell r="E62">
            <v>-1283.98</v>
          </cell>
        </row>
        <row r="63">
          <cell r="E63">
            <v>-6190.68</v>
          </cell>
        </row>
        <row r="64">
          <cell r="E64">
            <v>-28</v>
          </cell>
        </row>
        <row r="65">
          <cell r="D65" t="str">
            <v>Inv.8500</v>
          </cell>
          <cell r="E65">
            <v>7413.25</v>
          </cell>
        </row>
        <row r="66">
          <cell r="D66" t="str">
            <v>Inv. 108415</v>
          </cell>
          <cell r="E66">
            <v>-1601.34</v>
          </cell>
        </row>
        <row r="67">
          <cell r="D67" t="str">
            <v>Inv. 109857</v>
          </cell>
          <cell r="E67">
            <v>3413.89</v>
          </cell>
        </row>
        <row r="68">
          <cell r="D68" t="str">
            <v>10845A</v>
          </cell>
          <cell r="E68">
            <v>-2719.89</v>
          </cell>
        </row>
        <row r="69">
          <cell r="D69">
            <v>11051</v>
          </cell>
          <cell r="E69">
            <v>55355.81</v>
          </cell>
        </row>
        <row r="70">
          <cell r="D70">
            <v>11132</v>
          </cell>
          <cell r="E70">
            <v>2774.1</v>
          </cell>
        </row>
        <row r="71">
          <cell r="D71">
            <v>11169</v>
          </cell>
          <cell r="E71">
            <v>105.6</v>
          </cell>
        </row>
        <row r="72">
          <cell r="D72" t="str">
            <v>joint services per hydro</v>
          </cell>
          <cell r="E72">
            <v>769843.04</v>
          </cell>
          <cell r="F72">
            <v>377769.62</v>
          </cell>
        </row>
        <row r="73">
          <cell r="D73" t="str">
            <v>joint services per city (inv. 11234)</v>
          </cell>
          <cell r="E73">
            <v>-382535.25</v>
          </cell>
        </row>
        <row r="74">
          <cell r="D74" t="str">
            <v>joint services per city (inv. 11231)</v>
          </cell>
          <cell r="E74">
            <v>-9538.17</v>
          </cell>
        </row>
        <row r="75">
          <cell r="D75">
            <v>12101</v>
          </cell>
          <cell r="E75">
            <v>-44911.78</v>
          </cell>
        </row>
        <row r="76">
          <cell r="D76">
            <v>12221</v>
          </cell>
          <cell r="E76">
            <v>-3105.07</v>
          </cell>
        </row>
        <row r="77">
          <cell r="D77">
            <v>11230</v>
          </cell>
          <cell r="E77">
            <v>-4536.42</v>
          </cell>
        </row>
        <row r="78">
          <cell r="D78">
            <v>11228</v>
          </cell>
          <cell r="E78">
            <v>-240</v>
          </cell>
        </row>
        <row r="79">
          <cell r="D79">
            <v>11229</v>
          </cell>
          <cell r="E79">
            <v>-247.9</v>
          </cell>
        </row>
        <row r="80">
          <cell r="E80">
            <v>-3944.42</v>
          </cell>
        </row>
        <row r="81">
          <cell r="D81" t="str">
            <v>DC per city</v>
          </cell>
          <cell r="E81">
            <v>654374.94</v>
          </cell>
          <cell r="F81">
            <v>719211.31</v>
          </cell>
        </row>
        <row r="82">
          <cell r="D82" t="str">
            <v>DC per Hydro</v>
          </cell>
          <cell r="E82">
            <v>64836.37</v>
          </cell>
        </row>
        <row r="87">
          <cell r="D87" t="str">
            <v>Unreconciled</v>
          </cell>
          <cell r="F87">
            <v>-724165.13</v>
          </cell>
        </row>
        <row r="89">
          <cell r="A89" t="str">
            <v>Balance per Hydro</v>
          </cell>
          <cell r="E89">
            <v>5129207.53</v>
          </cell>
          <cell r="F89">
            <v>5129207.53</v>
          </cell>
        </row>
        <row r="90">
          <cell r="F90">
            <v>-64836.37</v>
          </cell>
        </row>
        <row r="91">
          <cell r="E91">
            <v>5853372.66</v>
          </cell>
          <cell r="F91">
            <v>-654374.94</v>
          </cell>
        </row>
        <row r="93">
          <cell r="F93">
            <v>4409996.22</v>
          </cell>
        </row>
        <row r="94">
          <cell r="F94">
            <v>377769.62</v>
          </cell>
        </row>
        <row r="95">
          <cell r="F95">
            <v>4787765.84</v>
          </cell>
        </row>
        <row r="97">
          <cell r="F97">
            <v>4764095.84</v>
          </cell>
        </row>
        <row r="98">
          <cell r="F98">
            <v>23670</v>
          </cell>
        </row>
        <row r="102">
          <cell r="E102" t="str">
            <v>City</v>
          </cell>
          <cell r="H102" t="str">
            <v>Hydro</v>
          </cell>
        </row>
        <row r="103">
          <cell r="E103">
            <v>4764095.84</v>
          </cell>
          <cell r="H103">
            <v>-5129207.53</v>
          </cell>
        </row>
        <row r="104">
          <cell r="D104" t="str">
            <v>Owing to us - Refund</v>
          </cell>
          <cell r="E104">
            <v>168.43</v>
          </cell>
          <cell r="H104">
            <v>-9148.64</v>
          </cell>
        </row>
        <row r="105">
          <cell r="D105" t="str">
            <v>Owing to us - Refund</v>
          </cell>
          <cell r="E105">
            <v>457</v>
          </cell>
          <cell r="H105">
            <v>-1600.05</v>
          </cell>
        </row>
        <row r="106">
          <cell r="D106" t="str">
            <v>Owing to us - Refund</v>
          </cell>
          <cell r="E106">
            <v>210</v>
          </cell>
          <cell r="H106">
            <v>-1862.6</v>
          </cell>
        </row>
        <row r="107">
          <cell r="D107" t="str">
            <v>Owing to us - Refund</v>
          </cell>
          <cell r="E107">
            <v>300.19</v>
          </cell>
          <cell r="H107">
            <v>-8514.25</v>
          </cell>
        </row>
        <row r="108">
          <cell r="H108">
            <v>-4319.66</v>
          </cell>
        </row>
        <row r="109">
          <cell r="D109" t="str">
            <v>Inv.8500</v>
          </cell>
          <cell r="E109">
            <v>-7413.25</v>
          </cell>
          <cell r="H109">
            <v>-347.62</v>
          </cell>
        </row>
        <row r="110">
          <cell r="D110" t="str">
            <v>Inv. 108415</v>
          </cell>
          <cell r="E110">
            <v>1601.34</v>
          </cell>
          <cell r="H110">
            <v>-1283.98</v>
          </cell>
        </row>
        <row r="111">
          <cell r="D111" t="str">
            <v>Inv. 109857</v>
          </cell>
          <cell r="E111">
            <v>-3413.89</v>
          </cell>
          <cell r="H111">
            <v>-6190.68</v>
          </cell>
        </row>
        <row r="112">
          <cell r="D112" t="str">
            <v>10845A</v>
          </cell>
          <cell r="E112">
            <v>2719.89</v>
          </cell>
          <cell r="H112">
            <v>-28</v>
          </cell>
        </row>
        <row r="113">
          <cell r="D113">
            <v>11051</v>
          </cell>
          <cell r="E113">
            <v>-55355.81</v>
          </cell>
          <cell r="H113">
            <v>44911.78</v>
          </cell>
        </row>
        <row r="114">
          <cell r="D114">
            <v>11132</v>
          </cell>
          <cell r="E114">
            <v>-2774.1</v>
          </cell>
          <cell r="H114">
            <v>3105.07</v>
          </cell>
        </row>
        <row r="115">
          <cell r="D115" t="str">
            <v>11169</v>
          </cell>
          <cell r="E115">
            <v>-105.6</v>
          </cell>
          <cell r="H115">
            <v>4536.42</v>
          </cell>
        </row>
        <row r="116">
          <cell r="H116">
            <v>240</v>
          </cell>
        </row>
        <row r="117">
          <cell r="D117" t="str">
            <v>Legal Bills</v>
          </cell>
          <cell r="E117">
            <v>16700.92</v>
          </cell>
          <cell r="H117">
            <v>247.9</v>
          </cell>
        </row>
        <row r="118">
          <cell r="H118">
            <v>3944.42</v>
          </cell>
        </row>
        <row r="119">
          <cell r="E119">
            <v>-377769.62</v>
          </cell>
        </row>
        <row r="120">
          <cell r="H120">
            <v>21125.54</v>
          </cell>
        </row>
        <row r="122">
          <cell r="H122">
            <v>28050.23</v>
          </cell>
        </row>
        <row r="123">
          <cell r="H123">
            <v>-5016.19</v>
          </cell>
        </row>
        <row r="124">
          <cell r="H124">
            <v>-658.93</v>
          </cell>
        </row>
        <row r="125">
          <cell r="H125">
            <v>3124.64</v>
          </cell>
        </row>
        <row r="126">
          <cell r="H126">
            <v>-99273.57</v>
          </cell>
        </row>
        <row r="127">
          <cell r="E127">
            <v>4339421.34</v>
          </cell>
          <cell r="H127">
            <v>-5158165.7</v>
          </cell>
        </row>
        <row r="128">
          <cell r="H128">
            <v>-818744.36</v>
          </cell>
        </row>
        <row r="131">
          <cell r="H131">
            <v>-11135075.76</v>
          </cell>
        </row>
        <row r="132">
          <cell r="E132">
            <v>697191.35</v>
          </cell>
          <cell r="H132">
            <v>-6795654.42</v>
          </cell>
        </row>
        <row r="133">
          <cell r="E133">
            <v>-207222.6</v>
          </cell>
        </row>
        <row r="135">
          <cell r="E135">
            <v>489968.75</v>
          </cell>
        </row>
        <row r="137">
          <cell r="E137">
            <v>27116.36</v>
          </cell>
          <cell r="F137">
            <v>27116.36</v>
          </cell>
        </row>
        <row r="138">
          <cell r="E138">
            <v>382535.25</v>
          </cell>
          <cell r="F138">
            <v>409651.61</v>
          </cell>
        </row>
        <row r="139">
          <cell r="E139">
            <v>48016.85</v>
          </cell>
          <cell r="F139">
            <v>457668.46</v>
          </cell>
        </row>
        <row r="140">
          <cell r="E140">
            <v>4536.42</v>
          </cell>
          <cell r="F140">
            <v>462204.88</v>
          </cell>
        </row>
        <row r="141">
          <cell r="E141">
            <v>14037.74</v>
          </cell>
          <cell r="F141">
            <v>476242.62</v>
          </cell>
        </row>
        <row r="142">
          <cell r="E142">
            <v>242.9</v>
          </cell>
          <cell r="F142">
            <v>476485.52</v>
          </cell>
        </row>
        <row r="143">
          <cell r="E143">
            <v>9538.17</v>
          </cell>
          <cell r="F143">
            <v>486023.69</v>
          </cell>
        </row>
        <row r="144">
          <cell r="E144">
            <v>3944.42</v>
          </cell>
          <cell r="F144">
            <v>489968.11</v>
          </cell>
        </row>
        <row r="145">
          <cell r="F145">
            <v>-0.640000000072177</v>
          </cell>
        </row>
        <row r="146">
          <cell r="H146">
            <v>753648.51</v>
          </cell>
        </row>
        <row r="147">
          <cell r="H147">
            <v>-654374.94</v>
          </cell>
        </row>
        <row r="148">
          <cell r="H148">
            <v>99273.5700000001</v>
          </cell>
        </row>
        <row r="150">
          <cell r="H150">
            <v>4583727.54</v>
          </cell>
        </row>
        <row r="151">
          <cell r="H151">
            <v>1549567.04</v>
          </cell>
        </row>
        <row r="152">
          <cell r="H152">
            <v>6133294.58</v>
          </cell>
        </row>
        <row r="154">
          <cell r="H154">
            <v>5454013.72</v>
          </cell>
        </row>
      </sheetData>
      <sheetData sheetId="4">
        <row r="11">
          <cell r="A11">
            <v>264</v>
          </cell>
          <cell r="B11" t="str">
            <v>1330.10</v>
          </cell>
          <cell r="D11" t="str">
            <v>Meter Re-Verification</v>
          </cell>
          <cell r="F11">
            <v>-12569.57</v>
          </cell>
          <cell r="G11">
            <v>-12569.57</v>
          </cell>
        </row>
        <row r="12">
          <cell r="A12">
            <v>265</v>
          </cell>
          <cell r="B12" t="str">
            <v>1330.11</v>
          </cell>
          <cell r="D12" t="str">
            <v>Provision slow moving inv</v>
          </cell>
          <cell r="E12">
            <v>-150000</v>
          </cell>
          <cell r="F12">
            <v>-150000</v>
          </cell>
          <cell r="G12">
            <v>-150000</v>
          </cell>
        </row>
        <row r="13">
          <cell r="A13">
            <v>5000</v>
          </cell>
          <cell r="B13">
            <v>1330.185</v>
          </cell>
          <cell r="E13">
            <v>-2430254.18</v>
          </cell>
          <cell r="F13">
            <v>0</v>
          </cell>
          <cell r="G13">
            <v>0</v>
          </cell>
        </row>
        <row r="14">
          <cell r="A14">
            <v>5000</v>
          </cell>
          <cell r="B14">
            <v>1330.186</v>
          </cell>
          <cell r="E14">
            <v>-298299.03</v>
          </cell>
          <cell r="F14">
            <v>0</v>
          </cell>
          <cell r="G14">
            <v>0</v>
          </cell>
        </row>
        <row r="15">
          <cell r="B15" t="str">
            <v>1330</v>
          </cell>
          <cell r="D15" t="str">
            <v>sub-total</v>
          </cell>
          <cell r="E15">
            <v>1605121.97</v>
          </cell>
          <cell r="F15">
            <v>5460217.48</v>
          </cell>
          <cell r="G15">
            <v>4047491.57</v>
          </cell>
        </row>
        <row r="16">
          <cell r="A16">
            <v>261</v>
          </cell>
          <cell r="B16" t="str">
            <v>1335.01</v>
          </cell>
          <cell r="D16" t="str">
            <v>Inventory - Obsolete</v>
          </cell>
          <cell r="E16">
            <v>0</v>
          </cell>
          <cell r="F16">
            <v>-2082.06</v>
          </cell>
          <cell r="G16">
            <v>-1984.02</v>
          </cell>
        </row>
        <row r="17">
          <cell r="D17" t="str">
            <v>Total</v>
          </cell>
          <cell r="E17">
            <v>1605121.97</v>
          </cell>
          <cell r="F17">
            <v>5458135.42</v>
          </cell>
          <cell r="G17">
            <v>4045507.55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7.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8.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Index"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
  <sheetViews>
    <sheetView workbookViewId="0" topLeftCell="A1">
      <selection activeCell="A4" sqref="A4"/>
    </sheetView>
  </sheetViews>
  <sheetFormatPr defaultColWidth="9.140625" defaultRowHeight="15"/>
  <sheetData>
    <row r="1" spans="1:10" ht="18">
      <c r="A1" s="918" t="s">
        <v>662</v>
      </c>
      <c r="B1" s="918"/>
      <c r="C1" s="918"/>
      <c r="D1" s="918"/>
      <c r="E1" s="918"/>
      <c r="F1" s="918"/>
      <c r="G1" s="918"/>
      <c r="H1" s="918"/>
      <c r="I1" s="918"/>
      <c r="J1" s="918"/>
    </row>
    <row r="2" spans="1:10" ht="18">
      <c r="A2" s="918" t="s">
        <v>663</v>
      </c>
      <c r="B2" s="918"/>
      <c r="C2" s="918"/>
      <c r="D2" s="918"/>
      <c r="E2" s="918"/>
      <c r="F2" s="918"/>
      <c r="G2" s="918"/>
      <c r="H2" s="918"/>
      <c r="I2" s="918"/>
      <c r="J2" s="918"/>
    </row>
    <row r="4" ht="15">
      <c r="A4" t="s">
        <v>664</v>
      </c>
    </row>
  </sheetData>
  <mergeCells count="2">
    <mergeCell ref="A1:J1"/>
    <mergeCell ref="A2:J2"/>
  </mergeCells>
  <printOptions/>
  <pageMargins left="0.75" right="0.75" top="1" bottom="1" header="0.5" footer="0.5"/>
  <pageSetup fitToHeight="1" fitToWidth="1" horizontalDpi="600" verticalDpi="600" orientation="portrait" scale="97" r:id="rId1"/>
</worksheet>
</file>

<file path=xl/worksheets/sheet10.xml><?xml version="1.0" encoding="utf-8"?>
<worksheet xmlns="http://schemas.openxmlformats.org/spreadsheetml/2006/main" xmlns:r="http://schemas.openxmlformats.org/officeDocument/2006/relationships">
  <sheetPr>
    <pageSetUpPr fitToPage="1"/>
  </sheetPr>
  <dimension ref="B1:K136"/>
  <sheetViews>
    <sheetView showGridLines="0" zoomScalePageLayoutView="0" workbookViewId="0" topLeftCell="C47">
      <selection activeCell="E122" sqref="E122"/>
    </sheetView>
  </sheetViews>
  <sheetFormatPr defaultColWidth="9.140625" defaultRowHeight="15" outlineLevelRow="1"/>
  <cols>
    <col min="1" max="1" width="2.7109375" style="1" customWidth="1"/>
    <col min="2" max="2" width="9.140625" style="1" customWidth="1"/>
    <col min="3" max="3" width="67.140625" style="1" customWidth="1"/>
    <col min="4" max="4" width="13.57421875" style="1" customWidth="1"/>
    <col min="5" max="5" width="13.8515625" style="1" customWidth="1"/>
    <col min="6" max="11" width="12.7109375" style="1" customWidth="1"/>
    <col min="12" max="16384" width="9.140625" style="1" customWidth="1"/>
  </cols>
  <sheetData>
    <row r="1" spans="10:11" ht="12.75">
      <c r="J1" s="2" t="s">
        <v>10</v>
      </c>
      <c r="K1" s="3" t="s">
        <v>11</v>
      </c>
    </row>
    <row r="2" spans="10:11" ht="12.75">
      <c r="J2" s="2" t="s">
        <v>12</v>
      </c>
      <c r="K2" s="3" t="s">
        <v>13</v>
      </c>
    </row>
    <row r="3" spans="10:11" ht="12.75">
      <c r="J3" s="2" t="s">
        <v>14</v>
      </c>
      <c r="K3" s="5" t="s">
        <v>15</v>
      </c>
    </row>
    <row r="4" spans="10:11" ht="12.75">
      <c r="J4" s="2" t="s">
        <v>16</v>
      </c>
      <c r="K4" s="3"/>
    </row>
    <row r="5" spans="10:11" ht="12.75">
      <c r="J5" s="2" t="s">
        <v>18</v>
      </c>
      <c r="K5" s="3"/>
    </row>
    <row r="6" ht="12.75">
      <c r="J6" s="2"/>
    </row>
    <row r="7" spans="10:11" ht="12.75">
      <c r="J7" s="2" t="s">
        <v>19</v>
      </c>
      <c r="K7" s="6">
        <v>41026</v>
      </c>
    </row>
    <row r="9" spans="2:11" ht="18">
      <c r="B9" s="919" t="s">
        <v>346</v>
      </c>
      <c r="C9" s="919"/>
      <c r="D9" s="919"/>
      <c r="E9" s="919"/>
      <c r="F9" s="919"/>
      <c r="G9" s="919"/>
      <c r="H9" s="919"/>
      <c r="I9" s="919"/>
      <c r="J9" s="919"/>
      <c r="K9" s="919"/>
    </row>
    <row r="10" spans="2:11" ht="18">
      <c r="B10" s="919" t="s">
        <v>347</v>
      </c>
      <c r="C10" s="919"/>
      <c r="D10" s="919"/>
      <c r="E10" s="919"/>
      <c r="F10" s="919"/>
      <c r="G10" s="919"/>
      <c r="H10" s="919"/>
      <c r="I10" s="919"/>
      <c r="J10" s="919"/>
      <c r="K10" s="919"/>
    </row>
    <row r="11" spans="2:11" ht="15.75">
      <c r="B11" s="899" t="s">
        <v>144</v>
      </c>
      <c r="C11" s="899"/>
      <c r="D11" s="899"/>
      <c r="E11" s="899"/>
      <c r="F11" s="899"/>
      <c r="G11" s="899"/>
      <c r="H11" s="899"/>
      <c r="I11" s="899"/>
      <c r="J11" s="899"/>
      <c r="K11" s="899"/>
    </row>
    <row r="13" ht="13.5" thickBot="1"/>
    <row r="14" spans="2:11" ht="53.25" customHeight="1">
      <c r="B14" s="959" t="s">
        <v>145</v>
      </c>
      <c r="C14" s="959" t="s">
        <v>146</v>
      </c>
      <c r="D14" s="961" t="s">
        <v>348</v>
      </c>
      <c r="E14" s="961" t="s">
        <v>349</v>
      </c>
      <c r="F14" s="961" t="s">
        <v>350</v>
      </c>
      <c r="G14" s="961" t="s">
        <v>351</v>
      </c>
      <c r="H14" s="955" t="s">
        <v>352</v>
      </c>
      <c r="I14" s="956"/>
      <c r="J14" s="955" t="s">
        <v>353</v>
      </c>
      <c r="K14" s="956"/>
    </row>
    <row r="15" spans="2:11" ht="27.75" customHeight="1" thickBot="1">
      <c r="B15" s="960"/>
      <c r="C15" s="960"/>
      <c r="D15" s="962"/>
      <c r="E15" s="962"/>
      <c r="F15" s="962"/>
      <c r="G15" s="962"/>
      <c r="H15" s="311" t="s">
        <v>354</v>
      </c>
      <c r="I15" s="311" t="s">
        <v>355</v>
      </c>
      <c r="J15" s="312" t="s">
        <v>354</v>
      </c>
      <c r="K15" s="313" t="s">
        <v>355</v>
      </c>
    </row>
    <row r="16" spans="2:11" ht="12.75">
      <c r="B16" s="957" t="s">
        <v>30</v>
      </c>
      <c r="C16" s="958"/>
      <c r="D16" s="958"/>
      <c r="E16" s="958"/>
      <c r="F16" s="958"/>
      <c r="G16" s="958"/>
      <c r="H16" s="908"/>
      <c r="I16" s="908"/>
      <c r="J16" s="908"/>
      <c r="K16" s="903"/>
    </row>
    <row r="17" spans="2:11" ht="12.75">
      <c r="B17" s="167">
        <v>5005</v>
      </c>
      <c r="C17" s="168" t="s">
        <v>153</v>
      </c>
      <c r="D17" s="314">
        <v>1017428</v>
      </c>
      <c r="E17" s="314">
        <v>0</v>
      </c>
      <c r="F17" s="314">
        <v>7769885.160000005</v>
      </c>
      <c r="G17" s="314">
        <v>8609801.75140255</v>
      </c>
      <c r="H17" s="315">
        <f>G17-E17</f>
        <v>8609801.75140255</v>
      </c>
      <c r="I17" s="316">
        <f>IF(E17=0,"",(G17/E17)-1)</f>
      </c>
      <c r="J17" s="315">
        <f>G17-F17</f>
        <v>839916.5914025446</v>
      </c>
      <c r="K17" s="317">
        <f>IF(F17=0,"",(G17/F17)-1)</f>
        <v>0.1080989711053264</v>
      </c>
    </row>
    <row r="18" spans="2:11" ht="12.75">
      <c r="B18" s="170">
        <v>5010</v>
      </c>
      <c r="C18" s="171" t="s">
        <v>154</v>
      </c>
      <c r="D18" s="314">
        <v>208745</v>
      </c>
      <c r="E18" s="314">
        <v>2495563.7067</v>
      </c>
      <c r="F18" s="314">
        <v>3279022.68</v>
      </c>
      <c r="G18" s="314">
        <v>3243716.541499996</v>
      </c>
      <c r="H18" s="318">
        <f aca="true" t="shared" si="0" ref="H18:H40">G18-E18</f>
        <v>748152.8347999961</v>
      </c>
      <c r="I18" s="316">
        <f aca="true" t="shared" si="1" ref="I18:I40">IF(E18=0,"",(G18/E18)-1)</f>
        <v>0.2997931220074175</v>
      </c>
      <c r="J18" s="318">
        <f aca="true" t="shared" si="2" ref="J18:J40">G18-F18</f>
        <v>-35306.138500004075</v>
      </c>
      <c r="K18" s="319">
        <f aca="true" t="shared" si="3" ref="K18:K40">IF(F18=0,"",(G18/F18)-1)</f>
        <v>-0.010767274869841414</v>
      </c>
    </row>
    <row r="19" spans="2:11" ht="12.75">
      <c r="B19" s="172">
        <v>5012</v>
      </c>
      <c r="C19" s="173" t="s">
        <v>155</v>
      </c>
      <c r="D19" s="314">
        <v>189285</v>
      </c>
      <c r="E19" s="314">
        <v>292237.6</v>
      </c>
      <c r="F19" s="314">
        <v>110183.79</v>
      </c>
      <c r="G19" s="314">
        <v>0</v>
      </c>
      <c r="H19" s="320">
        <f t="shared" si="0"/>
        <v>-292237.6</v>
      </c>
      <c r="I19" s="321">
        <f t="shared" si="1"/>
        <v>-1</v>
      </c>
      <c r="J19" s="320">
        <f t="shared" si="2"/>
        <v>-110183.79</v>
      </c>
      <c r="K19" s="322">
        <f t="shared" si="3"/>
        <v>-1</v>
      </c>
    </row>
    <row r="20" spans="2:11" ht="12.75">
      <c r="B20" s="170">
        <v>5014</v>
      </c>
      <c r="C20" s="171" t="s">
        <v>156</v>
      </c>
      <c r="D20" s="314">
        <v>0</v>
      </c>
      <c r="E20" s="314">
        <v>527297.2266666673</v>
      </c>
      <c r="F20" s="314">
        <v>308720.36</v>
      </c>
      <c r="G20" s="314">
        <v>423291.10103146284</v>
      </c>
      <c r="H20" s="318">
        <f t="shared" si="0"/>
        <v>-104006.12563520443</v>
      </c>
      <c r="I20" s="316">
        <f t="shared" si="1"/>
        <v>-0.19724383208438956</v>
      </c>
      <c r="J20" s="318">
        <f t="shared" si="2"/>
        <v>114570.74103146285</v>
      </c>
      <c r="K20" s="319">
        <f t="shared" si="3"/>
        <v>0.3711149502140476</v>
      </c>
    </row>
    <row r="21" spans="2:11" ht="12.75">
      <c r="B21" s="170">
        <v>5015</v>
      </c>
      <c r="C21" s="171" t="s">
        <v>157</v>
      </c>
      <c r="D21" s="314">
        <v>0</v>
      </c>
      <c r="E21" s="314">
        <v>94735</v>
      </c>
      <c r="F21" s="314">
        <v>404</v>
      </c>
      <c r="G21" s="314">
        <v>97487</v>
      </c>
      <c r="H21" s="318">
        <f t="shared" si="0"/>
        <v>2752</v>
      </c>
      <c r="I21" s="316">
        <f t="shared" si="1"/>
        <v>0.029049453739378173</v>
      </c>
      <c r="J21" s="318">
        <f t="shared" si="2"/>
        <v>97083</v>
      </c>
      <c r="K21" s="319">
        <f t="shared" si="3"/>
        <v>240.30445544554456</v>
      </c>
    </row>
    <row r="22" spans="2:11" ht="12.75">
      <c r="B22" s="170">
        <v>5016</v>
      </c>
      <c r="C22" s="171" t="s">
        <v>158</v>
      </c>
      <c r="D22" s="314">
        <v>146609</v>
      </c>
      <c r="E22" s="314">
        <v>237539.76483060076</v>
      </c>
      <c r="F22" s="314">
        <v>1196539.4000000004</v>
      </c>
      <c r="G22" s="314">
        <v>1590178.8449075134</v>
      </c>
      <c r="H22" s="318">
        <f t="shared" si="0"/>
        <v>1352639.0800769127</v>
      </c>
      <c r="I22" s="316">
        <f t="shared" si="1"/>
        <v>5.694369029292988</v>
      </c>
      <c r="J22" s="318">
        <f t="shared" si="2"/>
        <v>393639.444907513</v>
      </c>
      <c r="K22" s="319">
        <f t="shared" si="3"/>
        <v>0.3289815988570981</v>
      </c>
    </row>
    <row r="23" spans="2:11" ht="12.75">
      <c r="B23" s="170">
        <v>5017</v>
      </c>
      <c r="C23" s="171" t="s">
        <v>159</v>
      </c>
      <c r="D23" s="314">
        <v>153186</v>
      </c>
      <c r="E23" s="314">
        <v>111428</v>
      </c>
      <c r="F23" s="314">
        <v>55394.32</v>
      </c>
      <c r="G23" s="314">
        <v>296096</v>
      </c>
      <c r="H23" s="318">
        <f t="shared" si="0"/>
        <v>184668</v>
      </c>
      <c r="I23" s="316">
        <f t="shared" si="1"/>
        <v>1.657285421976523</v>
      </c>
      <c r="J23" s="318">
        <f t="shared" si="2"/>
        <v>240701.68</v>
      </c>
      <c r="K23" s="319">
        <f t="shared" si="3"/>
        <v>4.345241172741177</v>
      </c>
    </row>
    <row r="24" spans="2:11" ht="12.75">
      <c r="B24" s="170">
        <v>5020</v>
      </c>
      <c r="C24" s="171" t="s">
        <v>160</v>
      </c>
      <c r="D24" s="314">
        <v>201259</v>
      </c>
      <c r="E24" s="314">
        <v>496263.2325245905</v>
      </c>
      <c r="F24" s="314">
        <v>815592.5800000001</v>
      </c>
      <c r="G24" s="314">
        <v>795256.34522121</v>
      </c>
      <c r="H24" s="318">
        <f t="shared" si="0"/>
        <v>298993.11269661953</v>
      </c>
      <c r="I24" s="316">
        <f t="shared" si="1"/>
        <v>0.6024889476006143</v>
      </c>
      <c r="J24" s="318">
        <f t="shared" si="2"/>
        <v>-20336.234778790036</v>
      </c>
      <c r="K24" s="319">
        <f t="shared" si="3"/>
        <v>-0.024934305776531218</v>
      </c>
    </row>
    <row r="25" spans="2:11" ht="12.75">
      <c r="B25" s="170">
        <v>5025</v>
      </c>
      <c r="C25" s="171" t="s">
        <v>161</v>
      </c>
      <c r="D25" s="314">
        <v>133488</v>
      </c>
      <c r="E25" s="314">
        <v>688772</v>
      </c>
      <c r="F25" s="314">
        <v>418878.55000000005</v>
      </c>
      <c r="G25" s="314">
        <v>0</v>
      </c>
      <c r="H25" s="318">
        <f t="shared" si="0"/>
        <v>-688772</v>
      </c>
      <c r="I25" s="316">
        <f t="shared" si="1"/>
        <v>-1</v>
      </c>
      <c r="J25" s="318">
        <f t="shared" si="2"/>
        <v>-418878.55000000005</v>
      </c>
      <c r="K25" s="319">
        <f t="shared" si="3"/>
        <v>-1</v>
      </c>
    </row>
    <row r="26" spans="2:11" ht="12.75">
      <c r="B26" s="170">
        <v>5030</v>
      </c>
      <c r="C26" s="171" t="s">
        <v>162</v>
      </c>
      <c r="D26" s="314">
        <v>102858</v>
      </c>
      <c r="E26" s="314">
        <v>0</v>
      </c>
      <c r="F26" s="314">
        <v>-371.44000000000005</v>
      </c>
      <c r="G26" s="314">
        <v>0</v>
      </c>
      <c r="H26" s="318">
        <f t="shared" si="0"/>
        <v>0</v>
      </c>
      <c r="I26" s="316">
        <f t="shared" si="1"/>
      </c>
      <c r="J26" s="318">
        <f t="shared" si="2"/>
        <v>371.44000000000005</v>
      </c>
      <c r="K26" s="319">
        <f t="shared" si="3"/>
        <v>-1</v>
      </c>
    </row>
    <row r="27" spans="2:11" ht="12.75">
      <c r="B27" s="170">
        <v>5035</v>
      </c>
      <c r="C27" s="171" t="s">
        <v>163</v>
      </c>
      <c r="D27" s="314">
        <v>326</v>
      </c>
      <c r="E27" s="314">
        <v>46919.13770491804</v>
      </c>
      <c r="F27" s="314">
        <v>36132.47</v>
      </c>
      <c r="G27" s="314">
        <v>1492466.43566691</v>
      </c>
      <c r="H27" s="318">
        <f t="shared" si="0"/>
        <v>1445547.297961992</v>
      </c>
      <c r="I27" s="316">
        <f t="shared" si="1"/>
        <v>30.80933215468004</v>
      </c>
      <c r="J27" s="318">
        <f t="shared" si="2"/>
        <v>1456333.96566691</v>
      </c>
      <c r="K27" s="319">
        <f t="shared" si="3"/>
        <v>40.305408560967734</v>
      </c>
    </row>
    <row r="28" spans="2:11" ht="12.75">
      <c r="B28" s="170">
        <v>5040</v>
      </c>
      <c r="C28" s="171" t="s">
        <v>164</v>
      </c>
      <c r="D28" s="314">
        <v>81273</v>
      </c>
      <c r="E28" s="314">
        <v>153787.02688524604</v>
      </c>
      <c r="F28" s="314">
        <v>420749.11000000016</v>
      </c>
      <c r="G28" s="314">
        <v>498301.91245912475</v>
      </c>
      <c r="H28" s="318">
        <f t="shared" si="0"/>
        <v>344514.8855738787</v>
      </c>
      <c r="I28" s="316">
        <f t="shared" si="1"/>
        <v>2.240207724614843</v>
      </c>
      <c r="J28" s="318">
        <f t="shared" si="2"/>
        <v>77552.80245912459</v>
      </c>
      <c r="K28" s="319">
        <f t="shared" si="3"/>
        <v>0.18432077600621555</v>
      </c>
    </row>
    <row r="29" spans="2:11" ht="12.75">
      <c r="B29" s="170">
        <v>5045</v>
      </c>
      <c r="C29" s="171" t="s">
        <v>165</v>
      </c>
      <c r="D29" s="314">
        <v>45309</v>
      </c>
      <c r="E29" s="314">
        <v>437979</v>
      </c>
      <c r="F29" s="314">
        <v>426031.13999999996</v>
      </c>
      <c r="G29" s="314">
        <v>705151.2652340222</v>
      </c>
      <c r="H29" s="318">
        <f t="shared" si="0"/>
        <v>267172.26523402217</v>
      </c>
      <c r="I29" s="316">
        <f t="shared" si="1"/>
        <v>0.6100115878478698</v>
      </c>
      <c r="J29" s="318">
        <f t="shared" si="2"/>
        <v>279120.1252340222</v>
      </c>
      <c r="K29" s="319">
        <f t="shared" si="3"/>
        <v>0.6551636700406975</v>
      </c>
    </row>
    <row r="30" spans="2:11" ht="12.75">
      <c r="B30" s="170">
        <v>5050</v>
      </c>
      <c r="C30" s="171" t="s">
        <v>166</v>
      </c>
      <c r="D30" s="314">
        <v>0</v>
      </c>
      <c r="E30" s="314">
        <v>0</v>
      </c>
      <c r="F30" s="314">
        <v>0</v>
      </c>
      <c r="G30" s="314">
        <v>0</v>
      </c>
      <c r="H30" s="318">
        <f t="shared" si="0"/>
        <v>0</v>
      </c>
      <c r="I30" s="316">
        <f t="shared" si="1"/>
      </c>
      <c r="J30" s="318">
        <f t="shared" si="2"/>
        <v>0</v>
      </c>
      <c r="K30" s="319">
        <f t="shared" si="3"/>
      </c>
    </row>
    <row r="31" spans="2:11" ht="12.75">
      <c r="B31" s="170">
        <v>5055</v>
      </c>
      <c r="C31" s="171" t="s">
        <v>167</v>
      </c>
      <c r="D31" s="314">
        <v>5136</v>
      </c>
      <c r="E31" s="314">
        <v>182748.80983606566</v>
      </c>
      <c r="F31" s="314">
        <v>49766.96</v>
      </c>
      <c r="G31" s="314">
        <v>237913.84449406652</v>
      </c>
      <c r="H31" s="318">
        <f t="shared" si="0"/>
        <v>55165.03465800086</v>
      </c>
      <c r="I31" s="316">
        <f t="shared" si="1"/>
        <v>0.30186262065119074</v>
      </c>
      <c r="J31" s="318">
        <f t="shared" si="2"/>
        <v>188146.88449406653</v>
      </c>
      <c r="K31" s="319">
        <f t="shared" si="3"/>
        <v>3.7805581151443954</v>
      </c>
    </row>
    <row r="32" spans="2:11" ht="12.75">
      <c r="B32" s="170">
        <v>5060</v>
      </c>
      <c r="C32" s="171" t="s">
        <v>168</v>
      </c>
      <c r="D32" s="314">
        <v>0</v>
      </c>
      <c r="E32" s="314">
        <v>0</v>
      </c>
      <c r="F32" s="314">
        <v>0</v>
      </c>
      <c r="G32" s="314">
        <v>0</v>
      </c>
      <c r="H32" s="318">
        <f t="shared" si="0"/>
        <v>0</v>
      </c>
      <c r="I32" s="316">
        <f t="shared" si="1"/>
      </c>
      <c r="J32" s="318">
        <f t="shared" si="2"/>
        <v>0</v>
      </c>
      <c r="K32" s="319">
        <f t="shared" si="3"/>
      </c>
    </row>
    <row r="33" spans="2:11" ht="12.75">
      <c r="B33" s="172">
        <v>5065</v>
      </c>
      <c r="C33" s="173" t="s">
        <v>169</v>
      </c>
      <c r="D33" s="314">
        <v>319349</v>
      </c>
      <c r="E33" s="314">
        <v>1305361.5285714287</v>
      </c>
      <c r="F33" s="314">
        <v>1654649.6099999999</v>
      </c>
      <c r="G33" s="314">
        <v>3385695.314976343</v>
      </c>
      <c r="H33" s="320">
        <f t="shared" si="0"/>
        <v>2080333.7864049142</v>
      </c>
      <c r="I33" s="321">
        <f t="shared" si="1"/>
        <v>1.593684003144788</v>
      </c>
      <c r="J33" s="320">
        <f t="shared" si="2"/>
        <v>1731045.704976343</v>
      </c>
      <c r="K33" s="322">
        <f t="shared" si="3"/>
        <v>1.0461705575093587</v>
      </c>
    </row>
    <row r="34" spans="2:11" ht="12.75">
      <c r="B34" s="170">
        <v>5070</v>
      </c>
      <c r="C34" s="171" t="s">
        <v>170</v>
      </c>
      <c r="D34" s="314">
        <v>0</v>
      </c>
      <c r="E34" s="314">
        <v>1449086.7089086655</v>
      </c>
      <c r="F34" s="314">
        <v>1321511.24</v>
      </c>
      <c r="G34" s="314">
        <v>1431430.699612731</v>
      </c>
      <c r="H34" s="318">
        <f t="shared" si="0"/>
        <v>-17656.009295934346</v>
      </c>
      <c r="I34" s="316">
        <f t="shared" si="1"/>
        <v>-0.012184232446125653</v>
      </c>
      <c r="J34" s="318">
        <f t="shared" si="2"/>
        <v>109919.45961273112</v>
      </c>
      <c r="K34" s="319">
        <f t="shared" si="3"/>
        <v>0.08317709020222264</v>
      </c>
    </row>
    <row r="35" spans="2:11" ht="12.75">
      <c r="B35" s="172">
        <v>5075</v>
      </c>
      <c r="C35" s="173" t="s">
        <v>171</v>
      </c>
      <c r="D35" s="314">
        <v>0</v>
      </c>
      <c r="E35" s="314">
        <v>855797.5</v>
      </c>
      <c r="F35" s="314">
        <v>1372172.9499999995</v>
      </c>
      <c r="G35" s="314">
        <v>1527217.4933522749</v>
      </c>
      <c r="H35" s="320">
        <f t="shared" si="0"/>
        <v>671419.9933522749</v>
      </c>
      <c r="I35" s="321">
        <f t="shared" si="1"/>
        <v>0.7845547496367713</v>
      </c>
      <c r="J35" s="320">
        <f t="shared" si="2"/>
        <v>155044.5433522754</v>
      </c>
      <c r="K35" s="322">
        <f t="shared" si="3"/>
        <v>0.11299198351947948</v>
      </c>
    </row>
    <row r="36" spans="2:11" ht="12.75">
      <c r="B36" s="170">
        <v>5085</v>
      </c>
      <c r="C36" s="171" t="s">
        <v>172</v>
      </c>
      <c r="D36" s="314">
        <v>62566</v>
      </c>
      <c r="E36" s="314">
        <v>0</v>
      </c>
      <c r="F36" s="314">
        <v>108629.25</v>
      </c>
      <c r="G36" s="314">
        <v>400000</v>
      </c>
      <c r="H36" s="318">
        <f t="shared" si="0"/>
        <v>400000</v>
      </c>
      <c r="I36" s="316">
        <f t="shared" si="1"/>
      </c>
      <c r="J36" s="318">
        <f t="shared" si="2"/>
        <v>291370.75</v>
      </c>
      <c r="K36" s="319">
        <f t="shared" si="3"/>
        <v>2.6822494862111266</v>
      </c>
    </row>
    <row r="37" spans="2:11" ht="12.75">
      <c r="B37" s="172">
        <v>5090</v>
      </c>
      <c r="C37" s="173" t="s">
        <v>173</v>
      </c>
      <c r="D37" s="314">
        <v>0</v>
      </c>
      <c r="E37" s="314">
        <v>0</v>
      </c>
      <c r="F37" s="314">
        <v>0</v>
      </c>
      <c r="G37" s="314">
        <v>0</v>
      </c>
      <c r="H37" s="320">
        <f t="shared" si="0"/>
        <v>0</v>
      </c>
      <c r="I37" s="321">
        <f t="shared" si="1"/>
      </c>
      <c r="J37" s="320">
        <f t="shared" si="2"/>
        <v>0</v>
      </c>
      <c r="K37" s="322">
        <f t="shared" si="3"/>
      </c>
    </row>
    <row r="38" spans="2:11" ht="12.75">
      <c r="B38" s="170">
        <v>5095</v>
      </c>
      <c r="C38" s="171" t="s">
        <v>174</v>
      </c>
      <c r="D38" s="314">
        <v>12600</v>
      </c>
      <c r="E38" s="314">
        <v>0</v>
      </c>
      <c r="F38" s="314">
        <v>68098.99</v>
      </c>
      <c r="G38" s="314">
        <v>80000</v>
      </c>
      <c r="H38" s="318">
        <f t="shared" si="0"/>
        <v>80000</v>
      </c>
      <c r="I38" s="316">
        <f t="shared" si="1"/>
      </c>
      <c r="J38" s="318">
        <f t="shared" si="2"/>
        <v>11901.009999999995</v>
      </c>
      <c r="K38" s="319">
        <f t="shared" si="3"/>
        <v>0.17476044798902302</v>
      </c>
    </row>
    <row r="39" spans="2:11" ht="13.5" thickBot="1">
      <c r="B39" s="174">
        <v>5096</v>
      </c>
      <c r="C39" s="175" t="s">
        <v>175</v>
      </c>
      <c r="D39" s="314">
        <v>0</v>
      </c>
      <c r="E39" s="314">
        <v>42500</v>
      </c>
      <c r="F39" s="314">
        <v>167416.91</v>
      </c>
      <c r="G39" s="314">
        <v>150000</v>
      </c>
      <c r="H39" s="323">
        <f t="shared" si="0"/>
        <v>107500</v>
      </c>
      <c r="I39" s="324">
        <f t="shared" si="1"/>
        <v>2.5294117647058822</v>
      </c>
      <c r="J39" s="323">
        <f t="shared" si="2"/>
        <v>-17416.910000000003</v>
      </c>
      <c r="K39" s="325">
        <f t="shared" si="3"/>
        <v>-0.10403315889655351</v>
      </c>
    </row>
    <row r="40" spans="2:11" ht="14.25" thickBot="1" thickTop="1">
      <c r="B40" s="905" t="s">
        <v>176</v>
      </c>
      <c r="C40" s="906"/>
      <c r="D40" s="326">
        <f>SUM(D17:D39)</f>
        <v>2679417</v>
      </c>
      <c r="E40" s="327">
        <f>SUM(E17:E39)</f>
        <v>9418016.242628181</v>
      </c>
      <c r="F40" s="328">
        <f>SUM(F17:F39)</f>
        <v>19579408.030000005</v>
      </c>
      <c r="G40" s="329">
        <f>SUM(G17:G39)</f>
        <v>24964004.54985821</v>
      </c>
      <c r="H40" s="330">
        <f t="shared" si="0"/>
        <v>15545988.307230027</v>
      </c>
      <c r="I40" s="331">
        <f t="shared" si="1"/>
        <v>1.6506648435012448</v>
      </c>
      <c r="J40" s="330">
        <f t="shared" si="2"/>
        <v>5384596.519858204</v>
      </c>
      <c r="K40" s="332">
        <f t="shared" si="3"/>
        <v>0.2750132440984838</v>
      </c>
    </row>
    <row r="41" spans="2:11" ht="13.5" customHeight="1">
      <c r="B41" s="163" t="s">
        <v>145</v>
      </c>
      <c r="C41" s="953" t="s">
        <v>146</v>
      </c>
      <c r="D41" s="953"/>
      <c r="E41" s="953"/>
      <c r="F41" s="953"/>
      <c r="G41" s="953"/>
      <c r="H41" s="953"/>
      <c r="I41" s="953"/>
      <c r="J41" s="953"/>
      <c r="K41" s="954"/>
    </row>
    <row r="42" spans="2:11" ht="12.75">
      <c r="B42" s="907" t="s">
        <v>31</v>
      </c>
      <c r="C42" s="908"/>
      <c r="D42" s="908"/>
      <c r="E42" s="908"/>
      <c r="F42" s="908"/>
      <c r="G42" s="908"/>
      <c r="H42" s="908"/>
      <c r="I42" s="908"/>
      <c r="J42" s="908"/>
      <c r="K42" s="903"/>
    </row>
    <row r="43" spans="2:11" ht="12.75">
      <c r="B43" s="167">
        <v>5105</v>
      </c>
      <c r="C43" s="168" t="s">
        <v>177</v>
      </c>
      <c r="D43" s="314">
        <v>694228</v>
      </c>
      <c r="E43" s="314">
        <v>0</v>
      </c>
      <c r="F43" s="314">
        <v>13521</v>
      </c>
      <c r="G43" s="314">
        <v>0</v>
      </c>
      <c r="H43" s="315">
        <f aca="true" t="shared" si="4" ref="H43:H61">G43-E43</f>
        <v>0</v>
      </c>
      <c r="I43" s="316">
        <f aca="true" t="shared" si="5" ref="I43:I61">IF(E43=0,"",(G43/E43)-1)</f>
      </c>
      <c r="J43" s="315">
        <f aca="true" t="shared" si="6" ref="J43:J61">G43-F43</f>
        <v>-13521</v>
      </c>
      <c r="K43" s="317">
        <f aca="true" t="shared" si="7" ref="K43:K61">IF(F43=0,"",(G43/F43)-1)</f>
        <v>-1</v>
      </c>
    </row>
    <row r="44" spans="2:11" ht="12.75">
      <c r="B44" s="167">
        <v>5110</v>
      </c>
      <c r="C44" s="168" t="s">
        <v>178</v>
      </c>
      <c r="D44" s="314">
        <v>184843</v>
      </c>
      <c r="E44" s="314">
        <v>0</v>
      </c>
      <c r="F44" s="314">
        <v>70034.15000000001</v>
      </c>
      <c r="G44" s="314">
        <v>0</v>
      </c>
      <c r="H44" s="318">
        <f t="shared" si="4"/>
        <v>0</v>
      </c>
      <c r="I44" s="316">
        <f t="shared" si="5"/>
      </c>
      <c r="J44" s="318">
        <f t="shared" si="6"/>
        <v>-70034.15000000001</v>
      </c>
      <c r="K44" s="319">
        <f t="shared" si="7"/>
        <v>-1</v>
      </c>
    </row>
    <row r="45" spans="2:11" ht="12.75">
      <c r="B45" s="167">
        <v>5112</v>
      </c>
      <c r="C45" s="168" t="s">
        <v>179</v>
      </c>
      <c r="D45" s="314">
        <v>0</v>
      </c>
      <c r="E45" s="314">
        <v>602195.4666666667</v>
      </c>
      <c r="F45" s="314">
        <v>244627.6</v>
      </c>
      <c r="G45" s="314">
        <v>253626.83949282597</v>
      </c>
      <c r="H45" s="320">
        <f t="shared" si="4"/>
        <v>-348568.6271738407</v>
      </c>
      <c r="I45" s="321">
        <f t="shared" si="5"/>
        <v>-0.578829709734072</v>
      </c>
      <c r="J45" s="320">
        <f t="shared" si="6"/>
        <v>8999.23949282596</v>
      </c>
      <c r="K45" s="322">
        <f t="shared" si="7"/>
        <v>0.03678750677693743</v>
      </c>
    </row>
    <row r="46" spans="2:11" ht="12.75">
      <c r="B46" s="167">
        <v>5114</v>
      </c>
      <c r="C46" s="168" t="s">
        <v>180</v>
      </c>
      <c r="D46" s="314">
        <v>183255</v>
      </c>
      <c r="E46" s="314">
        <v>501293.53206557344</v>
      </c>
      <c r="F46" s="314">
        <v>371601.81</v>
      </c>
      <c r="G46" s="314">
        <v>521275.11684398947</v>
      </c>
      <c r="H46" s="318">
        <f t="shared" si="4"/>
        <v>19981.58477841603</v>
      </c>
      <c r="I46" s="316">
        <f t="shared" si="5"/>
        <v>0.039860049053659585</v>
      </c>
      <c r="J46" s="318">
        <f t="shared" si="6"/>
        <v>149673.30684398947</v>
      </c>
      <c r="K46" s="319">
        <f t="shared" si="7"/>
        <v>0.40277873469989145</v>
      </c>
    </row>
    <row r="47" spans="2:11" ht="12.75">
      <c r="B47" s="167">
        <v>5120</v>
      </c>
      <c r="C47" s="168" t="s">
        <v>181</v>
      </c>
      <c r="D47" s="314">
        <v>21713</v>
      </c>
      <c r="E47" s="314">
        <v>211559.19750819687</v>
      </c>
      <c r="F47" s="314">
        <v>221489.27000000002</v>
      </c>
      <c r="G47" s="314">
        <v>184776.5350506278</v>
      </c>
      <c r="H47" s="318">
        <f t="shared" si="4"/>
        <v>-26782.662457569066</v>
      </c>
      <c r="I47" s="316">
        <f t="shared" si="5"/>
        <v>-0.12659654022620015</v>
      </c>
      <c r="J47" s="318">
        <f t="shared" si="6"/>
        <v>-36712.734949372214</v>
      </c>
      <c r="K47" s="319">
        <f t="shared" si="7"/>
        <v>-0.16575401124114142</v>
      </c>
    </row>
    <row r="48" spans="2:11" ht="12.75">
      <c r="B48" s="167">
        <v>5125</v>
      </c>
      <c r="C48" s="168" t="s">
        <v>182</v>
      </c>
      <c r="D48" s="314">
        <v>21713</v>
      </c>
      <c r="E48" s="314">
        <v>1667823.947540984</v>
      </c>
      <c r="F48" s="314">
        <v>1868501.78</v>
      </c>
      <c r="G48" s="314">
        <v>1968169.1315414188</v>
      </c>
      <c r="H48" s="318">
        <f t="shared" si="4"/>
        <v>300345.1840004348</v>
      </c>
      <c r="I48" s="316">
        <f t="shared" si="5"/>
        <v>0.18008206708103658</v>
      </c>
      <c r="J48" s="318">
        <f t="shared" si="6"/>
        <v>99667.35154141882</v>
      </c>
      <c r="K48" s="319">
        <f t="shared" si="7"/>
        <v>0.05334078490490857</v>
      </c>
    </row>
    <row r="49" spans="2:11" ht="12.75">
      <c r="B49" s="167">
        <v>5130</v>
      </c>
      <c r="C49" s="168" t="s">
        <v>183</v>
      </c>
      <c r="D49" s="314">
        <v>83439</v>
      </c>
      <c r="E49" s="314">
        <v>109956.49836065578</v>
      </c>
      <c r="F49" s="314">
        <v>262426.19000000006</v>
      </c>
      <c r="G49" s="314">
        <v>256649.42728043528</v>
      </c>
      <c r="H49" s="318">
        <f t="shared" si="4"/>
        <v>146692.9289197795</v>
      </c>
      <c r="I49" s="316">
        <f t="shared" si="5"/>
        <v>1.3340996767524258</v>
      </c>
      <c r="J49" s="318">
        <f t="shared" si="6"/>
        <v>-5776.76271956478</v>
      </c>
      <c r="K49" s="319">
        <f t="shared" si="7"/>
        <v>-0.022012904731668614</v>
      </c>
    </row>
    <row r="50" spans="2:11" ht="12.75">
      <c r="B50" s="167">
        <v>5135</v>
      </c>
      <c r="C50" s="168" t="s">
        <v>184</v>
      </c>
      <c r="D50" s="314">
        <v>345260</v>
      </c>
      <c r="E50" s="314">
        <v>350000</v>
      </c>
      <c r="F50" s="314">
        <v>1101652.37</v>
      </c>
      <c r="G50" s="314">
        <v>105390.21724719487</v>
      </c>
      <c r="H50" s="318">
        <f t="shared" si="4"/>
        <v>-244609.78275280513</v>
      </c>
      <c r="I50" s="316">
        <f t="shared" si="5"/>
        <v>-0.6988850935794433</v>
      </c>
      <c r="J50" s="318">
        <f t="shared" si="6"/>
        <v>-996262.1527528053</v>
      </c>
      <c r="K50" s="319">
        <f t="shared" si="7"/>
        <v>-0.9043344160851804</v>
      </c>
    </row>
    <row r="51" spans="2:11" ht="12.75">
      <c r="B51" s="167">
        <v>5145</v>
      </c>
      <c r="C51" s="168" t="s">
        <v>185</v>
      </c>
      <c r="D51" s="314">
        <v>79115</v>
      </c>
      <c r="E51" s="314">
        <v>24283.73059016394</v>
      </c>
      <c r="F51" s="314">
        <v>6216.629999999999</v>
      </c>
      <c r="G51" s="314">
        <v>1665.4</v>
      </c>
      <c r="H51" s="318">
        <f t="shared" si="4"/>
        <v>-22618.33059016394</v>
      </c>
      <c r="I51" s="316">
        <f t="shared" si="5"/>
        <v>-0.9314191040863151</v>
      </c>
      <c r="J51" s="318">
        <f t="shared" si="6"/>
        <v>-4551.23</v>
      </c>
      <c r="K51" s="319">
        <f t="shared" si="7"/>
        <v>-0.7321056585320342</v>
      </c>
    </row>
    <row r="52" spans="2:11" ht="12.75">
      <c r="B52" s="167">
        <v>5150</v>
      </c>
      <c r="C52" s="168" t="s">
        <v>186</v>
      </c>
      <c r="D52" s="314">
        <v>79115</v>
      </c>
      <c r="E52" s="314">
        <v>1483260.1967213124</v>
      </c>
      <c r="F52" s="314">
        <v>2432845.55</v>
      </c>
      <c r="G52" s="314">
        <v>3600600.0101980316</v>
      </c>
      <c r="H52" s="318">
        <f t="shared" si="4"/>
        <v>2117339.813476719</v>
      </c>
      <c r="I52" s="316">
        <f t="shared" si="5"/>
        <v>1.4274904822208634</v>
      </c>
      <c r="J52" s="318">
        <f t="shared" si="6"/>
        <v>1167754.4601980317</v>
      </c>
      <c r="K52" s="319">
        <f t="shared" si="7"/>
        <v>0.4799953125664027</v>
      </c>
    </row>
    <row r="53" spans="2:11" ht="12.75">
      <c r="B53" s="167">
        <v>5155</v>
      </c>
      <c r="C53" s="168" t="s">
        <v>187</v>
      </c>
      <c r="D53" s="314">
        <v>0</v>
      </c>
      <c r="E53" s="314">
        <v>1222912.5409836066</v>
      </c>
      <c r="F53" s="314">
        <v>503923.2800000001</v>
      </c>
      <c r="G53" s="314">
        <v>499390.01096861763</v>
      </c>
      <c r="H53" s="318">
        <f t="shared" si="4"/>
        <v>-723522.530014989</v>
      </c>
      <c r="I53" s="316">
        <f t="shared" si="5"/>
        <v>-0.5916388177956284</v>
      </c>
      <c r="J53" s="318">
        <f t="shared" si="6"/>
        <v>-4533.269031382457</v>
      </c>
      <c r="K53" s="319">
        <f t="shared" si="7"/>
        <v>-0.008995950795094187</v>
      </c>
    </row>
    <row r="54" spans="2:11" ht="12.75">
      <c r="B54" s="167">
        <v>5160</v>
      </c>
      <c r="C54" s="168" t="s">
        <v>188</v>
      </c>
      <c r="D54" s="314">
        <v>21850</v>
      </c>
      <c r="E54" s="314">
        <v>297277.2756721312</v>
      </c>
      <c r="F54" s="314">
        <v>253465.29000000004</v>
      </c>
      <c r="G54" s="314">
        <v>245089.88636170534</v>
      </c>
      <c r="H54" s="318">
        <f t="shared" si="4"/>
        <v>-52187.389310425875</v>
      </c>
      <c r="I54" s="316">
        <f t="shared" si="5"/>
        <v>-0.17555122298679715</v>
      </c>
      <c r="J54" s="318">
        <f t="shared" si="6"/>
        <v>-8375.403638294694</v>
      </c>
      <c r="K54" s="319">
        <f t="shared" si="7"/>
        <v>-0.033043592036979486</v>
      </c>
    </row>
    <row r="55" spans="2:11" ht="12.75">
      <c r="B55" s="167">
        <v>5165</v>
      </c>
      <c r="C55" s="168" t="s">
        <v>189</v>
      </c>
      <c r="D55" s="314">
        <v>0</v>
      </c>
      <c r="E55" s="314">
        <v>0</v>
      </c>
      <c r="F55" s="314">
        <v>0</v>
      </c>
      <c r="G55" s="314">
        <v>0</v>
      </c>
      <c r="H55" s="318">
        <f t="shared" si="4"/>
        <v>0</v>
      </c>
      <c r="I55" s="316">
        <f t="shared" si="5"/>
      </c>
      <c r="J55" s="318">
        <f t="shared" si="6"/>
        <v>0</v>
      </c>
      <c r="K55" s="319">
        <f t="shared" si="7"/>
      </c>
    </row>
    <row r="56" spans="2:11" ht="12.75">
      <c r="B56" s="167">
        <v>5170</v>
      </c>
      <c r="C56" s="168" t="s">
        <v>190</v>
      </c>
      <c r="D56" s="314">
        <v>0</v>
      </c>
      <c r="E56" s="314">
        <v>0</v>
      </c>
      <c r="F56" s="314">
        <v>0</v>
      </c>
      <c r="G56" s="314">
        <v>0</v>
      </c>
      <c r="H56" s="318">
        <f t="shared" si="4"/>
        <v>0</v>
      </c>
      <c r="I56" s="316">
        <f t="shared" si="5"/>
      </c>
      <c r="J56" s="318">
        <f t="shared" si="6"/>
        <v>0</v>
      </c>
      <c r="K56" s="319">
        <f t="shared" si="7"/>
      </c>
    </row>
    <row r="57" spans="2:11" ht="12.75">
      <c r="B57" s="167">
        <v>5172</v>
      </c>
      <c r="C57" s="168" t="s">
        <v>191</v>
      </c>
      <c r="D57" s="314">
        <v>0</v>
      </c>
      <c r="E57" s="314">
        <v>0</v>
      </c>
      <c r="F57" s="314">
        <v>0</v>
      </c>
      <c r="G57" s="314">
        <v>0</v>
      </c>
      <c r="H57" s="318">
        <f t="shared" si="4"/>
        <v>0</v>
      </c>
      <c r="I57" s="316">
        <f t="shared" si="5"/>
      </c>
      <c r="J57" s="318">
        <f t="shared" si="6"/>
        <v>0</v>
      </c>
      <c r="K57" s="319">
        <f t="shared" si="7"/>
      </c>
    </row>
    <row r="58" spans="2:11" ht="12.75">
      <c r="B58" s="167">
        <v>5175</v>
      </c>
      <c r="C58" s="168" t="s">
        <v>192</v>
      </c>
      <c r="D58" s="314">
        <v>137448</v>
      </c>
      <c r="E58" s="314">
        <v>0</v>
      </c>
      <c r="F58" s="314">
        <v>204.22</v>
      </c>
      <c r="G58" s="314">
        <v>0</v>
      </c>
      <c r="H58" s="318">
        <f t="shared" si="4"/>
        <v>0</v>
      </c>
      <c r="I58" s="316">
        <f t="shared" si="5"/>
      </c>
      <c r="J58" s="318">
        <f t="shared" si="6"/>
        <v>-204.22</v>
      </c>
      <c r="K58" s="319">
        <f t="shared" si="7"/>
        <v>-1</v>
      </c>
    </row>
    <row r="59" spans="2:11" ht="12.75">
      <c r="B59" s="167">
        <v>5178</v>
      </c>
      <c r="C59" s="168" t="s">
        <v>193</v>
      </c>
      <c r="D59" s="314">
        <v>0</v>
      </c>
      <c r="E59" s="314">
        <v>0</v>
      </c>
      <c r="F59" s="314">
        <v>0</v>
      </c>
      <c r="G59" s="314">
        <v>0</v>
      </c>
      <c r="H59" s="320">
        <f t="shared" si="4"/>
        <v>0</v>
      </c>
      <c r="I59" s="321">
        <f t="shared" si="5"/>
      </c>
      <c r="J59" s="320">
        <f t="shared" si="6"/>
        <v>0</v>
      </c>
      <c r="K59" s="322">
        <f t="shared" si="7"/>
      </c>
    </row>
    <row r="60" spans="2:11" ht="13.5" thickBot="1">
      <c r="B60" s="178">
        <v>5195</v>
      </c>
      <c r="C60" s="168" t="s">
        <v>194</v>
      </c>
      <c r="D60" s="314">
        <v>0</v>
      </c>
      <c r="E60" s="314">
        <v>0</v>
      </c>
      <c r="F60" s="314">
        <v>0</v>
      </c>
      <c r="G60" s="314">
        <v>0</v>
      </c>
      <c r="H60" s="318">
        <f t="shared" si="4"/>
        <v>0</v>
      </c>
      <c r="I60" s="316">
        <f t="shared" si="5"/>
      </c>
      <c r="J60" s="318">
        <f t="shared" si="6"/>
        <v>0</v>
      </c>
      <c r="K60" s="319">
        <f t="shared" si="7"/>
      </c>
    </row>
    <row r="61" spans="2:11" ht="14.25" thickBot="1" thickTop="1">
      <c r="B61" s="905" t="s">
        <v>195</v>
      </c>
      <c r="C61" s="906"/>
      <c r="D61" s="326">
        <f>SUM(D43:D60)</f>
        <v>1851979</v>
      </c>
      <c r="E61" s="327">
        <f>SUM(E43:E60)</f>
        <v>6470562.38610929</v>
      </c>
      <c r="F61" s="327">
        <f>SUM(F43:F60)</f>
        <v>7350509.14</v>
      </c>
      <c r="G61" s="329">
        <f>SUM(G43:G60)</f>
        <v>7636632.574984847</v>
      </c>
      <c r="H61" s="330">
        <f t="shared" si="4"/>
        <v>1166070.188875557</v>
      </c>
      <c r="I61" s="331">
        <f t="shared" si="5"/>
        <v>0.18021156729418508</v>
      </c>
      <c r="J61" s="330">
        <f t="shared" si="6"/>
        <v>286123.434984847</v>
      </c>
      <c r="K61" s="333">
        <f t="shared" si="7"/>
        <v>0.038925662091598534</v>
      </c>
    </row>
    <row r="62" spans="2:11" ht="13.5" customHeight="1">
      <c r="B62" s="163" t="s">
        <v>145</v>
      </c>
      <c r="C62" s="953" t="s">
        <v>146</v>
      </c>
      <c r="D62" s="953"/>
      <c r="E62" s="953"/>
      <c r="F62" s="953"/>
      <c r="G62" s="953"/>
      <c r="H62" s="953"/>
      <c r="I62" s="953"/>
      <c r="J62" s="953"/>
      <c r="K62" s="954"/>
    </row>
    <row r="63" spans="2:11" ht="12.75">
      <c r="B63" s="907" t="s">
        <v>32</v>
      </c>
      <c r="C63" s="908"/>
      <c r="D63" s="908"/>
      <c r="E63" s="908"/>
      <c r="F63" s="908"/>
      <c r="G63" s="908"/>
      <c r="H63" s="908"/>
      <c r="I63" s="908"/>
      <c r="J63" s="908"/>
      <c r="K63" s="903"/>
    </row>
    <row r="64" spans="2:11" ht="12.75">
      <c r="B64" s="167">
        <v>5305</v>
      </c>
      <c r="C64" s="168" t="s">
        <v>196</v>
      </c>
      <c r="D64" s="314">
        <v>115594</v>
      </c>
      <c r="E64" s="314">
        <v>1006652.2647999993</v>
      </c>
      <c r="F64" s="314">
        <v>1441808.6700000006</v>
      </c>
      <c r="G64" s="314">
        <v>1693462.4832550006</v>
      </c>
      <c r="H64" s="315">
        <f aca="true" t="shared" si="8" ref="H64:H72">G64-E64</f>
        <v>686810.2184550012</v>
      </c>
      <c r="I64" s="316">
        <f aca="true" t="shared" si="9" ref="I64:I72">IF(E64=0,"",(G64/E64)-1)</f>
        <v>0.6822715673236537</v>
      </c>
      <c r="J64" s="315">
        <f aca="true" t="shared" si="10" ref="J64:J72">G64-F64</f>
        <v>251653.81325499993</v>
      </c>
      <c r="K64" s="317">
        <f aca="true" t="shared" si="11" ref="K64:K72">IF(F64=0,"",(G64/F64)-1)</f>
        <v>0.1745403662019871</v>
      </c>
    </row>
    <row r="65" spans="2:11" ht="12.75">
      <c r="B65" s="167">
        <v>5310</v>
      </c>
      <c r="C65" s="168" t="s">
        <v>197</v>
      </c>
      <c r="D65" s="314">
        <v>379197</v>
      </c>
      <c r="E65" s="314">
        <v>2821326.4266999997</v>
      </c>
      <c r="F65" s="314">
        <v>3156370.1199999996</v>
      </c>
      <c r="G65" s="314">
        <v>1157296.063799999</v>
      </c>
      <c r="H65" s="318">
        <f t="shared" si="8"/>
        <v>-1664030.3629000008</v>
      </c>
      <c r="I65" s="316">
        <f t="shared" si="9"/>
        <v>-0.5898042662317367</v>
      </c>
      <c r="J65" s="318">
        <f t="shared" si="10"/>
        <v>-1999074.0562000007</v>
      </c>
      <c r="K65" s="319">
        <f t="shared" si="11"/>
        <v>-0.6333458942387913</v>
      </c>
    </row>
    <row r="66" spans="2:11" ht="12.75">
      <c r="B66" s="167">
        <v>5315</v>
      </c>
      <c r="C66" s="168" t="s">
        <v>198</v>
      </c>
      <c r="D66" s="314">
        <v>706214</v>
      </c>
      <c r="E66" s="314">
        <v>870031.3003000012</v>
      </c>
      <c r="F66" s="314">
        <v>5815197.840000002</v>
      </c>
      <c r="G66" s="314">
        <v>7015483.376995009</v>
      </c>
      <c r="H66" s="320">
        <f t="shared" si="8"/>
        <v>6145452.076695008</v>
      </c>
      <c r="I66" s="321">
        <f t="shared" si="9"/>
        <v>7.063483893712737</v>
      </c>
      <c r="J66" s="320">
        <f t="shared" si="10"/>
        <v>1200285.5369950077</v>
      </c>
      <c r="K66" s="322">
        <f t="shared" si="11"/>
        <v>0.20640493582846142</v>
      </c>
    </row>
    <row r="67" spans="2:11" ht="12.75">
      <c r="B67" s="167">
        <v>5320</v>
      </c>
      <c r="C67" s="168" t="s">
        <v>199</v>
      </c>
      <c r="D67" s="314">
        <v>177206</v>
      </c>
      <c r="E67" s="314">
        <v>1857981.96063279</v>
      </c>
      <c r="F67" s="314">
        <v>3398602.8399999994</v>
      </c>
      <c r="G67" s="314">
        <v>3764039.462693864</v>
      </c>
      <c r="H67" s="318">
        <f t="shared" si="8"/>
        <v>1906057.502061074</v>
      </c>
      <c r="I67" s="316">
        <f t="shared" si="9"/>
        <v>1.0258751389663172</v>
      </c>
      <c r="J67" s="318">
        <f t="shared" si="10"/>
        <v>365436.6226938646</v>
      </c>
      <c r="K67" s="319">
        <f t="shared" si="11"/>
        <v>0.10752554502480938</v>
      </c>
    </row>
    <row r="68" spans="2:11" ht="12.75">
      <c r="B68" s="167">
        <v>5325</v>
      </c>
      <c r="C68" s="168" t="s">
        <v>200</v>
      </c>
      <c r="D68" s="314">
        <v>0</v>
      </c>
      <c r="E68" s="314">
        <v>0</v>
      </c>
      <c r="F68" s="314">
        <v>479.58</v>
      </c>
      <c r="G68" s="314">
        <v>0</v>
      </c>
      <c r="H68" s="318">
        <f t="shared" si="8"/>
        <v>0</v>
      </c>
      <c r="I68" s="316">
        <f t="shared" si="9"/>
      </c>
      <c r="J68" s="318">
        <f t="shared" si="10"/>
        <v>-479.58</v>
      </c>
      <c r="K68" s="319">
        <f t="shared" si="11"/>
        <v>-1</v>
      </c>
    </row>
    <row r="69" spans="2:11" ht="12.75">
      <c r="B69" s="167">
        <v>5330</v>
      </c>
      <c r="C69" s="168" t="s">
        <v>201</v>
      </c>
      <c r="D69" s="314">
        <v>0</v>
      </c>
      <c r="E69" s="314">
        <v>0</v>
      </c>
      <c r="F69" s="314">
        <v>59000.25</v>
      </c>
      <c r="G69" s="314">
        <v>0</v>
      </c>
      <c r="H69" s="318">
        <f t="shared" si="8"/>
        <v>0</v>
      </c>
      <c r="I69" s="316">
        <f t="shared" si="9"/>
      </c>
      <c r="J69" s="318">
        <f t="shared" si="10"/>
        <v>-59000.25</v>
      </c>
      <c r="K69" s="319">
        <f t="shared" si="11"/>
        <v>-1</v>
      </c>
    </row>
    <row r="70" spans="2:11" ht="12.75">
      <c r="B70" s="167">
        <v>5335</v>
      </c>
      <c r="C70" s="168" t="s">
        <v>202</v>
      </c>
      <c r="D70" s="314">
        <v>163040</v>
      </c>
      <c r="E70" s="314">
        <v>1236000</v>
      </c>
      <c r="F70" s="314">
        <v>1781068.8</v>
      </c>
      <c r="G70" s="314">
        <v>2126700</v>
      </c>
      <c r="H70" s="318">
        <f t="shared" si="8"/>
        <v>890700</v>
      </c>
      <c r="I70" s="316">
        <f t="shared" si="9"/>
        <v>0.7206310679611649</v>
      </c>
      <c r="J70" s="318">
        <f t="shared" si="10"/>
        <v>345631.19999999995</v>
      </c>
      <c r="K70" s="319">
        <f t="shared" si="11"/>
        <v>0.1940583092579018</v>
      </c>
    </row>
    <row r="71" spans="2:11" ht="13.5" thickBot="1">
      <c r="B71" s="178">
        <v>5340</v>
      </c>
      <c r="C71" s="168" t="s">
        <v>203</v>
      </c>
      <c r="D71" s="314">
        <v>0</v>
      </c>
      <c r="E71" s="314">
        <v>0</v>
      </c>
      <c r="F71" s="314">
        <v>0</v>
      </c>
      <c r="G71" s="314">
        <v>0</v>
      </c>
      <c r="H71" s="318">
        <f t="shared" si="8"/>
        <v>0</v>
      </c>
      <c r="I71" s="316">
        <f t="shared" si="9"/>
      </c>
      <c r="J71" s="318">
        <f t="shared" si="10"/>
        <v>0</v>
      </c>
      <c r="K71" s="334">
        <f t="shared" si="11"/>
      </c>
    </row>
    <row r="72" spans="2:11" ht="14.25" thickBot="1" thickTop="1">
      <c r="B72" s="905" t="s">
        <v>204</v>
      </c>
      <c r="C72" s="906"/>
      <c r="D72" s="326">
        <f>SUM(D64:D71)</f>
        <v>1541251</v>
      </c>
      <c r="E72" s="327">
        <f>SUM(E64:E71)</f>
        <v>7791991.95243279</v>
      </c>
      <c r="F72" s="327">
        <f>SUM(F64:F71)</f>
        <v>15652528.100000003</v>
      </c>
      <c r="G72" s="329">
        <f>SUM(G64:G71)</f>
        <v>15756981.386743873</v>
      </c>
      <c r="H72" s="330">
        <f t="shared" si="8"/>
        <v>7964989.4343110835</v>
      </c>
      <c r="I72" s="331">
        <f t="shared" si="9"/>
        <v>1.0222019584894824</v>
      </c>
      <c r="J72" s="330">
        <f t="shared" si="10"/>
        <v>104453.28674387</v>
      </c>
      <c r="K72" s="331">
        <f t="shared" si="11"/>
        <v>0.006673253424401837</v>
      </c>
    </row>
    <row r="73" spans="2:11" ht="13.5" customHeight="1">
      <c r="B73" s="163" t="s">
        <v>145</v>
      </c>
      <c r="C73" s="953" t="s">
        <v>146</v>
      </c>
      <c r="D73" s="953"/>
      <c r="E73" s="953"/>
      <c r="F73" s="953"/>
      <c r="G73" s="953"/>
      <c r="H73" s="953"/>
      <c r="I73" s="953"/>
      <c r="J73" s="953"/>
      <c r="K73" s="954"/>
    </row>
    <row r="74" spans="2:11" ht="12.75">
      <c r="B74" s="907" t="s">
        <v>33</v>
      </c>
      <c r="C74" s="908"/>
      <c r="D74" s="908"/>
      <c r="E74" s="908"/>
      <c r="F74" s="908"/>
      <c r="G74" s="908"/>
      <c r="H74" s="908"/>
      <c r="I74" s="908"/>
      <c r="J74" s="908"/>
      <c r="K74" s="903"/>
    </row>
    <row r="75" spans="2:11" ht="12.75">
      <c r="B75" s="167">
        <v>5405</v>
      </c>
      <c r="C75" s="168" t="s">
        <v>196</v>
      </c>
      <c r="D75" s="314">
        <v>0</v>
      </c>
      <c r="E75" s="314">
        <v>305374.6149999999</v>
      </c>
      <c r="F75" s="314">
        <v>660761.2300000001</v>
      </c>
      <c r="G75" s="314">
        <v>838998.2662</v>
      </c>
      <c r="H75" s="315">
        <f aca="true" t="shared" si="12" ref="H75:H84">G75-E75</f>
        <v>533623.6512000001</v>
      </c>
      <c r="I75" s="316">
        <f aca="true" t="shared" si="13" ref="I75:I84">IF(E75=0,"",(G75/E75)-1)</f>
        <v>1.7474394562887956</v>
      </c>
      <c r="J75" s="315">
        <f aca="true" t="shared" si="14" ref="J75:J84">G75-F75</f>
        <v>178237.03619999986</v>
      </c>
      <c r="K75" s="317">
        <f aca="true" t="shared" si="15" ref="K75:K84">IF(F75=0,"",(G75/F75)-1)</f>
        <v>0.2697449972965269</v>
      </c>
    </row>
    <row r="76" spans="2:11" ht="12.75">
      <c r="B76" s="167">
        <v>5410</v>
      </c>
      <c r="C76" s="168" t="s">
        <v>205</v>
      </c>
      <c r="D76" s="314">
        <v>0</v>
      </c>
      <c r="E76" s="314">
        <v>329000</v>
      </c>
      <c r="F76" s="314">
        <v>1413144.06</v>
      </c>
      <c r="G76" s="314">
        <v>425604.0313777829</v>
      </c>
      <c r="H76" s="318">
        <f t="shared" si="12"/>
        <v>96604.03137778293</v>
      </c>
      <c r="I76" s="316">
        <f t="shared" si="13"/>
        <v>0.2936292747045073</v>
      </c>
      <c r="J76" s="318">
        <f t="shared" si="14"/>
        <v>-987540.0286222171</v>
      </c>
      <c r="K76" s="319">
        <f t="shared" si="15"/>
        <v>-0.6988247388042073</v>
      </c>
    </row>
    <row r="77" spans="2:11" ht="12.75">
      <c r="B77" s="167">
        <v>5415</v>
      </c>
      <c r="C77" s="168" t="s">
        <v>206</v>
      </c>
      <c r="D77" s="314">
        <v>0</v>
      </c>
      <c r="E77" s="314">
        <v>64100</v>
      </c>
      <c r="F77" s="314">
        <v>0.0199999999931606</v>
      </c>
      <c r="G77" s="314">
        <v>0</v>
      </c>
      <c r="H77" s="320">
        <f t="shared" si="12"/>
        <v>-64100</v>
      </c>
      <c r="I77" s="321">
        <f t="shared" si="13"/>
        <v>-1</v>
      </c>
      <c r="J77" s="320">
        <f t="shared" si="14"/>
        <v>-0.0199999999931606</v>
      </c>
      <c r="K77" s="322">
        <f t="shared" si="15"/>
        <v>-1</v>
      </c>
    </row>
    <row r="78" spans="2:11" ht="12.75">
      <c r="B78" s="167">
        <v>5420</v>
      </c>
      <c r="C78" s="168" t="s">
        <v>207</v>
      </c>
      <c r="D78" s="314">
        <v>221149</v>
      </c>
      <c r="E78" s="314">
        <v>0</v>
      </c>
      <c r="F78" s="314">
        <v>0</v>
      </c>
      <c r="G78" s="314">
        <v>0</v>
      </c>
      <c r="H78" s="318">
        <f t="shared" si="12"/>
        <v>0</v>
      </c>
      <c r="I78" s="316">
        <f t="shared" si="13"/>
      </c>
      <c r="J78" s="318">
        <f t="shared" si="14"/>
        <v>0</v>
      </c>
      <c r="K78" s="319">
        <f t="shared" si="15"/>
      </c>
    </row>
    <row r="79" spans="2:11" ht="12.75">
      <c r="B79" s="167">
        <v>5425</v>
      </c>
      <c r="C79" s="168" t="s">
        <v>208</v>
      </c>
      <c r="D79" s="314">
        <v>0</v>
      </c>
      <c r="E79" s="314">
        <v>0</v>
      </c>
      <c r="F79" s="314">
        <v>0</v>
      </c>
      <c r="G79" s="314">
        <v>0</v>
      </c>
      <c r="H79" s="318">
        <f t="shared" si="12"/>
        <v>0</v>
      </c>
      <c r="I79" s="316">
        <f t="shared" si="13"/>
      </c>
      <c r="J79" s="318">
        <f t="shared" si="14"/>
        <v>0</v>
      </c>
      <c r="K79" s="319">
        <f t="shared" si="15"/>
      </c>
    </row>
    <row r="80" spans="2:11" ht="12.75">
      <c r="B80" s="167">
        <v>5505</v>
      </c>
      <c r="C80" s="168" t="s">
        <v>196</v>
      </c>
      <c r="D80" s="314">
        <v>0</v>
      </c>
      <c r="E80" s="314">
        <v>0</v>
      </c>
      <c r="F80" s="314">
        <v>0</v>
      </c>
      <c r="G80" s="314">
        <v>0</v>
      </c>
      <c r="H80" s="318">
        <f t="shared" si="12"/>
        <v>0</v>
      </c>
      <c r="I80" s="316">
        <f t="shared" si="13"/>
      </c>
      <c r="J80" s="318">
        <f t="shared" si="14"/>
        <v>0</v>
      </c>
      <c r="K80" s="319">
        <f t="shared" si="15"/>
      </c>
    </row>
    <row r="81" spans="2:11" ht="12.75">
      <c r="B81" s="167">
        <v>5510</v>
      </c>
      <c r="C81" s="168" t="s">
        <v>209</v>
      </c>
      <c r="D81" s="314">
        <v>0</v>
      </c>
      <c r="E81" s="314">
        <v>0</v>
      </c>
      <c r="F81" s="314">
        <v>0</v>
      </c>
      <c r="G81" s="314">
        <v>0</v>
      </c>
      <c r="H81" s="318">
        <f t="shared" si="12"/>
        <v>0</v>
      </c>
      <c r="I81" s="316">
        <f t="shared" si="13"/>
      </c>
      <c r="J81" s="318">
        <f t="shared" si="14"/>
        <v>0</v>
      </c>
      <c r="K81" s="319">
        <f t="shared" si="15"/>
      </c>
    </row>
    <row r="82" spans="2:11" ht="12.75">
      <c r="B82" s="167">
        <v>5515</v>
      </c>
      <c r="C82" s="168" t="s">
        <v>210</v>
      </c>
      <c r="D82" s="314">
        <v>0</v>
      </c>
      <c r="E82" s="314">
        <v>0</v>
      </c>
      <c r="F82" s="314">
        <v>0</v>
      </c>
      <c r="G82" s="314">
        <v>0</v>
      </c>
      <c r="H82" s="318">
        <f t="shared" si="12"/>
        <v>0</v>
      </c>
      <c r="I82" s="316">
        <f t="shared" si="13"/>
      </c>
      <c r="J82" s="318">
        <f t="shared" si="14"/>
        <v>0</v>
      </c>
      <c r="K82" s="319">
        <f t="shared" si="15"/>
      </c>
    </row>
    <row r="83" spans="2:11" ht="13.5" thickBot="1">
      <c r="B83" s="172">
        <v>5520</v>
      </c>
      <c r="C83" s="168" t="s">
        <v>211</v>
      </c>
      <c r="D83" s="314">
        <v>0</v>
      </c>
      <c r="E83" s="314">
        <v>0</v>
      </c>
      <c r="F83" s="314">
        <v>0</v>
      </c>
      <c r="G83" s="314">
        <v>0</v>
      </c>
      <c r="H83" s="318">
        <f t="shared" si="12"/>
        <v>0</v>
      </c>
      <c r="I83" s="316">
        <f t="shared" si="13"/>
      </c>
      <c r="J83" s="318">
        <f t="shared" si="14"/>
        <v>0</v>
      </c>
      <c r="K83" s="335">
        <f t="shared" si="15"/>
      </c>
    </row>
    <row r="84" spans="2:11" ht="14.25" thickBot="1" thickTop="1">
      <c r="B84" s="180" t="s">
        <v>212</v>
      </c>
      <c r="C84" s="181"/>
      <c r="D84" s="336">
        <f>SUM(D75:D83)</f>
        <v>221149</v>
      </c>
      <c r="E84" s="327">
        <f>SUM(E75:E83)</f>
        <v>698474.6149999999</v>
      </c>
      <c r="F84" s="327">
        <f>SUM(F75:F83)</f>
        <v>2073905.31</v>
      </c>
      <c r="G84" s="329">
        <f>SUM(G75:G83)</f>
        <v>1264602.297577783</v>
      </c>
      <c r="H84" s="330">
        <f t="shared" si="12"/>
        <v>566127.6825777831</v>
      </c>
      <c r="I84" s="331">
        <f t="shared" si="13"/>
        <v>0.8105200538716546</v>
      </c>
      <c r="J84" s="330">
        <f t="shared" si="14"/>
        <v>-809303.012422217</v>
      </c>
      <c r="K84" s="332">
        <f t="shared" si="15"/>
        <v>-0.3902314192069921</v>
      </c>
    </row>
    <row r="85" spans="2:11" ht="13.5" customHeight="1">
      <c r="B85" s="163" t="s">
        <v>145</v>
      </c>
      <c r="C85" s="953" t="s">
        <v>146</v>
      </c>
      <c r="D85" s="953"/>
      <c r="E85" s="953"/>
      <c r="F85" s="953"/>
      <c r="G85" s="953"/>
      <c r="H85" s="953"/>
      <c r="I85" s="953"/>
      <c r="J85" s="953"/>
      <c r="K85" s="954"/>
    </row>
    <row r="86" spans="2:11" ht="12.75">
      <c r="B86" s="907" t="s">
        <v>213</v>
      </c>
      <c r="C86" s="908"/>
      <c r="D86" s="908"/>
      <c r="E86" s="908"/>
      <c r="F86" s="908"/>
      <c r="G86" s="908"/>
      <c r="H86" s="908"/>
      <c r="I86" s="908"/>
      <c r="J86" s="908"/>
      <c r="K86" s="903"/>
    </row>
    <row r="87" spans="2:11" ht="12.75">
      <c r="B87" s="167">
        <v>5605</v>
      </c>
      <c r="C87" s="168" t="s">
        <v>214</v>
      </c>
      <c r="D87" s="314">
        <v>525032</v>
      </c>
      <c r="E87" s="314">
        <v>3705126.4787</v>
      </c>
      <c r="F87" s="314">
        <v>4049642.0900000017</v>
      </c>
      <c r="G87" s="314">
        <v>4176860.9335000035</v>
      </c>
      <c r="H87" s="315">
        <f aca="true" t="shared" si="16" ref="H87:H105">G87-E87</f>
        <v>471734.4548000037</v>
      </c>
      <c r="I87" s="316">
        <f aca="true" t="shared" si="17" ref="I87:I114">IF(E87=0,"",(G87/E87)-1)</f>
        <v>0.12731939314674046</v>
      </c>
      <c r="J87" s="315">
        <f aca="true" t="shared" si="18" ref="J87:J107">G87-F87</f>
        <v>127218.84350000182</v>
      </c>
      <c r="K87" s="317">
        <f aca="true" t="shared" si="19" ref="K87:K114">IF(F87=0,"",(G87/F87)-1)</f>
        <v>0.031414836341747465</v>
      </c>
    </row>
    <row r="88" spans="2:11" ht="12.75">
      <c r="B88" s="167">
        <v>5610</v>
      </c>
      <c r="C88" s="168" t="s">
        <v>215</v>
      </c>
      <c r="D88" s="314">
        <v>652598</v>
      </c>
      <c r="E88" s="314">
        <v>3935181.835</v>
      </c>
      <c r="F88" s="314">
        <v>8224723.13</v>
      </c>
      <c r="G88" s="314">
        <v>9874777.487660024</v>
      </c>
      <c r="H88" s="318">
        <f t="shared" si="16"/>
        <v>5939595.652660024</v>
      </c>
      <c r="I88" s="316">
        <f t="shared" si="17"/>
        <v>1.5093573567128504</v>
      </c>
      <c r="J88" s="318">
        <f t="shared" si="18"/>
        <v>1650054.3576600244</v>
      </c>
      <c r="K88" s="319">
        <f t="shared" si="19"/>
        <v>0.2006212648838459</v>
      </c>
    </row>
    <row r="89" spans="2:11" ht="12.75">
      <c r="B89" s="167">
        <v>5615</v>
      </c>
      <c r="C89" s="168" t="s">
        <v>216</v>
      </c>
      <c r="D89" s="314">
        <v>1577216</v>
      </c>
      <c r="E89" s="314">
        <v>967129.046599999</v>
      </c>
      <c r="F89" s="314">
        <v>1995429.979999999</v>
      </c>
      <c r="G89" s="314">
        <v>2052903.4340999993</v>
      </c>
      <c r="H89" s="320">
        <f t="shared" si="16"/>
        <v>1085774.3875000002</v>
      </c>
      <c r="I89" s="321">
        <f t="shared" si="17"/>
        <v>1.1226778797691024</v>
      </c>
      <c r="J89" s="320">
        <f t="shared" si="18"/>
        <v>57473.45410000021</v>
      </c>
      <c r="K89" s="322">
        <f t="shared" si="19"/>
        <v>0.028802541144540728</v>
      </c>
    </row>
    <row r="90" spans="2:11" ht="12.75">
      <c r="B90" s="167">
        <v>5620</v>
      </c>
      <c r="C90" s="168" t="s">
        <v>217</v>
      </c>
      <c r="D90" s="314">
        <v>283919</v>
      </c>
      <c r="E90" s="314">
        <v>1126848</v>
      </c>
      <c r="F90" s="314">
        <v>752980.6799999992</v>
      </c>
      <c r="G90" s="314">
        <v>1288086</v>
      </c>
      <c r="H90" s="318">
        <f t="shared" si="16"/>
        <v>161238</v>
      </c>
      <c r="I90" s="316">
        <f t="shared" si="17"/>
        <v>0.1430876214005794</v>
      </c>
      <c r="J90" s="318">
        <f t="shared" si="18"/>
        <v>535105.3200000008</v>
      </c>
      <c r="K90" s="319">
        <f t="shared" si="19"/>
        <v>0.7106494684564832</v>
      </c>
    </row>
    <row r="91" spans="2:11" ht="12.75">
      <c r="B91" s="167">
        <v>5625</v>
      </c>
      <c r="C91" s="168" t="s">
        <v>218</v>
      </c>
      <c r="D91" s="314">
        <v>-772114</v>
      </c>
      <c r="E91" s="314">
        <v>0</v>
      </c>
      <c r="F91" s="314">
        <v>0</v>
      </c>
      <c r="G91" s="314">
        <v>0</v>
      </c>
      <c r="H91" s="318">
        <f t="shared" si="16"/>
        <v>0</v>
      </c>
      <c r="I91" s="316">
        <f t="shared" si="17"/>
      </c>
      <c r="J91" s="318">
        <f t="shared" si="18"/>
        <v>0</v>
      </c>
      <c r="K91" s="319">
        <f t="shared" si="19"/>
      </c>
    </row>
    <row r="92" spans="2:11" ht="12.75">
      <c r="B92" s="167">
        <v>5630</v>
      </c>
      <c r="C92" s="168" t="s">
        <v>219</v>
      </c>
      <c r="D92" s="314">
        <v>889182</v>
      </c>
      <c r="E92" s="314">
        <v>1943204.5</v>
      </c>
      <c r="F92" s="314">
        <v>1362044.14</v>
      </c>
      <c r="G92" s="314">
        <v>1376840</v>
      </c>
      <c r="H92" s="318">
        <f t="shared" si="16"/>
        <v>-566364.5</v>
      </c>
      <c r="I92" s="316">
        <f t="shared" si="17"/>
        <v>-0.29145903068874124</v>
      </c>
      <c r="J92" s="318">
        <f t="shared" si="18"/>
        <v>14795.860000000102</v>
      </c>
      <c r="K92" s="319">
        <f t="shared" si="19"/>
        <v>0.010862981283411344</v>
      </c>
    </row>
    <row r="93" spans="2:11" ht="12.75">
      <c r="B93" s="167">
        <v>5635</v>
      </c>
      <c r="C93" s="168" t="s">
        <v>220</v>
      </c>
      <c r="D93" s="314">
        <v>67412</v>
      </c>
      <c r="E93" s="314">
        <v>58416</v>
      </c>
      <c r="F93" s="314">
        <v>0</v>
      </c>
      <c r="G93" s="314">
        <v>30000</v>
      </c>
      <c r="H93" s="318">
        <f t="shared" si="16"/>
        <v>-28416</v>
      </c>
      <c r="I93" s="316">
        <f t="shared" si="17"/>
        <v>-0.4864420706655711</v>
      </c>
      <c r="J93" s="318">
        <f t="shared" si="18"/>
        <v>30000</v>
      </c>
      <c r="K93" s="319">
        <f t="shared" si="19"/>
      </c>
    </row>
    <row r="94" spans="2:11" ht="12.75">
      <c r="B94" s="167">
        <v>5640</v>
      </c>
      <c r="C94" s="168" t="s">
        <v>221</v>
      </c>
      <c r="D94" s="314">
        <v>148035</v>
      </c>
      <c r="E94" s="314">
        <v>924000</v>
      </c>
      <c r="F94" s="314">
        <v>1618213.8199999998</v>
      </c>
      <c r="G94" s="314">
        <v>1808025</v>
      </c>
      <c r="H94" s="318">
        <f t="shared" si="16"/>
        <v>884025</v>
      </c>
      <c r="I94" s="316">
        <f t="shared" si="17"/>
        <v>0.956737012987013</v>
      </c>
      <c r="J94" s="318">
        <f t="shared" si="18"/>
        <v>189811.18000000017</v>
      </c>
      <c r="K94" s="319">
        <f t="shared" si="19"/>
        <v>0.11729672411276293</v>
      </c>
    </row>
    <row r="95" spans="2:11" ht="12.75">
      <c r="B95" s="167">
        <v>5645</v>
      </c>
      <c r="C95" s="168" t="s">
        <v>222</v>
      </c>
      <c r="D95" s="314">
        <v>0</v>
      </c>
      <c r="E95" s="314">
        <v>0</v>
      </c>
      <c r="F95" s="314">
        <v>-305560.77</v>
      </c>
      <c r="G95" s="314">
        <v>296640</v>
      </c>
      <c r="H95" s="318">
        <f t="shared" si="16"/>
        <v>296640</v>
      </c>
      <c r="I95" s="316">
        <f t="shared" si="17"/>
      </c>
      <c r="J95" s="318">
        <f t="shared" si="18"/>
        <v>602200.77</v>
      </c>
      <c r="K95" s="319">
        <f t="shared" si="19"/>
        <v>-1.9708052509489355</v>
      </c>
    </row>
    <row r="96" spans="2:11" ht="12.75">
      <c r="B96" s="167">
        <v>5650</v>
      </c>
      <c r="C96" s="168" t="s">
        <v>223</v>
      </c>
      <c r="D96" s="314">
        <v>0</v>
      </c>
      <c r="E96" s="314">
        <v>0</v>
      </c>
      <c r="F96" s="314">
        <v>0</v>
      </c>
      <c r="G96" s="314">
        <v>0</v>
      </c>
      <c r="H96" s="318">
        <f t="shared" si="16"/>
        <v>0</v>
      </c>
      <c r="I96" s="316">
        <f t="shared" si="17"/>
      </c>
      <c r="J96" s="318">
        <f t="shared" si="18"/>
        <v>0</v>
      </c>
      <c r="K96" s="319">
        <f t="shared" si="19"/>
      </c>
    </row>
    <row r="97" spans="2:11" ht="12.75">
      <c r="B97" s="167">
        <v>5655</v>
      </c>
      <c r="C97" s="168" t="s">
        <v>224</v>
      </c>
      <c r="D97" s="314">
        <v>220000</v>
      </c>
      <c r="E97" s="314">
        <v>1512800</v>
      </c>
      <c r="F97" s="314">
        <v>1236537.08</v>
      </c>
      <c r="G97" s="314">
        <v>1396665</v>
      </c>
      <c r="H97" s="318">
        <f t="shared" si="16"/>
        <v>-116135</v>
      </c>
      <c r="I97" s="316">
        <f t="shared" si="17"/>
        <v>-0.07676824431517715</v>
      </c>
      <c r="J97" s="318">
        <f t="shared" si="18"/>
        <v>160127.91999999993</v>
      </c>
      <c r="K97" s="319">
        <f t="shared" si="19"/>
        <v>0.1294970628782115</v>
      </c>
    </row>
    <row r="98" spans="2:11" ht="12.75">
      <c r="B98" s="167">
        <v>5660</v>
      </c>
      <c r="C98" s="168" t="s">
        <v>225</v>
      </c>
      <c r="D98" s="314">
        <v>0</v>
      </c>
      <c r="E98" s="314">
        <v>0</v>
      </c>
      <c r="F98" s="314">
        <v>0</v>
      </c>
      <c r="G98" s="314">
        <v>0</v>
      </c>
      <c r="H98" s="318">
        <f t="shared" si="16"/>
        <v>0</v>
      </c>
      <c r="I98" s="316">
        <f t="shared" si="17"/>
      </c>
      <c r="J98" s="318">
        <f t="shared" si="18"/>
        <v>0</v>
      </c>
      <c r="K98" s="319">
        <f t="shared" si="19"/>
      </c>
    </row>
    <row r="99" spans="2:11" ht="12.75">
      <c r="B99" s="167">
        <v>5665</v>
      </c>
      <c r="C99" s="168" t="s">
        <v>226</v>
      </c>
      <c r="D99" s="314">
        <v>-249479</v>
      </c>
      <c r="E99" s="314">
        <v>3524802.9453</v>
      </c>
      <c r="F99" s="314">
        <v>6938100.060000003</v>
      </c>
      <c r="G99" s="314">
        <v>10434519.05600999</v>
      </c>
      <c r="H99" s="318">
        <f t="shared" si="16"/>
        <v>6909716.110709989</v>
      </c>
      <c r="I99" s="316">
        <f t="shared" si="17"/>
        <v>1.9603127374605323</v>
      </c>
      <c r="J99" s="318">
        <f t="shared" si="18"/>
        <v>3496418.996009986</v>
      </c>
      <c r="K99" s="319">
        <f t="shared" si="19"/>
        <v>0.503944734981234</v>
      </c>
    </row>
    <row r="100" spans="2:11" ht="12.75">
      <c r="B100" s="167">
        <v>5670</v>
      </c>
      <c r="C100" s="168" t="s">
        <v>227</v>
      </c>
      <c r="D100" s="314">
        <v>0</v>
      </c>
      <c r="E100" s="314">
        <v>274728</v>
      </c>
      <c r="F100" s="314">
        <v>1003874.99</v>
      </c>
      <c r="G100" s="314">
        <v>1266677</v>
      </c>
      <c r="H100" s="318">
        <f t="shared" si="16"/>
        <v>991949</v>
      </c>
      <c r="I100" s="316">
        <f t="shared" si="17"/>
        <v>3.6106585422672604</v>
      </c>
      <c r="J100" s="318">
        <f t="shared" si="18"/>
        <v>262802.01</v>
      </c>
      <c r="K100" s="319">
        <f t="shared" si="19"/>
        <v>0.2617875857231984</v>
      </c>
    </row>
    <row r="101" spans="2:11" ht="12.75">
      <c r="B101" s="167">
        <v>5675</v>
      </c>
      <c r="C101" s="168" t="s">
        <v>228</v>
      </c>
      <c r="D101" s="314">
        <v>0</v>
      </c>
      <c r="E101" s="314">
        <v>710159.4371200001</v>
      </c>
      <c r="F101" s="314">
        <v>2356865.2100000004</v>
      </c>
      <c r="G101" s="314">
        <v>2829037.1089999983</v>
      </c>
      <c r="H101" s="318">
        <f t="shared" si="16"/>
        <v>2118877.6718799984</v>
      </c>
      <c r="I101" s="316">
        <f t="shared" si="17"/>
        <v>2.9836647393900053</v>
      </c>
      <c r="J101" s="318">
        <f t="shared" si="18"/>
        <v>472171.8989999979</v>
      </c>
      <c r="K101" s="319">
        <f t="shared" si="19"/>
        <v>0.2003389489549967</v>
      </c>
    </row>
    <row r="102" spans="2:11" ht="12.75">
      <c r="B102" s="167">
        <v>5680</v>
      </c>
      <c r="C102" s="168" t="s">
        <v>229</v>
      </c>
      <c r="D102" s="314">
        <v>40000</v>
      </c>
      <c r="E102" s="314">
        <v>0</v>
      </c>
      <c r="F102" s="314">
        <v>0</v>
      </c>
      <c r="G102" s="314">
        <v>0</v>
      </c>
      <c r="H102" s="318">
        <f t="shared" si="16"/>
        <v>0</v>
      </c>
      <c r="I102" s="316">
        <f t="shared" si="17"/>
      </c>
      <c r="J102" s="318">
        <f t="shared" si="18"/>
        <v>0</v>
      </c>
      <c r="K102" s="319">
        <f t="shared" si="19"/>
      </c>
    </row>
    <row r="103" spans="2:11" ht="12.75">
      <c r="B103" s="167">
        <v>5685</v>
      </c>
      <c r="C103" s="168" t="s">
        <v>230</v>
      </c>
      <c r="D103" s="314">
        <v>0</v>
      </c>
      <c r="E103" s="314">
        <v>0</v>
      </c>
      <c r="F103" s="314">
        <v>0</v>
      </c>
      <c r="G103" s="314">
        <v>0</v>
      </c>
      <c r="H103" s="320">
        <f t="shared" si="16"/>
        <v>0</v>
      </c>
      <c r="I103" s="321">
        <f t="shared" si="17"/>
      </c>
      <c r="J103" s="320">
        <f t="shared" si="18"/>
        <v>0</v>
      </c>
      <c r="K103" s="322">
        <f t="shared" si="19"/>
      </c>
    </row>
    <row r="104" spans="2:11" ht="12.75">
      <c r="B104" s="167">
        <v>5695</v>
      </c>
      <c r="C104" s="168" t="s">
        <v>231</v>
      </c>
      <c r="D104" s="314">
        <v>0</v>
      </c>
      <c r="E104" s="314">
        <v>-1004750</v>
      </c>
      <c r="F104" s="314">
        <v>1543831.28</v>
      </c>
      <c r="G104" s="314">
        <v>0</v>
      </c>
      <c r="H104" s="318">
        <f t="shared" si="16"/>
        <v>1004750</v>
      </c>
      <c r="I104" s="316">
        <f t="shared" si="17"/>
        <v>-1</v>
      </c>
      <c r="J104" s="318">
        <f t="shared" si="18"/>
        <v>-1543831.28</v>
      </c>
      <c r="K104" s="319">
        <f t="shared" si="19"/>
        <v>-1</v>
      </c>
    </row>
    <row r="105" spans="2:11" ht="13.5" thickBot="1">
      <c r="B105" s="178">
        <v>6205</v>
      </c>
      <c r="C105" s="168" t="s">
        <v>232</v>
      </c>
      <c r="D105" s="314">
        <v>0</v>
      </c>
      <c r="E105" s="314">
        <v>41000</v>
      </c>
      <c r="F105" s="314">
        <v>412008.74</v>
      </c>
      <c r="G105" s="314">
        <v>350000</v>
      </c>
      <c r="H105" s="320">
        <f t="shared" si="16"/>
        <v>309000</v>
      </c>
      <c r="I105" s="321">
        <f t="shared" si="17"/>
        <v>7.536585365853659</v>
      </c>
      <c r="J105" s="320">
        <f t="shared" si="18"/>
        <v>-62008.73999999999</v>
      </c>
      <c r="K105" s="322">
        <f t="shared" si="19"/>
        <v>-0.15050345776645413</v>
      </c>
    </row>
    <row r="106" spans="2:11" ht="14.25" thickBot="1" thickTop="1">
      <c r="B106" s="337" t="s">
        <v>233</v>
      </c>
      <c r="C106" s="173" t="s">
        <v>356</v>
      </c>
      <c r="D106" s="338"/>
      <c r="E106" s="339"/>
      <c r="F106" s="314">
        <v>-3568658.9366190005</v>
      </c>
      <c r="G106" s="314">
        <v>-2928401.7274531554</v>
      </c>
      <c r="H106" s="320"/>
      <c r="I106" s="321"/>
      <c r="J106" s="320"/>
      <c r="K106" s="322"/>
    </row>
    <row r="107" spans="2:11" ht="14.25" thickBot="1" thickTop="1">
      <c r="B107" s="185" t="s">
        <v>235</v>
      </c>
      <c r="C107" s="181"/>
      <c r="D107" s="336">
        <f>SUM(D87:D106)</f>
        <v>3381801</v>
      </c>
      <c r="E107" s="327">
        <f>SUM(E87:E106)</f>
        <v>17718646.24272</v>
      </c>
      <c r="F107" s="327">
        <f>SUM(F87:F106)</f>
        <v>27620031.493381</v>
      </c>
      <c r="G107" s="329">
        <f>SUM(G87:G106)</f>
        <v>34252629.292816855</v>
      </c>
      <c r="H107" s="329">
        <f>SUM(H87:H106)</f>
        <v>19462384.777550016</v>
      </c>
      <c r="I107" s="331">
        <f t="shared" si="17"/>
        <v>0.9331403101345914</v>
      </c>
      <c r="J107" s="330">
        <f t="shared" si="18"/>
        <v>6632597.799435854</v>
      </c>
      <c r="K107" s="331">
        <f t="shared" si="19"/>
        <v>0.24013722797619996</v>
      </c>
    </row>
    <row r="108" spans="2:11" ht="13.5" customHeight="1">
      <c r="B108" s="163" t="s">
        <v>145</v>
      </c>
      <c r="C108" s="953" t="s">
        <v>146</v>
      </c>
      <c r="D108" s="953"/>
      <c r="E108" s="953"/>
      <c r="F108" s="953"/>
      <c r="G108" s="953"/>
      <c r="H108" s="953"/>
      <c r="I108" s="953"/>
      <c r="J108" s="953"/>
      <c r="K108" s="954"/>
    </row>
    <row r="109" spans="2:11" ht="12.75">
      <c r="B109" s="907" t="s">
        <v>236</v>
      </c>
      <c r="C109" s="908"/>
      <c r="D109" s="908"/>
      <c r="E109" s="908"/>
      <c r="F109" s="908"/>
      <c r="G109" s="908"/>
      <c r="H109" s="908"/>
      <c r="I109" s="908"/>
      <c r="J109" s="908"/>
      <c r="K109" s="903"/>
    </row>
    <row r="110" spans="2:11" ht="12.75">
      <c r="B110" s="167">
        <v>6105</v>
      </c>
      <c r="C110" s="168" t="s">
        <v>237</v>
      </c>
      <c r="D110" s="340">
        <v>371935</v>
      </c>
      <c r="E110" s="340">
        <v>1088608.8279999997</v>
      </c>
      <c r="F110" s="340">
        <v>1603354.8800000004</v>
      </c>
      <c r="G110" s="340">
        <v>1795039</v>
      </c>
      <c r="H110" s="315">
        <f>G110-E110</f>
        <v>706430.1720000003</v>
      </c>
      <c r="I110" s="316">
        <f>IF(E110=0,"",(G110/E110)-1)</f>
        <v>0.648929306680214</v>
      </c>
      <c r="J110" s="315">
        <f>G110-F110</f>
        <v>191684.11999999965</v>
      </c>
      <c r="K110" s="317">
        <f>IF(F110=0,"",(G110/F110)-1)</f>
        <v>0.11955189857905912</v>
      </c>
    </row>
    <row r="111" spans="2:11" ht="12.75">
      <c r="B111" s="167">
        <v>6215</v>
      </c>
      <c r="C111" s="168" t="s">
        <v>238</v>
      </c>
      <c r="D111" s="340">
        <v>0</v>
      </c>
      <c r="E111" s="340">
        <v>30000</v>
      </c>
      <c r="F111" s="340">
        <v>5624.3</v>
      </c>
      <c r="G111" s="340">
        <v>31212</v>
      </c>
      <c r="H111" s="318">
        <f>G111-E111</f>
        <v>1212</v>
      </c>
      <c r="I111" s="316">
        <f>IF(E111=0,"",(G111/E111)-1)</f>
        <v>0.04039999999999999</v>
      </c>
      <c r="J111" s="318">
        <f>G111-F111</f>
        <v>25587.7</v>
      </c>
      <c r="K111" s="319">
        <f>IF(F111=0,"",(G111/F111)-1)</f>
        <v>4.549490603275074</v>
      </c>
    </row>
    <row r="112" spans="2:11" ht="13.5" thickBot="1">
      <c r="B112" s="167">
        <v>6225</v>
      </c>
      <c r="C112" s="168" t="s">
        <v>239</v>
      </c>
      <c r="D112" s="340">
        <v>0</v>
      </c>
      <c r="E112" s="340">
        <v>0</v>
      </c>
      <c r="F112" s="340">
        <v>0</v>
      </c>
      <c r="G112" s="340">
        <v>0</v>
      </c>
      <c r="H112" s="320">
        <f>G112-E112</f>
        <v>0</v>
      </c>
      <c r="I112" s="321">
        <f>IF(E112=0,"",(G112/E112)-1)</f>
      </c>
      <c r="J112" s="320">
        <f>G112-F112</f>
        <v>0</v>
      </c>
      <c r="K112" s="322">
        <f>IF(F112=0,"",(G112/F112)-1)</f>
      </c>
    </row>
    <row r="113" spans="2:11" ht="14.25" thickBot="1" thickTop="1">
      <c r="B113" s="185" t="s">
        <v>357</v>
      </c>
      <c r="C113" s="181"/>
      <c r="D113" s="336">
        <f>SUM(D110:D112)</f>
        <v>371935</v>
      </c>
      <c r="E113" s="336">
        <f>SUM(E110:E112)</f>
        <v>1118608.8279999997</v>
      </c>
      <c r="F113" s="336">
        <f>SUM(F110:F112)</f>
        <v>1608979.1800000004</v>
      </c>
      <c r="G113" s="336">
        <f>SUM(G110:G112)</f>
        <v>1826251</v>
      </c>
      <c r="H113" s="329"/>
      <c r="I113" s="331"/>
      <c r="J113" s="330"/>
      <c r="K113" s="331"/>
    </row>
    <row r="114" spans="2:11" ht="13.5" thickBot="1">
      <c r="B114" s="931" t="s">
        <v>241</v>
      </c>
      <c r="C114" s="933"/>
      <c r="D114" s="341">
        <f>D107+D84+D72+D61+D40+D113</f>
        <v>10047532</v>
      </c>
      <c r="E114" s="341">
        <f aca="true" t="shared" si="20" ref="E114:J114">E107+E84+E72+E61+E40+E113</f>
        <v>43216300.26689026</v>
      </c>
      <c r="F114" s="341">
        <f t="shared" si="20"/>
        <v>73885361.25338101</v>
      </c>
      <c r="G114" s="341">
        <f t="shared" si="20"/>
        <v>85701101.10198157</v>
      </c>
      <c r="H114" s="341">
        <f t="shared" si="20"/>
        <v>44705560.39054447</v>
      </c>
      <c r="I114" s="342">
        <f t="shared" si="17"/>
        <v>0.9830735294950876</v>
      </c>
      <c r="J114" s="341">
        <f t="shared" si="20"/>
        <v>11598468.028600559</v>
      </c>
      <c r="K114" s="342">
        <f t="shared" si="19"/>
        <v>0.1599199035933503</v>
      </c>
    </row>
    <row r="115" spans="4:7" s="343" customFormat="1" ht="12.75">
      <c r="D115" s="344">
        <f>D114-D129</f>
        <v>0</v>
      </c>
      <c r="E115" s="344">
        <f>E114-E129</f>
        <v>0</v>
      </c>
      <c r="F115" s="344">
        <f>F114-F129</f>
        <v>0</v>
      </c>
      <c r="G115" s="344">
        <f>G114-G129</f>
        <v>0</v>
      </c>
    </row>
    <row r="116" ht="12.75">
      <c r="D116" s="345"/>
    </row>
    <row r="117" spans="2:8" ht="12.75">
      <c r="B117" s="2" t="s">
        <v>50</v>
      </c>
      <c r="C117" s="920" t="s">
        <v>51</v>
      </c>
      <c r="D117" s="920"/>
      <c r="E117" s="920"/>
      <c r="F117" s="920"/>
      <c r="G117" s="920"/>
      <c r="H117" s="920"/>
    </row>
    <row r="118" spans="3:8" ht="12.75">
      <c r="C118" s="920" t="s">
        <v>358</v>
      </c>
      <c r="D118" s="920"/>
      <c r="E118" s="920"/>
      <c r="F118" s="920"/>
      <c r="G118" s="920"/>
      <c r="H118" s="920"/>
    </row>
    <row r="119" spans="3:8" ht="12.75">
      <c r="C119" s="920" t="s">
        <v>53</v>
      </c>
      <c r="D119" s="920"/>
      <c r="E119" s="920"/>
      <c r="F119" s="920"/>
      <c r="G119" s="920"/>
      <c r="H119" s="920"/>
    </row>
    <row r="120" spans="3:8" ht="12.75">
      <c r="C120" s="920" t="s">
        <v>359</v>
      </c>
      <c r="D120" s="920"/>
      <c r="E120" s="920"/>
      <c r="F120" s="920"/>
      <c r="G120" s="920"/>
      <c r="H120" s="920"/>
    </row>
    <row r="121" spans="2:8" ht="38.25">
      <c r="B121" s="346" t="s">
        <v>55</v>
      </c>
      <c r="C121" s="48" t="s">
        <v>360</v>
      </c>
      <c r="D121" s="48"/>
      <c r="E121" s="48"/>
      <c r="F121" s="48"/>
      <c r="G121" s="48"/>
      <c r="H121" s="48"/>
    </row>
    <row r="122" spans="3:8" ht="12.75">
      <c r="C122" s="48"/>
      <c r="D122" s="48"/>
      <c r="E122" s="48"/>
      <c r="F122" s="48"/>
      <c r="G122" s="48"/>
      <c r="H122" s="48"/>
    </row>
    <row r="123" ht="12.75" hidden="1" outlineLevel="1">
      <c r="C123" s="347" t="s">
        <v>361</v>
      </c>
    </row>
    <row r="124" spans="3:7" ht="12.75" hidden="1" outlineLevel="1">
      <c r="C124" s="1" t="s">
        <v>30</v>
      </c>
      <c r="D124" s="348">
        <v>2679417</v>
      </c>
      <c r="E124" s="348">
        <v>9418016.242628181</v>
      </c>
      <c r="F124" s="348">
        <v>19579408.03</v>
      </c>
      <c r="G124" s="348">
        <v>24964004.54985821</v>
      </c>
    </row>
    <row r="125" spans="3:7" ht="12.75" hidden="1" outlineLevel="1">
      <c r="C125" s="1" t="s">
        <v>31</v>
      </c>
      <c r="D125" s="348">
        <v>1851979</v>
      </c>
      <c r="E125" s="348">
        <v>6470562.38610929</v>
      </c>
      <c r="F125" s="348">
        <v>7350509.14</v>
      </c>
      <c r="G125" s="348">
        <v>7636632.574984847</v>
      </c>
    </row>
    <row r="126" spans="3:7" ht="12.75" hidden="1" outlineLevel="1">
      <c r="C126" s="1" t="s">
        <v>362</v>
      </c>
      <c r="D126" s="348">
        <v>1541251</v>
      </c>
      <c r="E126" s="348">
        <v>7791991.95243279</v>
      </c>
      <c r="F126" s="348">
        <v>15652528.100000003</v>
      </c>
      <c r="G126" s="348">
        <v>15756981.386743873</v>
      </c>
    </row>
    <row r="127" spans="3:7" ht="12.75" hidden="1" outlineLevel="1">
      <c r="C127" s="1" t="s">
        <v>363</v>
      </c>
      <c r="D127" s="348">
        <v>221149</v>
      </c>
      <c r="E127" s="348">
        <v>698474.6149999999</v>
      </c>
      <c r="F127" s="348">
        <v>2073905.31</v>
      </c>
      <c r="G127" s="348">
        <v>1264602.297577783</v>
      </c>
    </row>
    <row r="128" spans="3:7" ht="12.75" hidden="1" outlineLevel="1">
      <c r="C128" s="1" t="s">
        <v>364</v>
      </c>
      <c r="D128" s="348">
        <v>3753736</v>
      </c>
      <c r="E128" s="348">
        <v>18837255.070720002</v>
      </c>
      <c r="F128" s="348">
        <v>29229010.673381</v>
      </c>
      <c r="G128" s="348">
        <v>36078880.292816855</v>
      </c>
    </row>
    <row r="129" spans="4:7" ht="13.5" hidden="1" outlineLevel="1" thickBot="1">
      <c r="D129" s="349">
        <f>SUM(D124:D128)</f>
        <v>10047532</v>
      </c>
      <c r="E129" s="349">
        <f>SUM(E124:E128)</f>
        <v>43216300.26689026</v>
      </c>
      <c r="F129" s="349">
        <f>SUM(F124:F128)</f>
        <v>73885361.25338101</v>
      </c>
      <c r="G129" s="349">
        <f>SUM(G124:G128)</f>
        <v>85701101.10198157</v>
      </c>
    </row>
    <row r="130" ht="12.75" hidden="1" outlineLevel="1">
      <c r="C130" s="1" t="s">
        <v>365</v>
      </c>
    </row>
    <row r="131" spans="3:7" ht="12.75" hidden="1" outlineLevel="1">
      <c r="C131" s="1" t="s">
        <v>30</v>
      </c>
      <c r="D131" s="348">
        <f>D40-D124</f>
        <v>0</v>
      </c>
      <c r="E131" s="348">
        <f>E40-E124</f>
        <v>0</v>
      </c>
      <c r="F131" s="348">
        <f>F40-F124</f>
        <v>0</v>
      </c>
      <c r="G131" s="348">
        <f>G40-G124</f>
        <v>0</v>
      </c>
    </row>
    <row r="132" spans="3:7" ht="12.75" hidden="1" outlineLevel="1">
      <c r="C132" s="1" t="s">
        <v>31</v>
      </c>
      <c r="D132" s="348">
        <f>D61-D125</f>
        <v>0</v>
      </c>
      <c r="E132" s="348">
        <f>E61-E125</f>
        <v>0</v>
      </c>
      <c r="F132" s="348">
        <f>F61-F125</f>
        <v>0</v>
      </c>
      <c r="G132" s="348">
        <f>G61-G125</f>
        <v>0</v>
      </c>
    </row>
    <row r="133" spans="3:7" ht="12.75" hidden="1" outlineLevel="1">
      <c r="C133" s="1" t="s">
        <v>362</v>
      </c>
      <c r="D133" s="348">
        <f>D72-D126</f>
        <v>0</v>
      </c>
      <c r="E133" s="348">
        <f>E72-E126</f>
        <v>0</v>
      </c>
      <c r="F133" s="348">
        <f>F72-F126</f>
        <v>0</v>
      </c>
      <c r="G133" s="348">
        <f>G72-G126</f>
        <v>0</v>
      </c>
    </row>
    <row r="134" spans="3:7" ht="12.75" hidden="1" outlineLevel="1">
      <c r="C134" s="1" t="s">
        <v>363</v>
      </c>
      <c r="D134" s="348">
        <f>D84-D127</f>
        <v>0</v>
      </c>
      <c r="E134" s="348">
        <f>E84-E127</f>
        <v>0</v>
      </c>
      <c r="F134" s="348">
        <f>F84-F127</f>
        <v>0</v>
      </c>
      <c r="G134" s="348">
        <f>G84-G127</f>
        <v>0</v>
      </c>
    </row>
    <row r="135" spans="3:7" ht="12.75" hidden="1" outlineLevel="1">
      <c r="C135" s="1" t="s">
        <v>364</v>
      </c>
      <c r="D135" s="348">
        <f>D107+D113-D128</f>
        <v>0</v>
      </c>
      <c r="E135" s="348">
        <f>E107+E113-E128</f>
        <v>0</v>
      </c>
      <c r="F135" s="348">
        <f>F107+F113-F128</f>
        <v>0</v>
      </c>
      <c r="G135" s="348">
        <f>G107+G113-G128</f>
        <v>0</v>
      </c>
    </row>
    <row r="136" spans="4:7" ht="13.5" hidden="1" outlineLevel="1" thickBot="1">
      <c r="D136" s="349">
        <f>SUM(D131:D135)</f>
        <v>0</v>
      </c>
      <c r="E136" s="349">
        <f>SUM(E131:E135)</f>
        <v>0</v>
      </c>
      <c r="F136" s="349">
        <f>SUM(F131:F135)</f>
        <v>0</v>
      </c>
      <c r="G136" s="349">
        <f>SUM(G131:G135)</f>
        <v>0</v>
      </c>
    </row>
    <row r="137" ht="12.75" collapsed="1"/>
  </sheetData>
  <sheetProtection/>
  <mergeCells count="30">
    <mergeCell ref="B9:K9"/>
    <mergeCell ref="B10:K10"/>
    <mergeCell ref="B11:K11"/>
    <mergeCell ref="B14:B15"/>
    <mergeCell ref="C14:C15"/>
    <mergeCell ref="D14:D15"/>
    <mergeCell ref="E14:E15"/>
    <mergeCell ref="F14:F15"/>
    <mergeCell ref="G14:G15"/>
    <mergeCell ref="H14:I14"/>
    <mergeCell ref="J14:K14"/>
    <mergeCell ref="B16:K16"/>
    <mergeCell ref="B40:C40"/>
    <mergeCell ref="C41:K41"/>
    <mergeCell ref="B42:K42"/>
    <mergeCell ref="B61:C61"/>
    <mergeCell ref="C62:K62"/>
    <mergeCell ref="B63:K63"/>
    <mergeCell ref="B72:C72"/>
    <mergeCell ref="C73:K73"/>
    <mergeCell ref="B74:K74"/>
    <mergeCell ref="C85:K85"/>
    <mergeCell ref="C119:H119"/>
    <mergeCell ref="C120:H120"/>
    <mergeCell ref="B86:K86"/>
    <mergeCell ref="C108:K108"/>
    <mergeCell ref="B109:K109"/>
    <mergeCell ref="B114:C114"/>
    <mergeCell ref="C117:H117"/>
    <mergeCell ref="C118:H118"/>
  </mergeCells>
  <conditionalFormatting sqref="D115:H115">
    <cfRule type="expression" priority="1" dxfId="0" stopIfTrue="1">
      <formula>$D$115&lt;&gt;0</formula>
    </cfRule>
  </conditionalFormatting>
  <dataValidations count="1">
    <dataValidation allowBlank="1" showInputMessage="1" showErrorMessage="1" promptTitle="Date Format" prompt="E.g:  &quot;August 1, 2011&quot;" sqref="K7"/>
  </dataValidations>
  <printOptions horizontalCentered="1"/>
  <pageMargins left="0.49" right="0.75" top="0.25" bottom="0.5" header="0.25" footer="0.5"/>
  <pageSetup fitToHeight="0" fitToWidth="1" horizontalDpi="600" verticalDpi="600" orientation="landscape" scale="68" r:id="rId1"/>
  <rowBreaks count="3" manualBreakCount="3">
    <brk id="40" max="10" man="1"/>
    <brk id="61" max="10" man="1"/>
    <brk id="84" max="10" man="1"/>
  </rowBreaks>
  <colBreaks count="1" manualBreakCount="1">
    <brk id="1" max="127" man="1"/>
  </colBreaks>
</worksheet>
</file>

<file path=xl/worksheets/sheet11.xml><?xml version="1.0" encoding="utf-8"?>
<worksheet xmlns="http://schemas.openxmlformats.org/spreadsheetml/2006/main" xmlns:r="http://schemas.openxmlformats.org/officeDocument/2006/relationships">
  <dimension ref="A1:K134"/>
  <sheetViews>
    <sheetView showGridLines="0" zoomScaleSheetLayoutView="85" zoomScalePageLayoutView="0" workbookViewId="0" topLeftCell="A1">
      <selection activeCell="H139" sqref="H139"/>
    </sheetView>
  </sheetViews>
  <sheetFormatPr defaultColWidth="9.140625" defaultRowHeight="15"/>
  <cols>
    <col min="1" max="1" width="2.7109375" style="1" customWidth="1"/>
    <col min="2" max="2" width="37.421875" style="1" customWidth="1"/>
    <col min="3" max="4" width="12.7109375" style="2" customWidth="1"/>
    <col min="5" max="5" width="18.28125" style="1" bestFit="1" customWidth="1"/>
    <col min="6" max="6" width="18.00390625" style="1" bestFit="1" customWidth="1"/>
    <col min="7" max="7" width="17.57421875" style="1" bestFit="1" customWidth="1"/>
    <col min="8" max="8" width="17.8515625" style="1" bestFit="1" customWidth="1"/>
    <col min="9" max="9" width="17.57421875" style="1" customWidth="1"/>
    <col min="10" max="16384" width="9.140625" style="1" customWidth="1"/>
  </cols>
  <sheetData>
    <row r="1" spans="8:9" ht="12.75">
      <c r="H1" s="2" t="s">
        <v>10</v>
      </c>
      <c r="I1" s="3" t="s">
        <v>11</v>
      </c>
    </row>
    <row r="2" spans="8:9" ht="12.75">
      <c r="H2" s="2" t="s">
        <v>12</v>
      </c>
      <c r="I2" s="350" t="s">
        <v>13</v>
      </c>
    </row>
    <row r="3" spans="8:9" ht="12.75">
      <c r="H3" s="2" t="s">
        <v>14</v>
      </c>
      <c r="I3" s="350">
        <v>5</v>
      </c>
    </row>
    <row r="4" spans="8:9" ht="12.75">
      <c r="H4" s="2" t="s">
        <v>16</v>
      </c>
      <c r="I4" s="350">
        <v>5</v>
      </c>
    </row>
    <row r="5" spans="8:9" ht="12.75">
      <c r="H5" s="2" t="s">
        <v>18</v>
      </c>
      <c r="I5" s="3"/>
    </row>
    <row r="6" ht="9" customHeight="1">
      <c r="H6" s="2"/>
    </row>
    <row r="7" spans="8:9" ht="12.75">
      <c r="H7" s="2" t="s">
        <v>19</v>
      </c>
      <c r="I7" s="6">
        <v>41033</v>
      </c>
    </row>
    <row r="8" ht="9" customHeight="1"/>
    <row r="9" spans="2:9" ht="17.25" customHeight="1">
      <c r="B9" s="919" t="s">
        <v>366</v>
      </c>
      <c r="C9" s="919"/>
      <c r="D9" s="919"/>
      <c r="E9" s="919"/>
      <c r="F9" s="919"/>
      <c r="G9" s="919"/>
      <c r="H9" s="919"/>
      <c r="I9" s="919"/>
    </row>
    <row r="10" spans="2:9" s="223" customFormat="1" ht="36" customHeight="1">
      <c r="B10" s="963" t="s">
        <v>367</v>
      </c>
      <c r="C10" s="963"/>
      <c r="D10" s="963"/>
      <c r="E10" s="963"/>
      <c r="F10" s="963"/>
      <c r="G10" s="963"/>
      <c r="H10" s="963"/>
      <c r="I10" s="963"/>
    </row>
    <row r="11" spans="2:9" ht="14.25" customHeight="1">
      <c r="B11" s="351"/>
      <c r="C11" s="352">
        <v>2008</v>
      </c>
      <c r="D11" s="28">
        <v>2009</v>
      </c>
      <c r="E11" s="28">
        <v>2009</v>
      </c>
      <c r="F11" s="28">
        <v>2010</v>
      </c>
      <c r="G11" s="28">
        <v>2011</v>
      </c>
      <c r="H11" s="28">
        <v>2012</v>
      </c>
      <c r="I11" s="28" t="s">
        <v>152</v>
      </c>
    </row>
    <row r="12" spans="2:9" ht="14.25" customHeight="1">
      <c r="B12" s="351"/>
      <c r="C12" s="352" t="s">
        <v>368</v>
      </c>
      <c r="D12" s="28" t="s">
        <v>62</v>
      </c>
      <c r="E12" s="353" t="s">
        <v>63</v>
      </c>
      <c r="F12" s="353"/>
      <c r="G12" s="353"/>
      <c r="H12" s="353"/>
      <c r="I12" s="353"/>
    </row>
    <row r="13" spans="2:9" ht="40.5" customHeight="1">
      <c r="B13" s="351"/>
      <c r="C13" s="354" t="s">
        <v>369</v>
      </c>
      <c r="D13" s="354" t="s">
        <v>369</v>
      </c>
      <c r="E13" s="354" t="s">
        <v>370</v>
      </c>
      <c r="F13" s="354" t="s">
        <v>370</v>
      </c>
      <c r="G13" s="354" t="s">
        <v>370</v>
      </c>
      <c r="H13" s="354" t="s">
        <v>371</v>
      </c>
      <c r="I13" s="354" t="s">
        <v>371</v>
      </c>
    </row>
    <row r="14" spans="2:9" ht="12.75">
      <c r="B14" s="355" t="s">
        <v>372</v>
      </c>
      <c r="C14" s="356"/>
      <c r="D14" s="356"/>
      <c r="E14" s="356"/>
      <c r="F14" s="356"/>
      <c r="G14" s="356"/>
      <c r="H14" s="356"/>
      <c r="I14" s="357"/>
    </row>
    <row r="15" spans="2:9" ht="12.75">
      <c r="B15" s="358" t="s">
        <v>373</v>
      </c>
      <c r="C15" s="359">
        <v>5</v>
      </c>
      <c r="D15" s="360">
        <v>10</v>
      </c>
      <c r="E15" s="361">
        <v>13</v>
      </c>
      <c r="F15" s="361">
        <v>13</v>
      </c>
      <c r="G15" s="362">
        <v>13</v>
      </c>
      <c r="H15" s="362">
        <v>13</v>
      </c>
      <c r="I15" s="362">
        <v>13</v>
      </c>
    </row>
    <row r="16" spans="2:9" ht="12.75">
      <c r="B16" s="358" t="s">
        <v>374</v>
      </c>
      <c r="C16" s="359">
        <v>4</v>
      </c>
      <c r="D16" s="360">
        <v>18</v>
      </c>
      <c r="E16" s="361">
        <v>28</v>
      </c>
      <c r="F16" s="361">
        <v>27</v>
      </c>
      <c r="G16" s="362">
        <v>28</v>
      </c>
      <c r="H16" s="362">
        <v>28</v>
      </c>
      <c r="I16" s="362">
        <v>28</v>
      </c>
    </row>
    <row r="17" spans="2:9" ht="12.75">
      <c r="B17" s="358" t="s">
        <v>375</v>
      </c>
      <c r="C17" s="359">
        <v>24</v>
      </c>
      <c r="D17" s="360">
        <v>66</v>
      </c>
      <c r="E17" s="361">
        <v>80</v>
      </c>
      <c r="F17" s="361">
        <v>83</v>
      </c>
      <c r="G17" s="362">
        <v>76</v>
      </c>
      <c r="H17" s="362">
        <v>86</v>
      </c>
      <c r="I17" s="362">
        <v>89</v>
      </c>
    </row>
    <row r="18" spans="2:9" ht="12.75">
      <c r="B18" s="358" t="s">
        <v>376</v>
      </c>
      <c r="C18" s="359">
        <v>13</v>
      </c>
      <c r="D18" s="360">
        <v>54</v>
      </c>
      <c r="E18" s="361">
        <v>44</v>
      </c>
      <c r="F18" s="361">
        <v>48</v>
      </c>
      <c r="G18" s="362">
        <v>49</v>
      </c>
      <c r="H18" s="362">
        <v>54</v>
      </c>
      <c r="I18" s="362">
        <v>61</v>
      </c>
    </row>
    <row r="19" spans="2:9" ht="12.75">
      <c r="B19" s="358" t="s">
        <v>377</v>
      </c>
      <c r="C19" s="359">
        <v>77</v>
      </c>
      <c r="D19" s="360">
        <v>263</v>
      </c>
      <c r="E19" s="361">
        <v>306</v>
      </c>
      <c r="F19" s="361">
        <v>314</v>
      </c>
      <c r="G19" s="362">
        <v>315</v>
      </c>
      <c r="H19" s="362">
        <v>328</v>
      </c>
      <c r="I19" s="362">
        <v>337</v>
      </c>
    </row>
    <row r="20" spans="2:9" ht="12.75">
      <c r="B20" s="358" t="s">
        <v>378</v>
      </c>
      <c r="C20" s="359"/>
      <c r="D20" s="360">
        <v>23</v>
      </c>
      <c r="E20" s="361">
        <v>45</v>
      </c>
      <c r="F20" s="361">
        <v>43</v>
      </c>
      <c r="G20" s="362">
        <v>47</v>
      </c>
      <c r="H20" s="362">
        <v>41</v>
      </c>
      <c r="I20" s="362">
        <v>41</v>
      </c>
    </row>
    <row r="21" spans="2:9" s="2" customFormat="1" ht="12.75">
      <c r="B21" s="363" t="s">
        <v>112</v>
      </c>
      <c r="C21" s="364">
        <v>123</v>
      </c>
      <c r="D21" s="360">
        <v>434</v>
      </c>
      <c r="E21" s="365">
        <v>516</v>
      </c>
      <c r="F21" s="365">
        <v>528</v>
      </c>
      <c r="G21" s="364">
        <v>529</v>
      </c>
      <c r="H21" s="364">
        <v>549</v>
      </c>
      <c r="I21" s="364">
        <v>569</v>
      </c>
    </row>
    <row r="22" spans="2:9" ht="12.75">
      <c r="B22" s="355" t="s">
        <v>379</v>
      </c>
      <c r="C22" s="366"/>
      <c r="D22" s="366"/>
      <c r="E22" s="366"/>
      <c r="F22" s="366"/>
      <c r="G22" s="366"/>
      <c r="H22" s="366"/>
      <c r="I22" s="367"/>
    </row>
    <row r="23" spans="2:9" ht="12.75">
      <c r="B23" s="358" t="s">
        <v>374</v>
      </c>
      <c r="C23" s="359"/>
      <c r="D23" s="359"/>
      <c r="E23" s="368"/>
      <c r="F23" s="368"/>
      <c r="G23" s="368"/>
      <c r="H23" s="368"/>
      <c r="I23" s="368"/>
    </row>
    <row r="24" spans="2:9" ht="12.75">
      <c r="B24" s="358" t="s">
        <v>375</v>
      </c>
      <c r="C24" s="359"/>
      <c r="D24" s="359"/>
      <c r="E24" s="369">
        <v>1</v>
      </c>
      <c r="F24" s="369">
        <v>1</v>
      </c>
      <c r="G24" s="369">
        <v>1</v>
      </c>
      <c r="H24" s="369">
        <v>1</v>
      </c>
      <c r="I24" s="369">
        <v>1</v>
      </c>
    </row>
    <row r="25" spans="2:9" ht="12.75">
      <c r="B25" s="358" t="s">
        <v>376</v>
      </c>
      <c r="C25" s="359">
        <v>5</v>
      </c>
      <c r="D25" s="359"/>
      <c r="E25" s="368"/>
      <c r="F25" s="368"/>
      <c r="G25" s="368"/>
      <c r="H25" s="368"/>
      <c r="I25" s="368"/>
    </row>
    <row r="26" spans="2:9" ht="12.75">
      <c r="B26" s="358" t="s">
        <v>377</v>
      </c>
      <c r="C26" s="359"/>
      <c r="D26" s="359"/>
      <c r="E26" s="369">
        <v>1</v>
      </c>
      <c r="F26" s="369">
        <v>1</v>
      </c>
      <c r="G26" s="369">
        <v>1</v>
      </c>
      <c r="H26" s="369">
        <v>1</v>
      </c>
      <c r="I26" s="369">
        <v>1</v>
      </c>
    </row>
    <row r="27" spans="2:9" ht="12.75">
      <c r="B27" s="363" t="s">
        <v>112</v>
      </c>
      <c r="C27" s="359">
        <v>5</v>
      </c>
      <c r="D27" s="359" t="s">
        <v>380</v>
      </c>
      <c r="E27" s="369">
        <v>2</v>
      </c>
      <c r="F27" s="369">
        <v>2</v>
      </c>
      <c r="G27" s="369">
        <v>2</v>
      </c>
      <c r="H27" s="369">
        <v>2</v>
      </c>
      <c r="I27" s="369">
        <v>2</v>
      </c>
    </row>
    <row r="28" spans="2:9" ht="12.75">
      <c r="B28" s="355" t="s">
        <v>381</v>
      </c>
      <c r="C28" s="356"/>
      <c r="D28" s="356"/>
      <c r="E28" s="356"/>
      <c r="F28" s="356"/>
      <c r="G28" s="356"/>
      <c r="H28" s="356"/>
      <c r="I28" s="357"/>
    </row>
    <row r="29" spans="2:9" ht="12.75">
      <c r="B29" s="358" t="s">
        <v>373</v>
      </c>
      <c r="C29" s="370"/>
      <c r="D29" s="370">
        <v>300770</v>
      </c>
      <c r="E29" s="371">
        <v>265148</v>
      </c>
      <c r="F29" s="371">
        <v>259700</v>
      </c>
      <c r="G29" s="371">
        <v>286350</v>
      </c>
      <c r="H29" s="371">
        <v>384705</v>
      </c>
      <c r="I29" s="371">
        <v>396247</v>
      </c>
    </row>
    <row r="30" spans="2:9" ht="12.75">
      <c r="B30" s="358" t="s">
        <v>374</v>
      </c>
      <c r="C30" s="370">
        <v>525030</v>
      </c>
      <c r="D30" s="370">
        <v>3137562</v>
      </c>
      <c r="E30" s="371">
        <v>4480371</v>
      </c>
      <c r="F30" s="371">
        <v>4506488</v>
      </c>
      <c r="G30" s="371">
        <v>4913204</v>
      </c>
      <c r="H30" s="371">
        <v>4901404</v>
      </c>
      <c r="I30" s="371">
        <v>5093239</v>
      </c>
    </row>
    <row r="31" spans="2:9" ht="12.75">
      <c r="B31" s="358" t="s">
        <v>375</v>
      </c>
      <c r="C31" s="370">
        <v>2079739</v>
      </c>
      <c r="D31" s="370">
        <v>6500109</v>
      </c>
      <c r="E31" s="371">
        <v>7655684</v>
      </c>
      <c r="F31" s="371">
        <v>8095730</v>
      </c>
      <c r="G31" s="371">
        <v>7968621</v>
      </c>
      <c r="H31" s="371">
        <v>9191456</v>
      </c>
      <c r="I31" s="371">
        <v>9887022</v>
      </c>
    </row>
    <row r="32" spans="2:9" ht="12.75">
      <c r="B32" s="358" t="s">
        <v>376</v>
      </c>
      <c r="C32" s="370">
        <v>765268</v>
      </c>
      <c r="D32" s="370">
        <v>3357381</v>
      </c>
      <c r="E32" s="371">
        <v>3562110</v>
      </c>
      <c r="F32" s="371">
        <v>3964454</v>
      </c>
      <c r="G32" s="371">
        <v>4348556</v>
      </c>
      <c r="H32" s="371">
        <v>4591121</v>
      </c>
      <c r="I32" s="371">
        <v>5466397</v>
      </c>
    </row>
    <row r="33" spans="2:9" ht="12.75">
      <c r="B33" s="358" t="s">
        <v>377</v>
      </c>
      <c r="C33" s="370">
        <v>5086257</v>
      </c>
      <c r="D33" s="370">
        <v>16937753</v>
      </c>
      <c r="E33" s="371">
        <v>19965669</v>
      </c>
      <c r="F33" s="371">
        <v>21486970</v>
      </c>
      <c r="G33" s="371">
        <v>22111996</v>
      </c>
      <c r="H33" s="371">
        <v>23622587</v>
      </c>
      <c r="I33" s="371">
        <v>25130245</v>
      </c>
    </row>
    <row r="34" spans="2:9" ht="12.75">
      <c r="B34" s="358" t="s">
        <v>378</v>
      </c>
      <c r="C34" s="370"/>
      <c r="D34" s="370" t="s">
        <v>382</v>
      </c>
      <c r="E34" s="371">
        <v>1645620</v>
      </c>
      <c r="F34" s="371">
        <v>1370150</v>
      </c>
      <c r="G34" s="371">
        <v>1456837</v>
      </c>
      <c r="H34" s="371">
        <v>1517836</v>
      </c>
      <c r="I34" s="371">
        <v>1563826</v>
      </c>
    </row>
    <row r="35" spans="2:9" s="2" customFormat="1" ht="12.75">
      <c r="B35" s="363" t="s">
        <v>112</v>
      </c>
      <c r="C35" s="370">
        <v>8456294</v>
      </c>
      <c r="D35" s="370">
        <v>30233575</v>
      </c>
      <c r="E35" s="370">
        <v>37574602</v>
      </c>
      <c r="F35" s="370">
        <v>39683492</v>
      </c>
      <c r="G35" s="370">
        <v>41085563</v>
      </c>
      <c r="H35" s="370">
        <v>44209109</v>
      </c>
      <c r="I35" s="370">
        <v>47536976</v>
      </c>
    </row>
    <row r="36" spans="2:9" ht="12.75">
      <c r="B36" s="355" t="s">
        <v>383</v>
      </c>
      <c r="C36" s="356"/>
      <c r="D36" s="356"/>
      <c r="E36" s="356"/>
      <c r="F36" s="356"/>
      <c r="G36" s="356"/>
      <c r="H36" s="356"/>
      <c r="I36" s="357"/>
    </row>
    <row r="37" spans="2:9" ht="12.75">
      <c r="B37" s="358" t="s">
        <v>373</v>
      </c>
      <c r="C37" s="370"/>
      <c r="D37" s="370"/>
      <c r="E37" s="371"/>
      <c r="F37" s="371"/>
      <c r="G37" s="371"/>
      <c r="H37" s="371"/>
      <c r="I37" s="371"/>
    </row>
    <row r="38" spans="2:9" ht="12.75">
      <c r="B38" s="358" t="s">
        <v>374</v>
      </c>
      <c r="C38" s="370"/>
      <c r="D38" s="370"/>
      <c r="E38" s="371">
        <v>0</v>
      </c>
      <c r="F38" s="371" t="s">
        <v>382</v>
      </c>
      <c r="G38" s="371"/>
      <c r="H38" s="371"/>
      <c r="I38" s="371"/>
    </row>
    <row r="39" spans="2:9" ht="12.75">
      <c r="B39" s="358" t="s">
        <v>375</v>
      </c>
      <c r="C39" s="370"/>
      <c r="D39" s="370"/>
      <c r="E39" s="371">
        <v>189874</v>
      </c>
      <c r="F39" s="371">
        <v>93659</v>
      </c>
      <c r="G39" s="371">
        <v>95670</v>
      </c>
      <c r="H39" s="371">
        <v>26123</v>
      </c>
      <c r="I39" s="371">
        <v>26903</v>
      </c>
    </row>
    <row r="40" spans="2:9" ht="12.75">
      <c r="B40" s="358" t="s">
        <v>376</v>
      </c>
      <c r="C40" s="370"/>
      <c r="D40" s="370"/>
      <c r="E40" s="371">
        <v>17746</v>
      </c>
      <c r="F40" s="371">
        <v>12729</v>
      </c>
      <c r="G40" s="371">
        <v>7776</v>
      </c>
      <c r="H40" s="371"/>
      <c r="I40" s="371"/>
    </row>
    <row r="41" spans="2:9" ht="12.75">
      <c r="B41" s="358" t="s">
        <v>377</v>
      </c>
      <c r="C41" s="370"/>
      <c r="D41" s="370">
        <v>1390625</v>
      </c>
      <c r="E41" s="371">
        <v>2664178</v>
      </c>
      <c r="F41" s="371">
        <v>3591481</v>
      </c>
      <c r="G41" s="371">
        <v>4066061</v>
      </c>
      <c r="H41" s="371">
        <v>2516721</v>
      </c>
      <c r="I41" s="371">
        <v>2633702</v>
      </c>
    </row>
    <row r="42" spans="2:9" ht="12.75">
      <c r="B42" s="358" t="s">
        <v>378</v>
      </c>
      <c r="C42" s="370"/>
      <c r="D42" s="370"/>
      <c r="E42" s="371">
        <v>6525</v>
      </c>
      <c r="F42" s="371">
        <v>2685</v>
      </c>
      <c r="G42" s="371">
        <v>6254</v>
      </c>
      <c r="H42" s="371"/>
      <c r="I42" s="371"/>
    </row>
    <row r="43" spans="2:9" s="2" customFormat="1" ht="12.75">
      <c r="B43" s="372" t="s">
        <v>112</v>
      </c>
      <c r="C43" s="370"/>
      <c r="D43" s="370">
        <v>1390625</v>
      </c>
      <c r="E43" s="370">
        <v>2878322</v>
      </c>
      <c r="F43" s="370">
        <v>3700553</v>
      </c>
      <c r="G43" s="370">
        <v>4175761</v>
      </c>
      <c r="H43" s="370">
        <v>2542844</v>
      </c>
      <c r="I43" s="370">
        <v>2660605</v>
      </c>
    </row>
    <row r="44" spans="2:9" ht="12.75">
      <c r="B44" s="355" t="s">
        <v>384</v>
      </c>
      <c r="C44" s="356"/>
      <c r="D44" s="356"/>
      <c r="E44" s="356"/>
      <c r="F44" s="356"/>
      <c r="G44" s="356"/>
      <c r="H44" s="356"/>
      <c r="I44" s="357"/>
    </row>
    <row r="45" spans="2:9" ht="12.75">
      <c r="B45" s="358" t="s">
        <v>373</v>
      </c>
      <c r="C45" s="370"/>
      <c r="D45" s="370"/>
      <c r="E45" s="371"/>
      <c r="F45" s="371" t="s">
        <v>382</v>
      </c>
      <c r="G45" s="371"/>
      <c r="H45" s="371"/>
      <c r="I45" s="371"/>
    </row>
    <row r="46" spans="2:9" ht="12.75">
      <c r="B46" s="358" t="s">
        <v>374</v>
      </c>
      <c r="C46" s="370">
        <v>20383</v>
      </c>
      <c r="D46" s="370">
        <v>593447</v>
      </c>
      <c r="E46" s="371"/>
      <c r="F46" s="371">
        <v>1026341</v>
      </c>
      <c r="G46" s="371">
        <v>966038</v>
      </c>
      <c r="H46" s="371">
        <v>956380</v>
      </c>
      <c r="I46" s="371">
        <v>991343</v>
      </c>
    </row>
    <row r="47" spans="2:9" ht="12.75">
      <c r="B47" s="358" t="s">
        <v>375</v>
      </c>
      <c r="C47" s="370">
        <v>71026</v>
      </c>
      <c r="D47" s="370">
        <v>327254</v>
      </c>
      <c r="E47" s="371"/>
      <c r="F47" s="371">
        <v>480996</v>
      </c>
      <c r="G47" s="371">
        <v>528233</v>
      </c>
      <c r="H47" s="371">
        <v>586221</v>
      </c>
      <c r="I47" s="371">
        <v>629699</v>
      </c>
    </row>
    <row r="48" spans="2:9" ht="12.75">
      <c r="B48" s="358" t="s">
        <v>376</v>
      </c>
      <c r="C48" s="370">
        <v>19597</v>
      </c>
      <c r="D48" s="370">
        <v>121400</v>
      </c>
      <c r="E48" s="371"/>
      <c r="F48" s="371">
        <v>257126</v>
      </c>
      <c r="G48" s="371">
        <v>263232</v>
      </c>
      <c r="H48" s="371">
        <v>229556</v>
      </c>
      <c r="I48" s="371">
        <v>273320</v>
      </c>
    </row>
    <row r="49" spans="2:9" ht="12.75">
      <c r="B49" s="358" t="s">
        <v>377</v>
      </c>
      <c r="C49" s="370"/>
      <c r="D49" s="370"/>
      <c r="E49" s="371"/>
      <c r="F49" s="371"/>
      <c r="G49" s="371"/>
      <c r="H49" s="371"/>
      <c r="I49" s="371" t="s">
        <v>382</v>
      </c>
    </row>
    <row r="50" spans="2:9" ht="12.75">
      <c r="B50" s="358" t="s">
        <v>378</v>
      </c>
      <c r="C50" s="370"/>
      <c r="D50" s="370"/>
      <c r="E50" s="371"/>
      <c r="F50" s="371"/>
      <c r="G50" s="371"/>
      <c r="H50" s="371"/>
      <c r="I50" s="371"/>
    </row>
    <row r="51" spans="2:9" s="2" customFormat="1" ht="12.75">
      <c r="B51" s="372" t="s">
        <v>112</v>
      </c>
      <c r="C51" s="370">
        <v>111006</v>
      </c>
      <c r="D51" s="370">
        <v>1042102</v>
      </c>
      <c r="E51" s="370" t="s">
        <v>382</v>
      </c>
      <c r="F51" s="370">
        <v>1764463</v>
      </c>
      <c r="G51" s="370">
        <v>1757503</v>
      </c>
      <c r="H51" s="370">
        <v>1772157</v>
      </c>
      <c r="I51" s="370">
        <v>1894362</v>
      </c>
    </row>
    <row r="52" spans="2:9" ht="12.75">
      <c r="B52" s="355" t="s">
        <v>385</v>
      </c>
      <c r="C52" s="356"/>
      <c r="D52" s="356"/>
      <c r="E52" s="356"/>
      <c r="F52" s="356"/>
      <c r="G52" s="356"/>
      <c r="H52" s="356"/>
      <c r="I52" s="357"/>
    </row>
    <row r="53" spans="2:9" ht="12.75">
      <c r="B53" s="358" t="s">
        <v>373</v>
      </c>
      <c r="C53" s="370" t="s">
        <v>382</v>
      </c>
      <c r="D53" s="370">
        <v>300770</v>
      </c>
      <c r="E53" s="371">
        <v>265148</v>
      </c>
      <c r="F53" s="371">
        <v>259700</v>
      </c>
      <c r="G53" s="371">
        <v>286350</v>
      </c>
      <c r="H53" s="371">
        <v>384705</v>
      </c>
      <c r="I53" s="371">
        <v>396247</v>
      </c>
    </row>
    <row r="54" spans="2:9" ht="12.75">
      <c r="B54" s="358" t="s">
        <v>374</v>
      </c>
      <c r="C54" s="370">
        <v>545413</v>
      </c>
      <c r="D54" s="370">
        <v>3731009</v>
      </c>
      <c r="E54" s="371">
        <v>4480371</v>
      </c>
      <c r="F54" s="371">
        <v>5532829</v>
      </c>
      <c r="G54" s="371">
        <v>5879243</v>
      </c>
      <c r="H54" s="371">
        <v>5857784</v>
      </c>
      <c r="I54" s="371">
        <v>6084582</v>
      </c>
    </row>
    <row r="55" spans="2:9" ht="12.75">
      <c r="B55" s="358" t="s">
        <v>375</v>
      </c>
      <c r="C55" s="370">
        <v>2150765</v>
      </c>
      <c r="D55" s="370">
        <v>6827363</v>
      </c>
      <c r="E55" s="371">
        <v>7845558</v>
      </c>
      <c r="F55" s="371">
        <v>8670384</v>
      </c>
      <c r="G55" s="371">
        <v>8592523</v>
      </c>
      <c r="H55" s="371">
        <v>9803800</v>
      </c>
      <c r="I55" s="371">
        <v>10543624</v>
      </c>
    </row>
    <row r="56" spans="2:9" ht="12.75">
      <c r="B56" s="358" t="s">
        <v>376</v>
      </c>
      <c r="C56" s="370">
        <v>784865</v>
      </c>
      <c r="D56" s="370">
        <v>3478781</v>
      </c>
      <c r="E56" s="371">
        <v>3579856</v>
      </c>
      <c r="F56" s="371">
        <v>4234309</v>
      </c>
      <c r="G56" s="371">
        <v>4619563</v>
      </c>
      <c r="H56" s="371">
        <v>4820677</v>
      </c>
      <c r="I56" s="371">
        <v>5739716</v>
      </c>
    </row>
    <row r="57" spans="2:9" ht="12.75">
      <c r="B57" s="358" t="s">
        <v>377</v>
      </c>
      <c r="C57" s="370">
        <v>5086257</v>
      </c>
      <c r="D57" s="370">
        <v>18328377</v>
      </c>
      <c r="E57" s="371">
        <v>22629846</v>
      </c>
      <c r="F57" s="371">
        <v>25078450</v>
      </c>
      <c r="G57" s="371">
        <v>26178057</v>
      </c>
      <c r="H57" s="371">
        <v>26139308</v>
      </c>
      <c r="I57" s="371">
        <v>27763948</v>
      </c>
    </row>
    <row r="58" spans="2:9" ht="12.75">
      <c r="B58" s="358" t="s">
        <v>378</v>
      </c>
      <c r="C58" s="370" t="s">
        <v>382</v>
      </c>
      <c r="D58" s="370" t="s">
        <v>382</v>
      </c>
      <c r="E58" s="371">
        <v>1652144</v>
      </c>
      <c r="F58" s="371">
        <v>1372835</v>
      </c>
      <c r="G58" s="371">
        <v>1463091</v>
      </c>
      <c r="H58" s="371">
        <v>1517836</v>
      </c>
      <c r="I58" s="371">
        <v>1563826</v>
      </c>
    </row>
    <row r="59" spans="2:9" s="2" customFormat="1" ht="12.75">
      <c r="B59" s="372" t="s">
        <v>112</v>
      </c>
      <c r="C59" s="370">
        <v>8567300</v>
      </c>
      <c r="D59" s="370">
        <v>32666301</v>
      </c>
      <c r="E59" s="370">
        <v>40452924</v>
      </c>
      <c r="F59" s="370">
        <v>45148508</v>
      </c>
      <c r="G59" s="370">
        <v>47018828</v>
      </c>
      <c r="H59" s="370">
        <v>48524110</v>
      </c>
      <c r="I59" s="370">
        <v>52091943</v>
      </c>
    </row>
    <row r="60" spans="2:9" ht="12.75">
      <c r="B60" s="355" t="s">
        <v>386</v>
      </c>
      <c r="C60" s="356"/>
      <c r="D60" s="356"/>
      <c r="E60" s="356"/>
      <c r="F60" s="356"/>
      <c r="G60" s="356"/>
      <c r="H60" s="356"/>
      <c r="I60" s="357"/>
    </row>
    <row r="61" spans="2:9" ht="12.75">
      <c r="B61" s="358" t="s">
        <v>373</v>
      </c>
      <c r="C61" s="373"/>
      <c r="D61" s="370">
        <v>20060</v>
      </c>
      <c r="E61" s="371">
        <v>18280</v>
      </c>
      <c r="F61" s="371">
        <v>22252</v>
      </c>
      <c r="G61" s="371">
        <v>19528</v>
      </c>
      <c r="H61" s="371">
        <v>26935</v>
      </c>
      <c r="I61" s="371">
        <v>27743</v>
      </c>
    </row>
    <row r="62" spans="2:9" ht="12.75">
      <c r="B62" s="358" t="s">
        <v>374</v>
      </c>
      <c r="C62" s="374">
        <v>100618</v>
      </c>
      <c r="D62" s="370">
        <v>659952</v>
      </c>
      <c r="E62" s="371">
        <v>710667</v>
      </c>
      <c r="F62" s="371">
        <v>924613</v>
      </c>
      <c r="G62" s="371">
        <v>1035751</v>
      </c>
      <c r="H62" s="371">
        <v>1166620</v>
      </c>
      <c r="I62" s="371">
        <v>1245746</v>
      </c>
    </row>
    <row r="63" spans="2:9" ht="12.75">
      <c r="B63" s="358" t="s">
        <v>375</v>
      </c>
      <c r="C63" s="374">
        <v>473215</v>
      </c>
      <c r="D63" s="370">
        <v>1658976</v>
      </c>
      <c r="E63" s="371">
        <v>1413309</v>
      </c>
      <c r="F63" s="371">
        <v>1848058</v>
      </c>
      <c r="G63" s="371">
        <v>1820771</v>
      </c>
      <c r="H63" s="371">
        <v>2549599</v>
      </c>
      <c r="I63" s="371">
        <v>2734388</v>
      </c>
    </row>
    <row r="64" spans="2:9" ht="12.75">
      <c r="B64" s="358" t="s">
        <v>376</v>
      </c>
      <c r="C64" s="374">
        <v>156904</v>
      </c>
      <c r="D64" s="370">
        <v>1016160</v>
      </c>
      <c r="E64" s="371">
        <v>728090</v>
      </c>
      <c r="F64" s="371">
        <v>1010475</v>
      </c>
      <c r="G64" s="371">
        <v>1125461</v>
      </c>
      <c r="H64" s="371">
        <v>1325712</v>
      </c>
      <c r="I64" s="371">
        <v>1593891</v>
      </c>
    </row>
    <row r="65" spans="2:11" ht="12.75">
      <c r="B65" s="358" t="s">
        <v>377</v>
      </c>
      <c r="C65" s="374">
        <v>1395618</v>
      </c>
      <c r="D65" s="370">
        <v>5810813</v>
      </c>
      <c r="E65" s="371">
        <v>4829857</v>
      </c>
      <c r="F65" s="371">
        <v>4858594</v>
      </c>
      <c r="G65" s="371">
        <v>5346045</v>
      </c>
      <c r="H65" s="371">
        <v>5638192</v>
      </c>
      <c r="I65" s="371">
        <v>6151908</v>
      </c>
      <c r="K65" s="193"/>
    </row>
    <row r="66" spans="2:9" ht="12.75">
      <c r="B66" s="358" t="s">
        <v>378</v>
      </c>
      <c r="C66" s="374"/>
      <c r="D66" s="370" t="s">
        <v>382</v>
      </c>
      <c r="E66" s="371">
        <v>157025</v>
      </c>
      <c r="F66" s="371">
        <v>207411</v>
      </c>
      <c r="G66" s="371">
        <v>154536</v>
      </c>
      <c r="H66" s="371">
        <v>218034</v>
      </c>
      <c r="I66" s="371">
        <v>222154</v>
      </c>
    </row>
    <row r="67" spans="2:9" ht="12.75">
      <c r="B67" s="358" t="s">
        <v>112</v>
      </c>
      <c r="C67" s="370">
        <v>2126355</v>
      </c>
      <c r="D67" s="370">
        <v>9165961</v>
      </c>
      <c r="E67" s="370">
        <v>7857228</v>
      </c>
      <c r="F67" s="370">
        <v>8871402</v>
      </c>
      <c r="G67" s="370">
        <v>9502092</v>
      </c>
      <c r="H67" s="370">
        <v>10925092</v>
      </c>
      <c r="I67" s="370">
        <v>11975829</v>
      </c>
    </row>
    <row r="68" spans="2:9" ht="12.75">
      <c r="B68" s="355" t="s">
        <v>387</v>
      </c>
      <c r="C68" s="356"/>
      <c r="D68" s="356"/>
      <c r="E68" s="356"/>
      <c r="F68" s="356"/>
      <c r="G68" s="356"/>
      <c r="H68" s="356"/>
      <c r="I68" s="357"/>
    </row>
    <row r="69" spans="2:9" ht="12.75">
      <c r="B69" s="358" t="s">
        <v>373</v>
      </c>
      <c r="C69" s="373"/>
      <c r="D69" s="370"/>
      <c r="E69" s="371"/>
      <c r="F69" s="371"/>
      <c r="G69" s="371"/>
      <c r="H69" s="371"/>
      <c r="I69" s="371"/>
    </row>
    <row r="70" spans="2:9" ht="12.75">
      <c r="B70" s="358" t="s">
        <v>374</v>
      </c>
      <c r="C70" s="373"/>
      <c r="D70" s="370"/>
      <c r="E70" s="371"/>
      <c r="F70" s="371"/>
      <c r="G70" s="371"/>
      <c r="H70" s="371"/>
      <c r="I70" s="371"/>
    </row>
    <row r="71" spans="2:9" ht="12.75">
      <c r="B71" s="358" t="s">
        <v>375</v>
      </c>
      <c r="C71" s="374">
        <v>183000</v>
      </c>
      <c r="D71" s="370">
        <v>1080000</v>
      </c>
      <c r="E71" s="371">
        <v>453312</v>
      </c>
      <c r="F71" s="371">
        <v>926297</v>
      </c>
      <c r="G71" s="371">
        <v>591133</v>
      </c>
      <c r="H71" s="371">
        <v>828013</v>
      </c>
      <c r="I71" s="371">
        <v>852854</v>
      </c>
    </row>
    <row r="72" spans="2:9" ht="12.75">
      <c r="B72" s="358" t="s">
        <v>376</v>
      </c>
      <c r="C72" s="373"/>
      <c r="D72" s="370"/>
      <c r="E72" s="371"/>
      <c r="F72" s="371"/>
      <c r="G72" s="371"/>
      <c r="H72" s="371"/>
      <c r="I72" s="371"/>
    </row>
    <row r="73" spans="2:9" ht="12.75">
      <c r="B73" s="358" t="s">
        <v>377</v>
      </c>
      <c r="C73" s="373"/>
      <c r="D73" s="370"/>
      <c r="E73" s="371">
        <v>511182</v>
      </c>
      <c r="F73" s="371">
        <v>1044547</v>
      </c>
      <c r="G73" s="371">
        <v>666597</v>
      </c>
      <c r="H73" s="371">
        <v>933717</v>
      </c>
      <c r="I73" s="371">
        <v>961728</v>
      </c>
    </row>
    <row r="74" spans="2:9" ht="12.75">
      <c r="B74" s="358" t="s">
        <v>378</v>
      </c>
      <c r="C74" s="373"/>
      <c r="D74" s="370"/>
      <c r="E74" s="371"/>
      <c r="F74" s="371"/>
      <c r="G74" s="371"/>
      <c r="H74" s="371"/>
      <c r="I74" s="371"/>
    </row>
    <row r="75" spans="2:9" ht="12.75">
      <c r="B75" s="358" t="s">
        <v>112</v>
      </c>
      <c r="C75" s="370">
        <v>183000</v>
      </c>
      <c r="D75" s="370">
        <v>1080000</v>
      </c>
      <c r="E75" s="370">
        <v>964494</v>
      </c>
      <c r="F75" s="370">
        <v>1970844</v>
      </c>
      <c r="G75" s="370">
        <v>1257730</v>
      </c>
      <c r="H75" s="370">
        <v>1761730</v>
      </c>
      <c r="I75" s="370">
        <v>1814582</v>
      </c>
    </row>
    <row r="76" spans="2:9" ht="12.75">
      <c r="B76" s="355" t="s">
        <v>388</v>
      </c>
      <c r="C76" s="356"/>
      <c r="D76" s="356"/>
      <c r="E76" s="356"/>
      <c r="F76" s="356"/>
      <c r="G76" s="356"/>
      <c r="H76" s="356"/>
      <c r="I76" s="357"/>
    </row>
    <row r="77" spans="2:9" ht="12.75">
      <c r="B77" s="358" t="s">
        <v>373</v>
      </c>
      <c r="C77" s="370" t="s">
        <v>382</v>
      </c>
      <c r="D77" s="370">
        <v>20060</v>
      </c>
      <c r="E77" s="371">
        <v>18280</v>
      </c>
      <c r="F77" s="371">
        <v>22252</v>
      </c>
      <c r="G77" s="371">
        <v>19528</v>
      </c>
      <c r="H77" s="371">
        <v>26935</v>
      </c>
      <c r="I77" s="371">
        <v>27743</v>
      </c>
    </row>
    <row r="78" spans="2:9" ht="12.75">
      <c r="B78" s="358" t="s">
        <v>374</v>
      </c>
      <c r="C78" s="370">
        <v>100618</v>
      </c>
      <c r="D78" s="370">
        <v>659952</v>
      </c>
      <c r="E78" s="371">
        <v>710667</v>
      </c>
      <c r="F78" s="371">
        <v>924613</v>
      </c>
      <c r="G78" s="371">
        <v>1035751</v>
      </c>
      <c r="H78" s="371">
        <v>1166620</v>
      </c>
      <c r="I78" s="371">
        <v>1245746</v>
      </c>
    </row>
    <row r="79" spans="2:9" ht="12.75">
      <c r="B79" s="358" t="s">
        <v>375</v>
      </c>
      <c r="C79" s="370">
        <v>656215</v>
      </c>
      <c r="D79" s="370">
        <v>2738976</v>
      </c>
      <c r="E79" s="371">
        <v>1866621</v>
      </c>
      <c r="F79" s="371">
        <v>2774354</v>
      </c>
      <c r="G79" s="371">
        <v>2411904</v>
      </c>
      <c r="H79" s="371">
        <v>3377612</v>
      </c>
      <c r="I79" s="371">
        <v>3587241</v>
      </c>
    </row>
    <row r="80" spans="2:9" ht="12.75">
      <c r="B80" s="358" t="s">
        <v>376</v>
      </c>
      <c r="C80" s="370">
        <v>156904</v>
      </c>
      <c r="D80" s="370">
        <v>1016160</v>
      </c>
      <c r="E80" s="371">
        <v>728090</v>
      </c>
      <c r="F80" s="371">
        <v>1010475</v>
      </c>
      <c r="G80" s="371">
        <v>1125461</v>
      </c>
      <c r="H80" s="371">
        <v>1325712</v>
      </c>
      <c r="I80" s="371">
        <v>1593891</v>
      </c>
    </row>
    <row r="81" spans="2:9" ht="12.75">
      <c r="B81" s="358" t="s">
        <v>377</v>
      </c>
      <c r="C81" s="370">
        <v>1395618</v>
      </c>
      <c r="D81" s="370">
        <v>5810813</v>
      </c>
      <c r="E81" s="371">
        <v>5341039</v>
      </c>
      <c r="F81" s="371">
        <v>5903141</v>
      </c>
      <c r="G81" s="371">
        <v>6012642</v>
      </c>
      <c r="H81" s="371">
        <v>6571909</v>
      </c>
      <c r="I81" s="371">
        <v>7113636</v>
      </c>
    </row>
    <row r="82" spans="2:9" ht="12.75">
      <c r="B82" s="358" t="s">
        <v>378</v>
      </c>
      <c r="C82" s="370" t="s">
        <v>382</v>
      </c>
      <c r="D82" s="370" t="s">
        <v>382</v>
      </c>
      <c r="E82" s="371">
        <v>157025</v>
      </c>
      <c r="F82" s="371">
        <v>207411</v>
      </c>
      <c r="G82" s="371">
        <v>154536</v>
      </c>
      <c r="H82" s="371">
        <v>218034</v>
      </c>
      <c r="I82" s="371">
        <v>222154</v>
      </c>
    </row>
    <row r="83" spans="2:9" ht="12.75">
      <c r="B83" s="372" t="s">
        <v>112</v>
      </c>
      <c r="C83" s="370">
        <v>2309355</v>
      </c>
      <c r="D83" s="370">
        <v>10245961</v>
      </c>
      <c r="E83" s="370">
        <v>8821722</v>
      </c>
      <c r="F83" s="370">
        <v>10842246</v>
      </c>
      <c r="G83" s="370">
        <v>10759822</v>
      </c>
      <c r="H83" s="370">
        <v>12686822</v>
      </c>
      <c r="I83" s="370">
        <v>13790411</v>
      </c>
    </row>
    <row r="84" spans="2:9" ht="12.75">
      <c r="B84" s="375" t="s">
        <v>389</v>
      </c>
      <c r="C84" s="376"/>
      <c r="D84" s="376"/>
      <c r="E84" s="376"/>
      <c r="F84" s="376"/>
      <c r="G84" s="376"/>
      <c r="H84" s="376"/>
      <c r="I84" s="377"/>
    </row>
    <row r="85" spans="2:9" ht="12.75">
      <c r="B85" s="378" t="s">
        <v>373</v>
      </c>
      <c r="C85" s="379" t="s">
        <v>382</v>
      </c>
      <c r="D85" s="379">
        <v>320826</v>
      </c>
      <c r="E85" s="380">
        <v>283428</v>
      </c>
      <c r="F85" s="380">
        <v>281952</v>
      </c>
      <c r="G85" s="380">
        <v>305878</v>
      </c>
      <c r="H85" s="380">
        <v>411640</v>
      </c>
      <c r="I85" s="380">
        <v>423990</v>
      </c>
    </row>
    <row r="86" spans="2:9" ht="12.75">
      <c r="B86" s="378" t="s">
        <v>374</v>
      </c>
      <c r="C86" s="379">
        <v>646031</v>
      </c>
      <c r="D86" s="379">
        <v>4390958</v>
      </c>
      <c r="E86" s="380">
        <v>5191038</v>
      </c>
      <c r="F86" s="380">
        <v>6457442</v>
      </c>
      <c r="G86" s="380">
        <v>6914994</v>
      </c>
      <c r="H86" s="380">
        <v>7024404</v>
      </c>
      <c r="I86" s="380">
        <v>7330328</v>
      </c>
    </row>
    <row r="87" spans="2:9" ht="12.75">
      <c r="B87" s="378" t="s">
        <v>375</v>
      </c>
      <c r="C87" s="379">
        <v>2806980</v>
      </c>
      <c r="D87" s="379">
        <v>8486313</v>
      </c>
      <c r="E87" s="380">
        <v>9712179</v>
      </c>
      <c r="F87" s="380">
        <v>11444739</v>
      </c>
      <c r="G87" s="380">
        <v>11004428</v>
      </c>
      <c r="H87" s="380">
        <v>13181412</v>
      </c>
      <c r="I87" s="380">
        <v>14130866</v>
      </c>
    </row>
    <row r="88" spans="2:9" ht="12.75">
      <c r="B88" s="378" t="s">
        <v>376</v>
      </c>
      <c r="C88" s="379">
        <v>941769</v>
      </c>
      <c r="D88" s="379">
        <v>6405884</v>
      </c>
      <c r="E88" s="380">
        <v>4307946</v>
      </c>
      <c r="F88" s="380">
        <v>5244785</v>
      </c>
      <c r="G88" s="380">
        <v>5745024</v>
      </c>
      <c r="H88" s="380">
        <v>6146389</v>
      </c>
      <c r="I88" s="380">
        <v>7333607</v>
      </c>
    </row>
    <row r="89" spans="2:9" ht="12.75">
      <c r="B89" s="378" t="s">
        <v>377</v>
      </c>
      <c r="C89" s="379">
        <v>6481875</v>
      </c>
      <c r="D89" s="379">
        <v>24139242</v>
      </c>
      <c r="E89" s="380">
        <v>27970885</v>
      </c>
      <c r="F89" s="380">
        <v>30981592</v>
      </c>
      <c r="G89" s="380">
        <v>32190699</v>
      </c>
      <c r="H89" s="380">
        <v>32711217</v>
      </c>
      <c r="I89" s="380">
        <v>34877584</v>
      </c>
    </row>
    <row r="90" spans="2:9" ht="12.75">
      <c r="B90" s="378" t="s">
        <v>378</v>
      </c>
      <c r="C90" s="379" t="s">
        <v>382</v>
      </c>
      <c r="D90" s="379" t="s">
        <v>382</v>
      </c>
      <c r="E90" s="380">
        <v>1809169</v>
      </c>
      <c r="F90" s="380">
        <v>1580245</v>
      </c>
      <c r="G90" s="380">
        <v>1617627</v>
      </c>
      <c r="H90" s="380">
        <v>1735871</v>
      </c>
      <c r="I90" s="380">
        <v>1785980</v>
      </c>
    </row>
    <row r="91" spans="2:9" ht="12.75">
      <c r="B91" s="363" t="s">
        <v>112</v>
      </c>
      <c r="C91" s="379">
        <v>10876655</v>
      </c>
      <c r="D91" s="379">
        <v>43743223</v>
      </c>
      <c r="E91" s="379">
        <v>49274646</v>
      </c>
      <c r="F91" s="379">
        <v>55990754</v>
      </c>
      <c r="G91" s="379">
        <v>57778650</v>
      </c>
      <c r="H91" s="379">
        <v>61210932</v>
      </c>
      <c r="I91" s="379">
        <v>65882355</v>
      </c>
    </row>
    <row r="92" spans="2:9" ht="12.75">
      <c r="B92" s="355" t="s">
        <v>390</v>
      </c>
      <c r="C92" s="356"/>
      <c r="D92" s="356"/>
      <c r="E92" s="356"/>
      <c r="F92" s="356"/>
      <c r="G92" s="356"/>
      <c r="H92" s="356"/>
      <c r="I92" s="357"/>
    </row>
    <row r="93" spans="2:9" ht="12.75">
      <c r="B93" s="358" t="s">
        <v>373</v>
      </c>
      <c r="C93" s="374"/>
      <c r="D93" s="370">
        <v>30077</v>
      </c>
      <c r="E93" s="371">
        <v>20396</v>
      </c>
      <c r="F93" s="371">
        <v>19977</v>
      </c>
      <c r="G93" s="371">
        <v>22027</v>
      </c>
      <c r="H93" s="371">
        <v>29593</v>
      </c>
      <c r="I93" s="371">
        <v>30481</v>
      </c>
    </row>
    <row r="94" spans="2:9" ht="12.75">
      <c r="B94" s="358" t="s">
        <v>374</v>
      </c>
      <c r="C94" s="374">
        <v>131258</v>
      </c>
      <c r="D94" s="370">
        <v>174309</v>
      </c>
      <c r="E94" s="371">
        <v>161578</v>
      </c>
      <c r="F94" s="371">
        <v>163889</v>
      </c>
      <c r="G94" s="371">
        <v>172504</v>
      </c>
      <c r="H94" s="371">
        <v>173809</v>
      </c>
      <c r="I94" s="371">
        <v>180611</v>
      </c>
    </row>
    <row r="95" spans="2:9" ht="12.75">
      <c r="B95" s="358" t="s">
        <v>375</v>
      </c>
      <c r="C95" s="374">
        <v>86656</v>
      </c>
      <c r="D95" s="370">
        <v>98487</v>
      </c>
      <c r="E95" s="371">
        <v>95493</v>
      </c>
      <c r="F95" s="371">
        <v>97868</v>
      </c>
      <c r="G95" s="371">
        <v>105054</v>
      </c>
      <c r="H95" s="371">
        <v>106877</v>
      </c>
      <c r="I95" s="371">
        <v>111090</v>
      </c>
    </row>
    <row r="96" spans="2:9" ht="12.75">
      <c r="B96" s="358" t="s">
        <v>376</v>
      </c>
      <c r="C96" s="374">
        <v>58867</v>
      </c>
      <c r="D96" s="370">
        <v>62059</v>
      </c>
      <c r="E96" s="371">
        <v>81868</v>
      </c>
      <c r="F96" s="371">
        <v>83457</v>
      </c>
      <c r="G96" s="371">
        <v>88191</v>
      </c>
      <c r="H96" s="371">
        <v>85815</v>
      </c>
      <c r="I96" s="371">
        <v>89613</v>
      </c>
    </row>
    <row r="97" spans="2:9" ht="12.75">
      <c r="B97" s="358" t="s">
        <v>377</v>
      </c>
      <c r="C97" s="374">
        <v>66055</v>
      </c>
      <c r="D97" s="370">
        <v>64500</v>
      </c>
      <c r="E97" s="371">
        <v>65314</v>
      </c>
      <c r="F97" s="371">
        <v>68383</v>
      </c>
      <c r="G97" s="371">
        <v>70088</v>
      </c>
      <c r="H97" s="371">
        <v>72108</v>
      </c>
      <c r="I97" s="371">
        <v>74548</v>
      </c>
    </row>
    <row r="98" spans="2:9" ht="12.75">
      <c r="B98" s="358" t="s">
        <v>378</v>
      </c>
      <c r="C98" s="374"/>
      <c r="D98" s="370"/>
      <c r="E98" s="371">
        <v>36189</v>
      </c>
      <c r="F98" s="371">
        <v>32180</v>
      </c>
      <c r="G98" s="371">
        <v>31047</v>
      </c>
      <c r="H98" s="371">
        <v>37165</v>
      </c>
      <c r="I98" s="371">
        <v>37985</v>
      </c>
    </row>
    <row r="99" spans="2:9" s="2" customFormat="1" ht="12.75">
      <c r="B99" s="372" t="s">
        <v>112</v>
      </c>
      <c r="C99" s="374">
        <v>71663</v>
      </c>
      <c r="D99" s="374">
        <v>69711</v>
      </c>
      <c r="E99" s="370">
        <v>72880</v>
      </c>
      <c r="F99" s="370">
        <v>75227</v>
      </c>
      <c r="G99" s="370">
        <v>77658</v>
      </c>
      <c r="H99" s="370">
        <v>80506</v>
      </c>
      <c r="I99" s="370">
        <v>83476</v>
      </c>
    </row>
    <row r="100" spans="2:9" ht="12.75">
      <c r="B100" s="355" t="s">
        <v>391</v>
      </c>
      <c r="C100" s="356"/>
      <c r="D100" s="356"/>
      <c r="E100" s="356"/>
      <c r="F100" s="356"/>
      <c r="G100" s="356"/>
      <c r="H100" s="356"/>
      <c r="I100" s="357"/>
    </row>
    <row r="101" spans="2:9" ht="12.75">
      <c r="B101" s="358" t="s">
        <v>373</v>
      </c>
      <c r="C101" s="373"/>
      <c r="D101" s="381"/>
      <c r="E101" s="371" t="s">
        <v>382</v>
      </c>
      <c r="F101" s="371" t="s">
        <v>382</v>
      </c>
      <c r="G101" s="371" t="s">
        <v>382</v>
      </c>
      <c r="H101" s="382" t="s">
        <v>382</v>
      </c>
      <c r="I101" s="382" t="s">
        <v>382</v>
      </c>
    </row>
    <row r="102" spans="2:9" ht="12.75">
      <c r="B102" s="358" t="s">
        <v>374</v>
      </c>
      <c r="C102" s="373"/>
      <c r="D102" s="381"/>
      <c r="E102" s="371">
        <v>0</v>
      </c>
      <c r="F102" s="371" t="s">
        <v>382</v>
      </c>
      <c r="G102" s="371" t="s">
        <v>382</v>
      </c>
      <c r="H102" s="382" t="s">
        <v>382</v>
      </c>
      <c r="I102" s="382" t="s">
        <v>382</v>
      </c>
    </row>
    <row r="103" spans="2:9" ht="12.75">
      <c r="B103" s="358" t="s">
        <v>375</v>
      </c>
      <c r="C103" s="373"/>
      <c r="D103" s="381"/>
      <c r="E103" s="371">
        <v>2368</v>
      </c>
      <c r="F103" s="371">
        <v>1132</v>
      </c>
      <c r="G103" s="371">
        <v>1261</v>
      </c>
      <c r="H103" s="383">
        <v>304</v>
      </c>
      <c r="I103" s="383">
        <v>302</v>
      </c>
    </row>
    <row r="104" spans="2:9" ht="12.75">
      <c r="B104" s="358" t="s">
        <v>376</v>
      </c>
      <c r="C104" s="373"/>
      <c r="D104" s="359"/>
      <c r="E104" s="371">
        <v>408</v>
      </c>
      <c r="F104" s="371">
        <v>268</v>
      </c>
      <c r="G104" s="371">
        <v>158</v>
      </c>
      <c r="H104" s="383" t="s">
        <v>382</v>
      </c>
      <c r="I104" s="383" t="s">
        <v>382</v>
      </c>
    </row>
    <row r="105" spans="2:9" ht="12.75">
      <c r="B105" s="358" t="s">
        <v>377</v>
      </c>
      <c r="C105" s="373"/>
      <c r="D105" s="359">
        <v>5296</v>
      </c>
      <c r="E105" s="371">
        <v>8715</v>
      </c>
      <c r="F105" s="371">
        <v>11430</v>
      </c>
      <c r="G105" s="371">
        <v>12888</v>
      </c>
      <c r="H105" s="383">
        <v>7682</v>
      </c>
      <c r="I105" s="383">
        <v>7813</v>
      </c>
    </row>
    <row r="106" spans="2:9" ht="12.75">
      <c r="B106" s="358" t="s">
        <v>392</v>
      </c>
      <c r="C106" s="373"/>
      <c r="D106" s="381"/>
      <c r="E106" s="371">
        <v>143</v>
      </c>
      <c r="F106" s="371">
        <v>63</v>
      </c>
      <c r="G106" s="371">
        <v>133</v>
      </c>
      <c r="H106" s="383" t="s">
        <v>382</v>
      </c>
      <c r="I106" s="383" t="s">
        <v>382</v>
      </c>
    </row>
    <row r="107" spans="2:9" s="2" customFormat="1" ht="12.75">
      <c r="B107" s="372" t="s">
        <v>112</v>
      </c>
      <c r="C107" s="373"/>
      <c r="D107" s="381"/>
      <c r="E107" s="370">
        <v>5583</v>
      </c>
      <c r="F107" s="370">
        <v>7015</v>
      </c>
      <c r="G107" s="370">
        <v>7893</v>
      </c>
      <c r="H107" s="370">
        <v>4631</v>
      </c>
      <c r="I107" s="370">
        <v>4672</v>
      </c>
    </row>
    <row r="108" spans="2:9" ht="12.75">
      <c r="B108" s="355" t="s">
        <v>393</v>
      </c>
      <c r="C108" s="356"/>
      <c r="D108" s="356"/>
      <c r="E108" s="356"/>
      <c r="F108" s="356"/>
      <c r="G108" s="356"/>
      <c r="H108" s="356"/>
      <c r="I108" s="357"/>
    </row>
    <row r="109" spans="2:9" ht="12.75">
      <c r="B109" s="358" t="s">
        <v>373</v>
      </c>
      <c r="C109" s="374"/>
      <c r="D109" s="381"/>
      <c r="E109" s="371" t="s">
        <v>382</v>
      </c>
      <c r="F109" s="371" t="s">
        <v>382</v>
      </c>
      <c r="G109" s="371" t="s">
        <v>382</v>
      </c>
      <c r="H109" s="384" t="s">
        <v>382</v>
      </c>
      <c r="I109" s="384" t="s">
        <v>382</v>
      </c>
    </row>
    <row r="110" spans="2:9" ht="12.75">
      <c r="B110" s="358" t="s">
        <v>374</v>
      </c>
      <c r="C110" s="374">
        <v>5096</v>
      </c>
      <c r="D110" s="359">
        <v>32969</v>
      </c>
      <c r="E110" s="371" t="s">
        <v>382</v>
      </c>
      <c r="F110" s="371">
        <v>37325</v>
      </c>
      <c r="G110" s="371">
        <v>33918</v>
      </c>
      <c r="H110" s="371">
        <v>33914</v>
      </c>
      <c r="I110" s="371">
        <v>35154</v>
      </c>
    </row>
    <row r="111" spans="2:9" ht="12.75">
      <c r="B111" s="358" t="s">
        <v>375</v>
      </c>
      <c r="C111" s="374">
        <v>2959</v>
      </c>
      <c r="D111" s="359">
        <v>4958</v>
      </c>
      <c r="E111" s="371" t="s">
        <v>382</v>
      </c>
      <c r="F111" s="371">
        <v>5815</v>
      </c>
      <c r="G111" s="371">
        <v>6964</v>
      </c>
      <c r="H111" s="371">
        <v>6817</v>
      </c>
      <c r="I111" s="371">
        <v>7075</v>
      </c>
    </row>
    <row r="112" spans="2:9" ht="12.75">
      <c r="B112" s="358" t="s">
        <v>376</v>
      </c>
      <c r="C112" s="374">
        <v>1507</v>
      </c>
      <c r="D112" s="359">
        <v>2244</v>
      </c>
      <c r="E112" s="371" t="s">
        <v>382</v>
      </c>
      <c r="F112" s="371">
        <v>5413</v>
      </c>
      <c r="G112" s="371">
        <v>5338</v>
      </c>
      <c r="H112" s="371">
        <v>4291</v>
      </c>
      <c r="I112" s="371">
        <v>4481</v>
      </c>
    </row>
    <row r="113" spans="2:9" ht="12.75">
      <c r="B113" s="358" t="s">
        <v>377</v>
      </c>
      <c r="C113" s="374"/>
      <c r="D113" s="359" t="s">
        <v>380</v>
      </c>
      <c r="E113" s="371" t="s">
        <v>382</v>
      </c>
      <c r="F113" s="371" t="s">
        <v>382</v>
      </c>
      <c r="G113" s="371" t="s">
        <v>382</v>
      </c>
      <c r="H113" s="371" t="s">
        <v>382</v>
      </c>
      <c r="I113" s="371" t="s">
        <v>382</v>
      </c>
    </row>
    <row r="114" spans="2:9" ht="12.75">
      <c r="B114" s="358" t="s">
        <v>394</v>
      </c>
      <c r="C114" s="374"/>
      <c r="D114" s="381"/>
      <c r="E114" s="371" t="s">
        <v>382</v>
      </c>
      <c r="F114" s="371" t="s">
        <v>382</v>
      </c>
      <c r="G114" s="371" t="s">
        <v>382</v>
      </c>
      <c r="H114" s="371" t="s">
        <v>382</v>
      </c>
      <c r="I114" s="371" t="s">
        <v>382</v>
      </c>
    </row>
    <row r="115" spans="2:9" s="2" customFormat="1" ht="12.75">
      <c r="B115" s="372" t="s">
        <v>112</v>
      </c>
      <c r="C115" s="374">
        <v>2707</v>
      </c>
      <c r="D115" s="381">
        <v>2402.82</v>
      </c>
      <c r="E115" s="370" t="s">
        <v>382</v>
      </c>
      <c r="F115" s="370">
        <v>3345</v>
      </c>
      <c r="G115" s="370">
        <v>3322</v>
      </c>
      <c r="H115" s="370">
        <v>3227</v>
      </c>
      <c r="I115" s="370">
        <v>3327</v>
      </c>
    </row>
    <row r="116" spans="2:9" ht="12.75">
      <c r="B116" s="355" t="s">
        <v>395</v>
      </c>
      <c r="C116" s="356"/>
      <c r="D116" s="356"/>
      <c r="E116" s="356"/>
      <c r="F116" s="356"/>
      <c r="G116" s="356"/>
      <c r="H116" s="356"/>
      <c r="I116" s="357"/>
    </row>
    <row r="117" spans="2:9" ht="12.75">
      <c r="B117" s="358" t="s">
        <v>373</v>
      </c>
      <c r="C117" s="359" t="s">
        <v>380</v>
      </c>
      <c r="D117" s="370">
        <v>2006</v>
      </c>
      <c r="E117" s="371">
        <v>1406</v>
      </c>
      <c r="F117" s="371">
        <v>1712</v>
      </c>
      <c r="G117" s="371">
        <v>1502</v>
      </c>
      <c r="H117" s="371">
        <v>2072</v>
      </c>
      <c r="I117" s="371">
        <v>2134</v>
      </c>
    </row>
    <row r="118" spans="2:9" ht="12.75">
      <c r="B118" s="358" t="s">
        <v>374</v>
      </c>
      <c r="C118" s="359">
        <v>25155</v>
      </c>
      <c r="D118" s="370">
        <v>36664</v>
      </c>
      <c r="E118" s="371">
        <v>25629</v>
      </c>
      <c r="F118" s="371">
        <v>33626</v>
      </c>
      <c r="G118" s="371">
        <v>36366</v>
      </c>
      <c r="H118" s="371">
        <v>41370</v>
      </c>
      <c r="I118" s="371">
        <v>44175</v>
      </c>
    </row>
    <row r="119" spans="2:9" ht="12.75">
      <c r="B119" s="358" t="s">
        <v>375</v>
      </c>
      <c r="C119" s="359">
        <v>19717</v>
      </c>
      <c r="D119" s="370">
        <v>25136</v>
      </c>
      <c r="E119" s="371">
        <v>17629</v>
      </c>
      <c r="F119" s="371">
        <v>22341</v>
      </c>
      <c r="G119" s="371">
        <v>24004</v>
      </c>
      <c r="H119" s="371">
        <v>29647</v>
      </c>
      <c r="I119" s="371">
        <v>30723</v>
      </c>
    </row>
    <row r="120" spans="2:9" ht="12.75">
      <c r="B120" s="358" t="s">
        <v>376</v>
      </c>
      <c r="C120" s="359">
        <v>12070</v>
      </c>
      <c r="D120" s="370">
        <v>18783</v>
      </c>
      <c r="E120" s="371">
        <v>16734</v>
      </c>
      <c r="F120" s="371">
        <v>21272</v>
      </c>
      <c r="G120" s="371">
        <v>22825</v>
      </c>
      <c r="H120" s="371">
        <v>24780</v>
      </c>
      <c r="I120" s="371">
        <v>26129</v>
      </c>
    </row>
    <row r="121" spans="2:9" ht="12.75">
      <c r="B121" s="358" t="s">
        <v>377</v>
      </c>
      <c r="C121" s="359">
        <v>18125</v>
      </c>
      <c r="D121" s="370">
        <v>22128</v>
      </c>
      <c r="E121" s="371">
        <v>15800</v>
      </c>
      <c r="F121" s="371">
        <v>15463</v>
      </c>
      <c r="G121" s="371">
        <v>16945</v>
      </c>
      <c r="H121" s="371">
        <v>17211</v>
      </c>
      <c r="I121" s="371">
        <v>18250</v>
      </c>
    </row>
    <row r="122" spans="2:9" ht="12.75">
      <c r="B122" s="358" t="s">
        <v>378</v>
      </c>
      <c r="C122" s="359"/>
      <c r="D122" s="370" t="s">
        <v>382</v>
      </c>
      <c r="E122" s="371">
        <v>3453</v>
      </c>
      <c r="F122" s="371">
        <v>4871</v>
      </c>
      <c r="G122" s="371">
        <v>3293</v>
      </c>
      <c r="H122" s="371">
        <v>5339</v>
      </c>
      <c r="I122" s="371">
        <v>5396</v>
      </c>
    </row>
    <row r="123" spans="2:9" ht="12.75">
      <c r="B123" s="372" t="s">
        <v>112</v>
      </c>
      <c r="C123" s="359">
        <v>18020</v>
      </c>
      <c r="D123" s="370">
        <v>21134</v>
      </c>
      <c r="E123" s="370">
        <v>15240</v>
      </c>
      <c r="F123" s="370">
        <v>16817</v>
      </c>
      <c r="G123" s="370">
        <v>17961</v>
      </c>
      <c r="H123" s="370">
        <v>19895</v>
      </c>
      <c r="I123" s="370">
        <v>21030</v>
      </c>
    </row>
    <row r="124" spans="2:9" ht="12.75">
      <c r="B124" s="385"/>
      <c r="C124" s="386"/>
      <c r="D124" s="386"/>
      <c r="E124" s="386"/>
      <c r="F124" s="386"/>
      <c r="G124" s="386"/>
      <c r="H124" s="386"/>
      <c r="I124" s="387"/>
    </row>
    <row r="125" spans="2:9" ht="12.75">
      <c r="B125" s="372" t="s">
        <v>396</v>
      </c>
      <c r="C125" s="388">
        <v>10876655</v>
      </c>
      <c r="D125" s="388">
        <v>43743223</v>
      </c>
      <c r="E125" s="388">
        <v>49274646</v>
      </c>
      <c r="F125" s="388">
        <v>55990754</v>
      </c>
      <c r="G125" s="388">
        <v>57778650</v>
      </c>
      <c r="H125" s="388">
        <v>61210932</v>
      </c>
      <c r="I125" s="388">
        <v>65882355</v>
      </c>
    </row>
    <row r="126" spans="1:9" ht="12.75">
      <c r="A126" s="1" t="s">
        <v>397</v>
      </c>
      <c r="B126" s="372" t="s">
        <v>398</v>
      </c>
      <c r="C126" s="374">
        <v>4641106</v>
      </c>
      <c r="D126" s="374">
        <v>24721325</v>
      </c>
      <c r="E126" s="370">
        <v>31558670</v>
      </c>
      <c r="F126" s="370">
        <v>29223226</v>
      </c>
      <c r="G126" s="370">
        <v>29511565</v>
      </c>
      <c r="H126" s="370">
        <v>42774921</v>
      </c>
      <c r="I126" s="370">
        <v>46262698</v>
      </c>
    </row>
    <row r="127" spans="2:9" ht="12.75">
      <c r="B127" s="372" t="s">
        <v>399</v>
      </c>
      <c r="C127" s="388">
        <v>6235549</v>
      </c>
      <c r="D127" s="388">
        <v>19021898</v>
      </c>
      <c r="E127" s="388">
        <v>17715976</v>
      </c>
      <c r="F127" s="388">
        <v>26767528</v>
      </c>
      <c r="G127" s="388">
        <v>28267085</v>
      </c>
      <c r="H127" s="388">
        <v>18436011</v>
      </c>
      <c r="I127" s="388">
        <v>19619657</v>
      </c>
    </row>
    <row r="128" spans="2:9" ht="13.5" customHeight="1">
      <c r="B128" s="363" t="s">
        <v>400</v>
      </c>
      <c r="C128" s="389">
        <v>0.43</v>
      </c>
      <c r="D128" s="389">
        <v>0.57</v>
      </c>
      <c r="E128" s="389">
        <v>0.64</v>
      </c>
      <c r="F128" s="389">
        <v>0.52</v>
      </c>
      <c r="G128" s="389">
        <v>0.51</v>
      </c>
      <c r="H128" s="389">
        <v>0.7</v>
      </c>
      <c r="I128" s="389">
        <v>0.7</v>
      </c>
    </row>
    <row r="129" spans="2:9" ht="13.5" customHeight="1">
      <c r="B129" s="390"/>
      <c r="C129" s="391"/>
      <c r="D129" s="391"/>
      <c r="E129" s="392"/>
      <c r="F129" s="392"/>
      <c r="G129" s="392"/>
      <c r="H129" s="392"/>
      <c r="I129" s="392"/>
    </row>
    <row r="130" spans="2:6" ht="12.75">
      <c r="B130" s="390" t="s">
        <v>401</v>
      </c>
      <c r="F130" s="393"/>
    </row>
    <row r="131" spans="6:9" ht="12.75">
      <c r="F131" s="393"/>
      <c r="I131" s="209"/>
    </row>
    <row r="132" ht="12.75">
      <c r="F132" s="393"/>
    </row>
    <row r="133" ht="12.75">
      <c r="F133" s="393"/>
    </row>
    <row r="134" ht="12.75">
      <c r="F134" s="159"/>
    </row>
    <row r="142" ht="12.75"/>
  </sheetData>
  <sheetProtection/>
  <mergeCells count="2">
    <mergeCell ref="B9:I9"/>
    <mergeCell ref="B10:I10"/>
  </mergeCells>
  <dataValidations count="1">
    <dataValidation allowBlank="1" showInputMessage="1" showErrorMessage="1" promptTitle="Date Format" prompt="E.g:  &quot;August 1, 2011&quot;" sqref="I7"/>
  </dataValidations>
  <printOptions horizontalCentered="1"/>
  <pageMargins left="0.5" right="0.5" top="0.75" bottom="0.5" header="0.433070866141732" footer="0.25"/>
  <pageSetup fitToHeight="10" horizontalDpi="600" verticalDpi="600" orientation="landscape" scale="78" r:id="rId3"/>
  <rowBreaks count="2" manualBreakCount="2">
    <brk id="43" min="1" max="8" man="1"/>
    <brk id="91" min="1" max="8" man="1"/>
  </rowBreaks>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G12"/>
  <sheetViews>
    <sheetView workbookViewId="0" topLeftCell="A1">
      <selection activeCell="A12" sqref="A12"/>
    </sheetView>
  </sheetViews>
  <sheetFormatPr defaultColWidth="9.140625" defaultRowHeight="15"/>
  <cols>
    <col min="1" max="1" width="21.140625" style="0" customWidth="1"/>
    <col min="3" max="3" width="15.140625" style="0" customWidth="1"/>
    <col min="6" max="6" width="12.7109375" style="0" bestFit="1" customWidth="1"/>
    <col min="7" max="7" width="13.57421875" style="0" bestFit="1" customWidth="1"/>
  </cols>
  <sheetData>
    <row r="1" spans="1:7" ht="15">
      <c r="A1" s="675"/>
      <c r="B1" s="675"/>
      <c r="C1" s="675"/>
      <c r="D1" s="675"/>
      <c r="E1" s="675"/>
      <c r="F1" s="698" t="s">
        <v>10</v>
      </c>
      <c r="G1" s="677" t="s">
        <v>11</v>
      </c>
    </row>
    <row r="2" spans="1:7" ht="15">
      <c r="A2" s="675"/>
      <c r="B2" s="675"/>
      <c r="C2" s="675"/>
      <c r="D2" s="675"/>
      <c r="E2" s="675"/>
      <c r="F2" s="698" t="s">
        <v>12</v>
      </c>
      <c r="G2" s="677" t="s">
        <v>619</v>
      </c>
    </row>
    <row r="3" spans="1:7" ht="15">
      <c r="A3" s="675"/>
      <c r="B3" s="675"/>
      <c r="C3" s="675"/>
      <c r="D3" s="675"/>
      <c r="E3" s="675"/>
      <c r="F3" s="698" t="s">
        <v>14</v>
      </c>
      <c r="G3" s="677" t="s">
        <v>313</v>
      </c>
    </row>
    <row r="4" spans="1:7" ht="15">
      <c r="A4" s="675"/>
      <c r="B4" s="675"/>
      <c r="C4" s="675"/>
      <c r="D4" s="675"/>
      <c r="E4" s="675"/>
      <c r="F4" s="698" t="s">
        <v>16</v>
      </c>
      <c r="G4" s="677" t="s">
        <v>314</v>
      </c>
    </row>
    <row r="5" spans="1:7" ht="15">
      <c r="A5" s="675"/>
      <c r="B5" s="675"/>
      <c r="C5" s="675"/>
      <c r="D5" s="675"/>
      <c r="E5" s="675"/>
      <c r="F5" s="698" t="s">
        <v>18</v>
      </c>
      <c r="G5" s="677" t="s">
        <v>315</v>
      </c>
    </row>
    <row r="6" spans="1:7" ht="15">
      <c r="A6" s="675"/>
      <c r="B6" s="675"/>
      <c r="C6" s="675"/>
      <c r="D6" s="675"/>
      <c r="E6" s="675"/>
      <c r="F6" s="698"/>
      <c r="G6" s="675"/>
    </row>
    <row r="7" spans="1:7" ht="15">
      <c r="A7" s="675"/>
      <c r="B7" s="675"/>
      <c r="C7" s="675"/>
      <c r="D7" s="675"/>
      <c r="E7" s="675"/>
      <c r="F7" s="698" t="s">
        <v>19</v>
      </c>
      <c r="G7" s="678">
        <v>41037</v>
      </c>
    </row>
    <row r="8" spans="1:7" ht="15">
      <c r="A8" s="675"/>
      <c r="B8" s="675"/>
      <c r="C8" s="675"/>
      <c r="D8" s="675"/>
      <c r="E8" s="675"/>
      <c r="F8" s="675"/>
      <c r="G8" s="675"/>
    </row>
    <row r="9" spans="1:7" ht="18">
      <c r="A9" s="918" t="s">
        <v>311</v>
      </c>
      <c r="B9" s="918"/>
      <c r="C9" s="918"/>
      <c r="D9" s="918"/>
      <c r="E9" s="918"/>
      <c r="F9" s="918"/>
      <c r="G9" s="918"/>
    </row>
    <row r="10" spans="1:7" ht="18">
      <c r="A10" s="918" t="s">
        <v>312</v>
      </c>
      <c r="B10" s="918"/>
      <c r="C10" s="918"/>
      <c r="D10" s="918"/>
      <c r="E10" s="918"/>
      <c r="F10" s="918"/>
      <c r="G10" s="918"/>
    </row>
    <row r="12" ht="15">
      <c r="A12" t="s">
        <v>316</v>
      </c>
    </row>
  </sheetData>
  <mergeCells count="2">
    <mergeCell ref="A9:G9"/>
    <mergeCell ref="A10:G10"/>
  </mergeCells>
  <dataValidations count="1">
    <dataValidation allowBlank="1" showInputMessage="1" showErrorMessage="1" promptTitle="Date Format" prompt="E.g:  &quot;August 1, 2011&quot;" sqref="G7"/>
  </dataValidations>
  <printOptions/>
  <pageMargins left="0.75" right="0.75" top="1" bottom="1"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pageSetUpPr fitToPage="1"/>
  </sheetPr>
  <dimension ref="A1:R63"/>
  <sheetViews>
    <sheetView workbookViewId="0" topLeftCell="E25">
      <selection activeCell="B63" sqref="B63:O63"/>
    </sheetView>
  </sheetViews>
  <sheetFormatPr defaultColWidth="9.140625" defaultRowHeight="15"/>
  <cols>
    <col min="1" max="1" width="1.421875" style="0" customWidth="1"/>
    <col min="3" max="3" width="38.57421875" style="0" customWidth="1"/>
    <col min="4" max="4" width="15.00390625" style="0" bestFit="1" customWidth="1"/>
    <col min="5" max="5" width="12.28125" style="0" bestFit="1" customWidth="1"/>
    <col min="6" max="6" width="9.57421875" style="0" customWidth="1"/>
    <col min="7" max="7" width="15.00390625" style="0" bestFit="1" customWidth="1"/>
    <col min="8" max="8" width="13.421875" style="0" bestFit="1" customWidth="1"/>
    <col min="9" max="9" width="14.00390625" style="0" bestFit="1" customWidth="1"/>
    <col min="10" max="11" width="12.8515625" style="0" bestFit="1" customWidth="1"/>
    <col min="12" max="12" width="15.00390625" style="0" bestFit="1" customWidth="1"/>
    <col min="15" max="15" width="12.57421875" style="0" bestFit="1" customWidth="1"/>
    <col min="16" max="16" width="14.00390625" style="0" bestFit="1" customWidth="1"/>
    <col min="17" max="17" width="11.8515625" style="0" bestFit="1" customWidth="1"/>
  </cols>
  <sheetData>
    <row r="1" spans="1:18" ht="15">
      <c r="A1" s="675"/>
      <c r="B1" s="675"/>
      <c r="C1" s="675"/>
      <c r="D1" s="675"/>
      <c r="E1" s="675"/>
      <c r="F1" s="675"/>
      <c r="G1" s="675"/>
      <c r="H1" s="675"/>
      <c r="I1" s="675"/>
      <c r="J1" s="675"/>
      <c r="K1" s="675"/>
      <c r="L1" s="675"/>
      <c r="M1" s="698" t="s">
        <v>10</v>
      </c>
      <c r="N1" s="675"/>
      <c r="O1" s="677" t="s">
        <v>11</v>
      </c>
      <c r="P1" s="677"/>
      <c r="Q1" s="677"/>
      <c r="R1" s="675"/>
    </row>
    <row r="2" spans="1:18" ht="15">
      <c r="A2" s="675"/>
      <c r="B2" s="675"/>
      <c r="C2" s="675"/>
      <c r="D2" s="675"/>
      <c r="E2" s="675"/>
      <c r="F2" s="675"/>
      <c r="G2" s="675"/>
      <c r="H2" s="675"/>
      <c r="I2" s="675"/>
      <c r="J2" s="675"/>
      <c r="K2" s="675"/>
      <c r="L2" s="675"/>
      <c r="M2" s="698" t="s">
        <v>12</v>
      </c>
      <c r="N2" s="675"/>
      <c r="O2" s="677" t="s">
        <v>619</v>
      </c>
      <c r="P2" s="677"/>
      <c r="Q2" s="677"/>
      <c r="R2" s="675"/>
    </row>
    <row r="3" spans="1:18" ht="15">
      <c r="A3" s="675"/>
      <c r="B3" s="675"/>
      <c r="C3" s="675"/>
      <c r="D3" s="675"/>
      <c r="E3" s="675"/>
      <c r="F3" s="675"/>
      <c r="G3" s="675"/>
      <c r="H3" s="675"/>
      <c r="I3" s="675"/>
      <c r="J3" s="675"/>
      <c r="K3" s="675"/>
      <c r="L3" s="675"/>
      <c r="M3" s="698" t="s">
        <v>14</v>
      </c>
      <c r="N3" s="675"/>
      <c r="O3" s="711" t="s">
        <v>620</v>
      </c>
      <c r="P3" s="711"/>
      <c r="Q3" s="711"/>
      <c r="R3" s="675"/>
    </row>
    <row r="4" spans="1:18" ht="15">
      <c r="A4" s="675"/>
      <c r="B4" s="675"/>
      <c r="C4" s="675"/>
      <c r="D4" s="675"/>
      <c r="E4" s="675"/>
      <c r="F4" s="675"/>
      <c r="G4" s="675"/>
      <c r="H4" s="675"/>
      <c r="I4" s="675"/>
      <c r="J4" s="675"/>
      <c r="K4" s="675"/>
      <c r="L4" s="675"/>
      <c r="M4" s="698" t="s">
        <v>16</v>
      </c>
      <c r="N4" s="675"/>
      <c r="O4" s="677" t="s">
        <v>688</v>
      </c>
      <c r="P4" s="711"/>
      <c r="Q4" s="711"/>
      <c r="R4" s="675"/>
    </row>
    <row r="5" spans="1:18" ht="15">
      <c r="A5" s="675"/>
      <c r="B5" s="675"/>
      <c r="C5" s="675"/>
      <c r="D5" s="675"/>
      <c r="E5" s="675"/>
      <c r="F5" s="675"/>
      <c r="G5" s="675"/>
      <c r="H5" s="675"/>
      <c r="I5" s="675"/>
      <c r="J5" s="675"/>
      <c r="K5" s="675"/>
      <c r="L5" s="675"/>
      <c r="M5" s="698" t="s">
        <v>18</v>
      </c>
      <c r="N5" s="675"/>
      <c r="O5" s="677" t="s">
        <v>689</v>
      </c>
      <c r="P5" s="677"/>
      <c r="Q5" s="677"/>
      <c r="R5" s="675"/>
    </row>
    <row r="6" spans="1:18" ht="15">
      <c r="A6" s="675"/>
      <c r="B6" s="675"/>
      <c r="C6" s="675"/>
      <c r="D6" s="675"/>
      <c r="E6" s="675"/>
      <c r="F6" s="675"/>
      <c r="G6" s="675"/>
      <c r="H6" s="675"/>
      <c r="I6" s="675"/>
      <c r="J6" s="675"/>
      <c r="K6" s="675"/>
      <c r="L6" s="675"/>
      <c r="M6" s="698"/>
      <c r="N6" s="675"/>
      <c r="O6" s="675"/>
      <c r="P6" s="675"/>
      <c r="Q6" s="675"/>
      <c r="R6" s="675"/>
    </row>
    <row r="7" spans="1:18" ht="15">
      <c r="A7" s="675"/>
      <c r="B7" s="675"/>
      <c r="C7" s="675"/>
      <c r="D7" s="675"/>
      <c r="E7" s="675"/>
      <c r="F7" s="675"/>
      <c r="G7" s="675"/>
      <c r="H7" s="675"/>
      <c r="I7" s="675"/>
      <c r="J7" s="675"/>
      <c r="K7" s="675"/>
      <c r="L7" s="675"/>
      <c r="M7" s="698" t="s">
        <v>19</v>
      </c>
      <c r="N7" s="675"/>
      <c r="O7" s="678" t="s">
        <v>690</v>
      </c>
      <c r="P7" s="678"/>
      <c r="Q7" s="678"/>
      <c r="R7" s="675"/>
    </row>
    <row r="8" spans="1:18" ht="15">
      <c r="A8" s="675"/>
      <c r="B8" s="675"/>
      <c r="C8" s="675"/>
      <c r="D8" s="675"/>
      <c r="E8" s="675"/>
      <c r="F8" s="675"/>
      <c r="G8" s="675"/>
      <c r="H8" s="675"/>
      <c r="I8" s="675"/>
      <c r="J8" s="675"/>
      <c r="K8" s="675"/>
      <c r="L8" s="675"/>
      <c r="M8" s="675"/>
      <c r="N8" s="675"/>
      <c r="O8" s="675"/>
      <c r="P8" s="675"/>
      <c r="Q8" s="675"/>
      <c r="R8" s="675"/>
    </row>
    <row r="9" spans="1:18" ht="18">
      <c r="A9" s="675"/>
      <c r="B9" s="918" t="s">
        <v>691</v>
      </c>
      <c r="C9" s="918"/>
      <c r="D9" s="918"/>
      <c r="E9" s="918"/>
      <c r="F9" s="918"/>
      <c r="G9" s="918"/>
      <c r="H9" s="918"/>
      <c r="I9" s="918"/>
      <c r="J9" s="918"/>
      <c r="K9" s="918"/>
      <c r="L9" s="918"/>
      <c r="M9" s="918"/>
      <c r="N9" s="918"/>
      <c r="O9" s="918"/>
      <c r="P9" s="679"/>
      <c r="Q9" s="679"/>
      <c r="R9" s="675"/>
    </row>
    <row r="10" spans="1:18" ht="18">
      <c r="A10" s="675"/>
      <c r="B10" s="918" t="s">
        <v>692</v>
      </c>
      <c r="C10" s="918"/>
      <c r="D10" s="918"/>
      <c r="E10" s="918"/>
      <c r="F10" s="918"/>
      <c r="G10" s="918"/>
      <c r="H10" s="918"/>
      <c r="I10" s="918"/>
      <c r="J10" s="918"/>
      <c r="K10" s="918"/>
      <c r="L10" s="918"/>
      <c r="M10" s="918"/>
      <c r="N10" s="918"/>
      <c r="O10" s="918"/>
      <c r="P10" s="739"/>
      <c r="Q10" s="679"/>
      <c r="R10" s="675"/>
    </row>
    <row r="11" spans="1:18" ht="18">
      <c r="A11" s="675"/>
      <c r="B11" s="679"/>
      <c r="C11" s="679"/>
      <c r="D11" s="679"/>
      <c r="E11" s="679"/>
      <c r="F11" s="679"/>
      <c r="G11" s="679"/>
      <c r="H11" s="679"/>
      <c r="I11" s="679"/>
      <c r="J11" s="679"/>
      <c r="K11" s="679"/>
      <c r="L11" s="679"/>
      <c r="M11" s="679"/>
      <c r="N11" s="679"/>
      <c r="O11" s="679"/>
      <c r="P11" s="679"/>
      <c r="Q11" s="679"/>
      <c r="R11" s="675"/>
    </row>
    <row r="12" spans="1:18" ht="18">
      <c r="A12" s="675"/>
      <c r="B12" s="679"/>
      <c r="C12" s="679"/>
      <c r="D12" s="679"/>
      <c r="E12" s="679"/>
      <c r="F12" s="679"/>
      <c r="G12" s="679"/>
      <c r="H12" s="740" t="s">
        <v>693</v>
      </c>
      <c r="I12" s="741">
        <v>2009</v>
      </c>
      <c r="J12" s="742" t="s">
        <v>694</v>
      </c>
      <c r="K12" s="742"/>
      <c r="L12" s="679"/>
      <c r="M12" s="679"/>
      <c r="N12" s="679"/>
      <c r="O12" s="679"/>
      <c r="P12" s="679"/>
      <c r="Q12" s="679"/>
      <c r="R12" s="675"/>
    </row>
    <row r="13" spans="1:18" ht="15.75" thickBot="1">
      <c r="A13" s="675"/>
      <c r="B13" s="675"/>
      <c r="C13" s="675"/>
      <c r="D13" s="675"/>
      <c r="E13" s="675"/>
      <c r="F13" s="675"/>
      <c r="G13" s="675"/>
      <c r="H13" s="675"/>
      <c r="I13" s="675"/>
      <c r="J13" s="675"/>
      <c r="K13" s="675"/>
      <c r="L13" s="675"/>
      <c r="M13" s="675"/>
      <c r="N13" s="675"/>
      <c r="O13" s="675"/>
      <c r="P13" s="675"/>
      <c r="Q13" s="675"/>
      <c r="R13" s="675"/>
    </row>
    <row r="14" spans="1:18" ht="51">
      <c r="A14" s="675"/>
      <c r="B14" s="964" t="s">
        <v>145</v>
      </c>
      <c r="C14" s="966" t="s">
        <v>146</v>
      </c>
      <c r="D14" s="743" t="s">
        <v>695</v>
      </c>
      <c r="E14" s="744" t="s">
        <v>696</v>
      </c>
      <c r="F14" s="744" t="s">
        <v>697</v>
      </c>
      <c r="G14" s="745" t="s">
        <v>698</v>
      </c>
      <c r="H14" s="745" t="s">
        <v>699</v>
      </c>
      <c r="I14" s="745" t="s">
        <v>700</v>
      </c>
      <c r="J14" s="745" t="s">
        <v>701</v>
      </c>
      <c r="K14" s="745" t="s">
        <v>697</v>
      </c>
      <c r="L14" s="745" t="s">
        <v>702</v>
      </c>
      <c r="M14" s="745" t="s">
        <v>703</v>
      </c>
      <c r="N14" s="745" t="s">
        <v>704</v>
      </c>
      <c r="O14" s="746" t="s">
        <v>705</v>
      </c>
      <c r="P14" s="746" t="s">
        <v>706</v>
      </c>
      <c r="Q14" s="747" t="s">
        <v>707</v>
      </c>
      <c r="R14" s="971" t="s">
        <v>708</v>
      </c>
    </row>
    <row r="15" spans="1:18" ht="26.25">
      <c r="A15" s="675"/>
      <c r="B15" s="965"/>
      <c r="C15" s="967"/>
      <c r="D15" s="748"/>
      <c r="E15" s="748"/>
      <c r="F15" s="748"/>
      <c r="G15" s="749" t="s">
        <v>709</v>
      </c>
      <c r="H15" s="749" t="s">
        <v>710</v>
      </c>
      <c r="I15" s="749" t="s">
        <v>711</v>
      </c>
      <c r="J15" s="750" t="s">
        <v>712</v>
      </c>
      <c r="K15" s="750" t="s">
        <v>713</v>
      </c>
      <c r="L15" s="751" t="s">
        <v>714</v>
      </c>
      <c r="M15" s="749" t="s">
        <v>715</v>
      </c>
      <c r="N15" s="749" t="s">
        <v>716</v>
      </c>
      <c r="O15" s="752" t="s">
        <v>717</v>
      </c>
      <c r="P15" s="753" t="s">
        <v>718</v>
      </c>
      <c r="Q15" s="753" t="s">
        <v>719</v>
      </c>
      <c r="R15" s="972"/>
    </row>
    <row r="16" spans="1:18" ht="15">
      <c r="A16" s="675"/>
      <c r="B16" s="719">
        <v>1805</v>
      </c>
      <c r="C16" s="754" t="s">
        <v>720</v>
      </c>
      <c r="D16" s="755">
        <v>8580941.65</v>
      </c>
      <c r="E16" s="755">
        <v>-488200</v>
      </c>
      <c r="F16" s="755"/>
      <c r="G16" s="756">
        <f aca="true" t="shared" si="0" ref="G16:G52">+D16+E16+F16</f>
        <v>8092741.65</v>
      </c>
      <c r="H16" s="756"/>
      <c r="I16" s="756">
        <f aca="true" t="shared" si="1" ref="I16:I53">G16-H16</f>
        <v>8092741.65</v>
      </c>
      <c r="J16" s="756">
        <v>341897.03</v>
      </c>
      <c r="K16" s="756"/>
      <c r="L16" s="756">
        <f aca="true" t="shared" si="2" ref="L16:L54">I16+0.5*J16+K16*0.5</f>
        <v>8263690.165</v>
      </c>
      <c r="M16" s="757">
        <v>0</v>
      </c>
      <c r="N16" s="758">
        <v>0</v>
      </c>
      <c r="O16" s="759">
        <f aca="true" t="shared" si="3" ref="O16:O54">+L16*N16</f>
        <v>0</v>
      </c>
      <c r="P16" s="759">
        <v>0</v>
      </c>
      <c r="Q16" s="759">
        <f aca="true" t="shared" si="4" ref="Q16:Q54">+O16-P16</f>
        <v>0</v>
      </c>
      <c r="R16" s="760" t="s">
        <v>721</v>
      </c>
    </row>
    <row r="17" spans="1:18" ht="15">
      <c r="A17" s="675"/>
      <c r="B17" s="761">
        <v>1806</v>
      </c>
      <c r="C17" s="762" t="s">
        <v>722</v>
      </c>
      <c r="D17" s="763">
        <v>656895.41</v>
      </c>
      <c r="E17" s="755"/>
      <c r="F17" s="755"/>
      <c r="G17" s="756">
        <f t="shared" si="0"/>
        <v>656895.41</v>
      </c>
      <c r="H17" s="756"/>
      <c r="I17" s="756">
        <f t="shared" si="1"/>
        <v>656895.41</v>
      </c>
      <c r="J17" s="756">
        <v>147639</v>
      </c>
      <c r="K17" s="756"/>
      <c r="L17" s="756">
        <f t="shared" si="2"/>
        <v>730714.91</v>
      </c>
      <c r="M17" s="757">
        <v>0</v>
      </c>
      <c r="N17" s="758">
        <f>IF(M17=0,"",1/M17)</f>
      </c>
      <c r="O17" s="759">
        <v>0</v>
      </c>
      <c r="P17" s="764">
        <v>1201.43</v>
      </c>
      <c r="Q17" s="759">
        <f t="shared" si="4"/>
        <v>-1201.43</v>
      </c>
      <c r="R17" s="765" t="s">
        <v>721</v>
      </c>
    </row>
    <row r="18" spans="1:18" ht="15">
      <c r="A18" s="675"/>
      <c r="B18" s="719">
        <v>1808</v>
      </c>
      <c r="C18" s="754" t="s">
        <v>723</v>
      </c>
      <c r="D18" s="766">
        <v>43527128.55</v>
      </c>
      <c r="E18" s="766"/>
      <c r="F18" s="766"/>
      <c r="G18" s="756">
        <f t="shared" si="0"/>
        <v>43527128.55</v>
      </c>
      <c r="H18" s="756">
        <v>1105943.864999991</v>
      </c>
      <c r="I18" s="756">
        <f t="shared" si="1"/>
        <v>42421184.685</v>
      </c>
      <c r="J18" s="756">
        <v>439584.6299999878</v>
      </c>
      <c r="K18" s="756"/>
      <c r="L18" s="756">
        <f t="shared" si="2"/>
        <v>42640977</v>
      </c>
      <c r="M18" s="757">
        <v>50</v>
      </c>
      <c r="N18" s="758">
        <f>IF(M18=0,"",1/M18)</f>
        <v>0.02</v>
      </c>
      <c r="O18" s="767">
        <f t="shared" si="3"/>
        <v>852819.54</v>
      </c>
      <c r="P18" s="764">
        <v>852819.54</v>
      </c>
      <c r="Q18" s="759">
        <f t="shared" si="4"/>
        <v>0</v>
      </c>
      <c r="R18" s="765" t="s">
        <v>721</v>
      </c>
    </row>
    <row r="19" spans="1:18" ht="15">
      <c r="A19" s="675"/>
      <c r="B19" s="719">
        <v>1810</v>
      </c>
      <c r="C19" s="754" t="s">
        <v>724</v>
      </c>
      <c r="D19" s="766">
        <v>7619008</v>
      </c>
      <c r="E19" s="766"/>
      <c r="F19" s="766"/>
      <c r="G19" s="756">
        <f t="shared" si="0"/>
        <v>7619008</v>
      </c>
      <c r="H19" s="756"/>
      <c r="I19" s="756">
        <f t="shared" si="1"/>
        <v>7619008</v>
      </c>
      <c r="J19" s="756">
        <v>8842526.55</v>
      </c>
      <c r="K19" s="756">
        <v>-7619008</v>
      </c>
      <c r="L19" s="756">
        <f t="shared" si="2"/>
        <v>8230767.275</v>
      </c>
      <c r="M19" s="757">
        <v>0</v>
      </c>
      <c r="N19" s="758">
        <v>0</v>
      </c>
      <c r="O19" s="767">
        <f t="shared" si="3"/>
        <v>0</v>
      </c>
      <c r="P19" s="759">
        <v>0</v>
      </c>
      <c r="Q19" s="759">
        <f t="shared" si="4"/>
        <v>0</v>
      </c>
      <c r="R19" s="765" t="s">
        <v>721</v>
      </c>
    </row>
    <row r="20" spans="1:18" ht="15">
      <c r="A20" s="675"/>
      <c r="B20" s="719">
        <v>1815</v>
      </c>
      <c r="C20" s="754" t="s">
        <v>725</v>
      </c>
      <c r="D20" s="766">
        <v>95767181.59</v>
      </c>
      <c r="E20" s="766"/>
      <c r="F20" s="766"/>
      <c r="G20" s="756">
        <f t="shared" si="0"/>
        <v>95767181.59</v>
      </c>
      <c r="H20" s="756">
        <v>31872.789999991655</v>
      </c>
      <c r="I20" s="756">
        <f t="shared" si="1"/>
        <v>95735308.80000001</v>
      </c>
      <c r="J20" s="756">
        <v>0</v>
      </c>
      <c r="K20" s="756"/>
      <c r="L20" s="756">
        <f t="shared" si="2"/>
        <v>95735308.80000001</v>
      </c>
      <c r="M20" s="757">
        <v>40</v>
      </c>
      <c r="N20" s="758">
        <f>IF(M20=0,"",1/M20)</f>
        <v>0.025</v>
      </c>
      <c r="O20" s="767">
        <f t="shared" si="3"/>
        <v>2393382.72</v>
      </c>
      <c r="P20" s="768">
        <v>2393382.72</v>
      </c>
      <c r="Q20" s="759">
        <f t="shared" si="4"/>
        <v>0</v>
      </c>
      <c r="R20" s="765" t="s">
        <v>721</v>
      </c>
    </row>
    <row r="21" spans="1:18" ht="15">
      <c r="A21" s="675"/>
      <c r="B21" s="769">
        <v>1820</v>
      </c>
      <c r="C21" s="770" t="s">
        <v>726</v>
      </c>
      <c r="D21" s="766">
        <v>10981044.7</v>
      </c>
      <c r="E21" s="771">
        <v>-141473</v>
      </c>
      <c r="F21" s="766"/>
      <c r="G21" s="756">
        <f t="shared" si="0"/>
        <v>10839571.7</v>
      </c>
      <c r="H21" s="756">
        <v>917003.5399999976</v>
      </c>
      <c r="I21" s="756">
        <f t="shared" si="1"/>
        <v>9922568.160000002</v>
      </c>
      <c r="J21" s="756">
        <v>680901.08</v>
      </c>
      <c r="K21" s="756"/>
      <c r="L21" s="756">
        <f t="shared" si="2"/>
        <v>10263018.700000001</v>
      </c>
      <c r="M21" s="757">
        <v>30</v>
      </c>
      <c r="N21" s="758">
        <f>IF(M21=0,"",1/M21)</f>
        <v>0.03333333333333333</v>
      </c>
      <c r="O21" s="767">
        <f t="shared" si="3"/>
        <v>342100.62333333335</v>
      </c>
      <c r="P21" s="768">
        <v>342100.62333333335</v>
      </c>
      <c r="Q21" s="759">
        <f t="shared" si="4"/>
        <v>0</v>
      </c>
      <c r="R21" s="765" t="s">
        <v>721</v>
      </c>
    </row>
    <row r="22" spans="1:18" ht="15">
      <c r="A22" s="675"/>
      <c r="B22" s="769">
        <v>1825</v>
      </c>
      <c r="C22" s="770" t="s">
        <v>727</v>
      </c>
      <c r="D22" s="766">
        <v>0</v>
      </c>
      <c r="E22" s="766"/>
      <c r="F22" s="766"/>
      <c r="G22" s="756">
        <f t="shared" si="0"/>
        <v>0</v>
      </c>
      <c r="H22" s="756"/>
      <c r="I22" s="756">
        <f t="shared" si="1"/>
        <v>0</v>
      </c>
      <c r="J22" s="756">
        <v>0</v>
      </c>
      <c r="K22" s="756"/>
      <c r="L22" s="756">
        <f t="shared" si="2"/>
        <v>0</v>
      </c>
      <c r="M22" s="757">
        <v>0</v>
      </c>
      <c r="N22" s="758">
        <v>0</v>
      </c>
      <c r="O22" s="767">
        <f t="shared" si="3"/>
        <v>0</v>
      </c>
      <c r="P22" s="759">
        <v>0</v>
      </c>
      <c r="Q22" s="759">
        <f t="shared" si="4"/>
        <v>0</v>
      </c>
      <c r="R22" s="765" t="s">
        <v>721</v>
      </c>
    </row>
    <row r="23" spans="1:18" ht="15">
      <c r="A23" s="675"/>
      <c r="B23" s="769">
        <v>1830</v>
      </c>
      <c r="C23" s="770" t="s">
        <v>728</v>
      </c>
      <c r="D23" s="766">
        <v>114186287.83999996</v>
      </c>
      <c r="E23" s="766"/>
      <c r="F23" s="766"/>
      <c r="G23" s="756">
        <f t="shared" si="0"/>
        <v>114186287.83999996</v>
      </c>
      <c r="H23" s="756">
        <v>12207953.309999965</v>
      </c>
      <c r="I23" s="756">
        <f t="shared" si="1"/>
        <v>101978334.53</v>
      </c>
      <c r="J23" s="756">
        <v>10564026.93999999</v>
      </c>
      <c r="K23" s="756"/>
      <c r="L23" s="756">
        <f t="shared" si="2"/>
        <v>107260348</v>
      </c>
      <c r="M23" s="757">
        <v>25</v>
      </c>
      <c r="N23" s="758">
        <f aca="true" t="shared" si="5" ref="N23:N33">IF(M23=0,"",1/M23)</f>
        <v>0.04</v>
      </c>
      <c r="O23" s="767">
        <f t="shared" si="3"/>
        <v>4290413.92</v>
      </c>
      <c r="P23" s="768">
        <v>4290413.92</v>
      </c>
      <c r="Q23" s="759">
        <f t="shared" si="4"/>
        <v>0</v>
      </c>
      <c r="R23" s="765" t="s">
        <v>721</v>
      </c>
    </row>
    <row r="24" spans="1:18" ht="15">
      <c r="A24" s="675"/>
      <c r="B24" s="769">
        <v>1835</v>
      </c>
      <c r="C24" s="770" t="s">
        <v>729</v>
      </c>
      <c r="D24" s="766">
        <v>156081732.51999998</v>
      </c>
      <c r="E24" s="766">
        <v>-1041748</v>
      </c>
      <c r="F24" s="766"/>
      <c r="G24" s="756">
        <f t="shared" si="0"/>
        <v>155039984.51999998</v>
      </c>
      <c r="H24" s="756">
        <v>12262683.114999974</v>
      </c>
      <c r="I24" s="756">
        <f t="shared" si="1"/>
        <v>142777301.405</v>
      </c>
      <c r="J24" s="756">
        <v>2124416.19</v>
      </c>
      <c r="K24" s="756"/>
      <c r="L24" s="756">
        <f t="shared" si="2"/>
        <v>143839509.5</v>
      </c>
      <c r="M24" s="757">
        <v>25</v>
      </c>
      <c r="N24" s="758">
        <f t="shared" si="5"/>
        <v>0.04</v>
      </c>
      <c r="O24" s="767">
        <f t="shared" si="3"/>
        <v>5753580.38</v>
      </c>
      <c r="P24" s="768">
        <v>5752246.5699999975</v>
      </c>
      <c r="Q24" s="759">
        <f t="shared" si="4"/>
        <v>1333.8100000023842</v>
      </c>
      <c r="R24" s="765" t="s">
        <v>721</v>
      </c>
    </row>
    <row r="25" spans="1:18" ht="15">
      <c r="A25" s="675"/>
      <c r="B25" s="769">
        <v>1840</v>
      </c>
      <c r="C25" s="770" t="s">
        <v>730</v>
      </c>
      <c r="D25" s="766">
        <v>146091648.11</v>
      </c>
      <c r="E25" s="766"/>
      <c r="F25" s="766"/>
      <c r="G25" s="756">
        <f t="shared" si="0"/>
        <v>146091648.11</v>
      </c>
      <c r="H25" s="756">
        <v>8695748.649999987</v>
      </c>
      <c r="I25" s="756">
        <f t="shared" si="1"/>
        <v>137395899.46000004</v>
      </c>
      <c r="J25" s="756">
        <v>8218654.080000001</v>
      </c>
      <c r="K25" s="756"/>
      <c r="L25" s="756">
        <f t="shared" si="2"/>
        <v>141505226.50000003</v>
      </c>
      <c r="M25" s="757">
        <v>25</v>
      </c>
      <c r="N25" s="758">
        <f t="shared" si="5"/>
        <v>0.04</v>
      </c>
      <c r="O25" s="767">
        <f t="shared" si="3"/>
        <v>5660209.060000001</v>
      </c>
      <c r="P25" s="759">
        <v>5661543</v>
      </c>
      <c r="Q25" s="759">
        <f t="shared" si="4"/>
        <v>-1333.9399999985471</v>
      </c>
      <c r="R25" s="765" t="s">
        <v>721</v>
      </c>
    </row>
    <row r="26" spans="1:18" ht="15">
      <c r="A26" s="675"/>
      <c r="B26" s="769">
        <v>1845</v>
      </c>
      <c r="C26" s="770" t="s">
        <v>731</v>
      </c>
      <c r="D26" s="766">
        <v>291892003.75</v>
      </c>
      <c r="E26" s="766">
        <v>1404817</v>
      </c>
      <c r="F26" s="766"/>
      <c r="G26" s="756">
        <f t="shared" si="0"/>
        <v>293296820.75</v>
      </c>
      <c r="H26" s="756">
        <v>19115362.00000001</v>
      </c>
      <c r="I26" s="756">
        <f t="shared" si="1"/>
        <v>274181458.75</v>
      </c>
      <c r="J26" s="756">
        <v>24596722.999999993</v>
      </c>
      <c r="K26" s="756"/>
      <c r="L26" s="756">
        <f t="shared" si="2"/>
        <v>286479820.25</v>
      </c>
      <c r="M26" s="757">
        <v>25</v>
      </c>
      <c r="N26" s="758">
        <f t="shared" si="5"/>
        <v>0.04</v>
      </c>
      <c r="O26" s="767">
        <f t="shared" si="3"/>
        <v>11459192.81</v>
      </c>
      <c r="P26" s="768">
        <v>11459192.809999999</v>
      </c>
      <c r="Q26" s="759">
        <f t="shared" si="4"/>
        <v>0</v>
      </c>
      <c r="R26" s="765" t="s">
        <v>721</v>
      </c>
    </row>
    <row r="27" spans="1:18" ht="15">
      <c r="A27" s="675"/>
      <c r="B27" s="769">
        <v>1850</v>
      </c>
      <c r="C27" s="762" t="s">
        <v>732</v>
      </c>
      <c r="D27" s="766">
        <v>38913500.23</v>
      </c>
      <c r="E27" s="766">
        <v>119470</v>
      </c>
      <c r="F27" s="766"/>
      <c r="G27" s="756">
        <f t="shared" si="0"/>
        <v>39032970.23</v>
      </c>
      <c r="H27" s="756">
        <v>8603821.239999996</v>
      </c>
      <c r="I27" s="756">
        <f t="shared" si="1"/>
        <v>30429148.990000002</v>
      </c>
      <c r="J27" s="756">
        <v>752057.52</v>
      </c>
      <c r="K27" s="756"/>
      <c r="L27" s="756">
        <f t="shared" si="2"/>
        <v>30805177.750000004</v>
      </c>
      <c r="M27" s="757">
        <v>25</v>
      </c>
      <c r="N27" s="758">
        <f t="shared" si="5"/>
        <v>0.04</v>
      </c>
      <c r="O27" s="767">
        <f t="shared" si="3"/>
        <v>1232207.11</v>
      </c>
      <c r="P27" s="768">
        <v>1232207.11</v>
      </c>
      <c r="Q27" s="759">
        <f t="shared" si="4"/>
        <v>0</v>
      </c>
      <c r="R27" s="765" t="s">
        <v>721</v>
      </c>
    </row>
    <row r="28" spans="1:18" ht="15">
      <c r="A28" s="675"/>
      <c r="B28" s="769">
        <v>1850</v>
      </c>
      <c r="C28" s="770" t="s">
        <v>733</v>
      </c>
      <c r="D28" s="766">
        <v>202256102.48</v>
      </c>
      <c r="E28" s="766">
        <v>242712</v>
      </c>
      <c r="F28" s="766"/>
      <c r="G28" s="756">
        <f t="shared" si="0"/>
        <v>202498814.48</v>
      </c>
      <c r="H28" s="756">
        <v>11704414.750000136</v>
      </c>
      <c r="I28" s="756">
        <f t="shared" si="1"/>
        <v>190794399.72999984</v>
      </c>
      <c r="J28" s="756">
        <v>10048228.040000007</v>
      </c>
      <c r="K28" s="756"/>
      <c r="L28" s="756">
        <f t="shared" si="2"/>
        <v>195818513.74999985</v>
      </c>
      <c r="M28" s="757">
        <v>25</v>
      </c>
      <c r="N28" s="758">
        <f t="shared" si="5"/>
        <v>0.04</v>
      </c>
      <c r="O28" s="767">
        <f t="shared" si="3"/>
        <v>7832740.549999994</v>
      </c>
      <c r="P28" s="768">
        <v>7832740.549999995</v>
      </c>
      <c r="Q28" s="759">
        <f t="shared" si="4"/>
        <v>0</v>
      </c>
      <c r="R28" s="765" t="s">
        <v>721</v>
      </c>
    </row>
    <row r="29" spans="1:18" ht="15">
      <c r="A29" s="675"/>
      <c r="B29" s="769">
        <v>1855</v>
      </c>
      <c r="C29" s="770" t="s">
        <v>734</v>
      </c>
      <c r="D29" s="766">
        <v>5781995.94</v>
      </c>
      <c r="E29" s="766"/>
      <c r="F29" s="766"/>
      <c r="G29" s="756">
        <f t="shared" si="0"/>
        <v>5781995.94</v>
      </c>
      <c r="H29" s="756">
        <v>733117.4400000003</v>
      </c>
      <c r="I29" s="756">
        <f t="shared" si="1"/>
        <v>5048878.5</v>
      </c>
      <c r="J29" s="756">
        <v>775469.5</v>
      </c>
      <c r="K29" s="756"/>
      <c r="L29" s="756">
        <f t="shared" si="2"/>
        <v>5436613.25</v>
      </c>
      <c r="M29" s="757">
        <v>25</v>
      </c>
      <c r="N29" s="758">
        <f t="shared" si="5"/>
        <v>0.04</v>
      </c>
      <c r="O29" s="767">
        <f t="shared" si="3"/>
        <v>217464.53</v>
      </c>
      <c r="P29" s="768">
        <v>217464.53</v>
      </c>
      <c r="Q29" s="759">
        <f t="shared" si="4"/>
        <v>0</v>
      </c>
      <c r="R29" s="765" t="s">
        <v>721</v>
      </c>
    </row>
    <row r="30" spans="1:18" ht="15">
      <c r="A30" s="675"/>
      <c r="B30" s="769">
        <v>1855</v>
      </c>
      <c r="C30" s="762" t="s">
        <v>735</v>
      </c>
      <c r="D30" s="766">
        <v>43091879.56</v>
      </c>
      <c r="E30" s="766"/>
      <c r="F30" s="766"/>
      <c r="G30" s="756">
        <f t="shared" si="0"/>
        <v>43091879.56</v>
      </c>
      <c r="H30" s="756">
        <v>6144068.240000005</v>
      </c>
      <c r="I30" s="756">
        <f t="shared" si="1"/>
        <v>36947811.32</v>
      </c>
      <c r="J30" s="756">
        <v>1892237.36</v>
      </c>
      <c r="K30" s="756"/>
      <c r="L30" s="756">
        <f t="shared" si="2"/>
        <v>37893930</v>
      </c>
      <c r="M30" s="757">
        <v>25</v>
      </c>
      <c r="N30" s="758">
        <f t="shared" si="5"/>
        <v>0.04</v>
      </c>
      <c r="O30" s="767">
        <f t="shared" si="3"/>
        <v>1515757.2</v>
      </c>
      <c r="P30" s="768">
        <v>1515757.2</v>
      </c>
      <c r="Q30" s="759">
        <f t="shared" si="4"/>
        <v>0</v>
      </c>
      <c r="R30" s="765" t="s">
        <v>721</v>
      </c>
    </row>
    <row r="31" spans="1:18" ht="15">
      <c r="A31" s="675"/>
      <c r="B31" s="769">
        <v>1860</v>
      </c>
      <c r="C31" s="770" t="s">
        <v>736</v>
      </c>
      <c r="D31" s="766">
        <v>41253319.53</v>
      </c>
      <c r="E31" s="766">
        <v>-11431</v>
      </c>
      <c r="F31" s="766"/>
      <c r="G31" s="756">
        <f t="shared" si="0"/>
        <v>41241888.53</v>
      </c>
      <c r="H31" s="756"/>
      <c r="I31" s="756">
        <f t="shared" si="1"/>
        <v>41241888.53</v>
      </c>
      <c r="J31" s="756">
        <v>704672.5899999964</v>
      </c>
      <c r="K31" s="756">
        <f>-9100995-196240</f>
        <v>-9297235</v>
      </c>
      <c r="L31" s="756">
        <f t="shared" si="2"/>
        <v>36945607.325</v>
      </c>
      <c r="M31" s="757">
        <v>25</v>
      </c>
      <c r="N31" s="758">
        <f t="shared" si="5"/>
        <v>0.04</v>
      </c>
      <c r="O31" s="767">
        <f t="shared" si="3"/>
        <v>1477824.293</v>
      </c>
      <c r="P31" s="768">
        <v>1301467.87</v>
      </c>
      <c r="Q31" s="759">
        <f t="shared" si="4"/>
        <v>176356.42299999995</v>
      </c>
      <c r="R31" s="765" t="s">
        <v>721</v>
      </c>
    </row>
    <row r="32" spans="1:18" ht="15">
      <c r="A32" s="675"/>
      <c r="B32" s="769">
        <v>1860</v>
      </c>
      <c r="C32" s="772" t="s">
        <v>737</v>
      </c>
      <c r="D32" s="766">
        <v>5121362.13</v>
      </c>
      <c r="E32" s="766"/>
      <c r="F32" s="766"/>
      <c r="G32" s="756">
        <f t="shared" si="0"/>
        <v>5121362.13</v>
      </c>
      <c r="H32" s="756">
        <v>196240.03999999986</v>
      </c>
      <c r="I32" s="756">
        <f t="shared" si="1"/>
        <v>4925122.09</v>
      </c>
      <c r="J32" s="756">
        <v>1997454.32</v>
      </c>
      <c r="K32" s="756"/>
      <c r="L32" s="756">
        <f t="shared" si="2"/>
        <v>5923849.25</v>
      </c>
      <c r="M32" s="757">
        <v>25</v>
      </c>
      <c r="N32" s="758">
        <f t="shared" si="5"/>
        <v>0.04</v>
      </c>
      <c r="O32" s="767">
        <f t="shared" si="3"/>
        <v>236953.97</v>
      </c>
      <c r="P32" s="768">
        <v>236953.97</v>
      </c>
      <c r="Q32" s="759">
        <f t="shared" si="4"/>
        <v>0</v>
      </c>
      <c r="R32" s="765" t="s">
        <v>721</v>
      </c>
    </row>
    <row r="33" spans="1:18" ht="15">
      <c r="A33" s="675"/>
      <c r="B33" s="769">
        <v>1860</v>
      </c>
      <c r="C33" s="773" t="s">
        <v>738</v>
      </c>
      <c r="D33" s="766">
        <v>0</v>
      </c>
      <c r="E33" s="766"/>
      <c r="F33" s="766"/>
      <c r="G33" s="756">
        <f t="shared" si="0"/>
        <v>0</v>
      </c>
      <c r="H33" s="756"/>
      <c r="I33" s="756">
        <f t="shared" si="1"/>
        <v>0</v>
      </c>
      <c r="J33" s="756">
        <v>9776966.92</v>
      </c>
      <c r="K33" s="756"/>
      <c r="L33" s="756">
        <f t="shared" si="2"/>
        <v>4888483.46</v>
      </c>
      <c r="M33" s="757">
        <v>15</v>
      </c>
      <c r="N33" s="758">
        <f t="shared" si="5"/>
        <v>0.06666666666666667</v>
      </c>
      <c r="O33" s="767">
        <f t="shared" si="3"/>
        <v>325898.8973333333</v>
      </c>
      <c r="P33" s="768">
        <v>1629494</v>
      </c>
      <c r="Q33" s="759">
        <f t="shared" si="4"/>
        <v>-1303595.1026666667</v>
      </c>
      <c r="R33" s="765" t="s">
        <v>721</v>
      </c>
    </row>
    <row r="34" spans="1:18" ht="15">
      <c r="A34" s="675"/>
      <c r="B34" s="774">
        <v>1870</v>
      </c>
      <c r="C34" s="762" t="s">
        <v>739</v>
      </c>
      <c r="D34" s="766">
        <v>575421</v>
      </c>
      <c r="E34" s="766"/>
      <c r="F34" s="766"/>
      <c r="G34" s="756">
        <f t="shared" si="0"/>
        <v>575421</v>
      </c>
      <c r="H34" s="756">
        <v>575421</v>
      </c>
      <c r="I34" s="756">
        <f t="shared" si="1"/>
        <v>0</v>
      </c>
      <c r="J34" s="756">
        <v>0</v>
      </c>
      <c r="K34" s="756"/>
      <c r="L34" s="756">
        <f t="shared" si="2"/>
        <v>0</v>
      </c>
      <c r="M34" s="757">
        <v>0</v>
      </c>
      <c r="N34" s="758">
        <v>0</v>
      </c>
      <c r="O34" s="767">
        <f t="shared" si="3"/>
        <v>0</v>
      </c>
      <c r="P34" s="759">
        <v>0</v>
      </c>
      <c r="Q34" s="759">
        <f t="shared" si="4"/>
        <v>0</v>
      </c>
      <c r="R34" s="765" t="s">
        <v>721</v>
      </c>
    </row>
    <row r="35" spans="1:18" ht="15">
      <c r="A35" s="675"/>
      <c r="B35" s="769">
        <v>1908</v>
      </c>
      <c r="C35" s="770" t="s">
        <v>740</v>
      </c>
      <c r="D35" s="766">
        <v>26544668.58</v>
      </c>
      <c r="E35" s="766"/>
      <c r="F35" s="766"/>
      <c r="G35" s="756">
        <f t="shared" si="0"/>
        <v>26544668.58</v>
      </c>
      <c r="H35" s="756">
        <v>-2246908.195000002</v>
      </c>
      <c r="I35" s="756">
        <f t="shared" si="1"/>
        <v>28791576.775</v>
      </c>
      <c r="J35" s="756">
        <v>671857.45</v>
      </c>
      <c r="K35" s="756"/>
      <c r="L35" s="756">
        <f t="shared" si="2"/>
        <v>29127505.5</v>
      </c>
      <c r="M35" s="757">
        <v>50</v>
      </c>
      <c r="N35" s="758">
        <f aca="true" t="shared" si="6" ref="N35:N46">IF(M35=0,"",1/M35)</f>
        <v>0.02</v>
      </c>
      <c r="O35" s="767">
        <f t="shared" si="3"/>
        <v>582550.11</v>
      </c>
      <c r="P35" s="768">
        <v>560081.03</v>
      </c>
      <c r="Q35" s="759">
        <f t="shared" si="4"/>
        <v>22469.079999999958</v>
      </c>
      <c r="R35" s="765" t="s">
        <v>721</v>
      </c>
    </row>
    <row r="36" spans="1:18" ht="15">
      <c r="A36" s="675"/>
      <c r="B36" s="769">
        <v>1910</v>
      </c>
      <c r="C36" s="770" t="s">
        <v>741</v>
      </c>
      <c r="D36" s="766">
        <v>1755143.8</v>
      </c>
      <c r="E36" s="766"/>
      <c r="F36" s="766"/>
      <c r="G36" s="756">
        <f t="shared" si="0"/>
        <v>1755143.8</v>
      </c>
      <c r="H36" s="756">
        <v>215286.84999999998</v>
      </c>
      <c r="I36" s="756">
        <f t="shared" si="1"/>
        <v>1539856.9500000002</v>
      </c>
      <c r="J36" s="756">
        <v>0</v>
      </c>
      <c r="K36" s="756"/>
      <c r="L36" s="756">
        <f t="shared" si="2"/>
        <v>1539856.9500000002</v>
      </c>
      <c r="M36" s="757">
        <v>15</v>
      </c>
      <c r="N36" s="758">
        <f t="shared" si="6"/>
        <v>0.06666666666666667</v>
      </c>
      <c r="O36" s="767">
        <f t="shared" si="3"/>
        <v>102657.13</v>
      </c>
      <c r="P36" s="768">
        <v>102657.13</v>
      </c>
      <c r="Q36" s="759">
        <f t="shared" si="4"/>
        <v>0</v>
      </c>
      <c r="R36" s="765" t="s">
        <v>721</v>
      </c>
    </row>
    <row r="37" spans="1:18" ht="15">
      <c r="A37" s="675"/>
      <c r="B37" s="769">
        <v>1910</v>
      </c>
      <c r="C37" s="775" t="s">
        <v>742</v>
      </c>
      <c r="D37" s="766">
        <v>415458.61</v>
      </c>
      <c r="E37" s="766"/>
      <c r="F37" s="766"/>
      <c r="G37" s="756">
        <f t="shared" si="0"/>
        <v>415458.61</v>
      </c>
      <c r="H37" s="756">
        <v>-0.010000000009313226</v>
      </c>
      <c r="I37" s="756">
        <f t="shared" si="1"/>
        <v>415458.62</v>
      </c>
      <c r="J37" s="756">
        <v>0</v>
      </c>
      <c r="K37" s="756"/>
      <c r="L37" s="756">
        <f t="shared" si="2"/>
        <v>415458.62</v>
      </c>
      <c r="M37" s="757">
        <v>2</v>
      </c>
      <c r="N37" s="758">
        <f t="shared" si="6"/>
        <v>0.5</v>
      </c>
      <c r="O37" s="767">
        <f t="shared" si="3"/>
        <v>207729.31</v>
      </c>
      <c r="P37" s="768">
        <v>207729.31</v>
      </c>
      <c r="Q37" s="759">
        <f t="shared" si="4"/>
        <v>0</v>
      </c>
      <c r="R37" s="765" t="s">
        <v>721</v>
      </c>
    </row>
    <row r="38" spans="1:18" ht="15">
      <c r="A38" s="675"/>
      <c r="B38" s="769">
        <v>1915</v>
      </c>
      <c r="C38" s="770" t="s">
        <v>743</v>
      </c>
      <c r="D38" s="766">
        <v>6675748.49</v>
      </c>
      <c r="E38" s="766">
        <v>-26001</v>
      </c>
      <c r="F38" s="766"/>
      <c r="G38" s="756">
        <f t="shared" si="0"/>
        <v>6649747.49</v>
      </c>
      <c r="H38" s="756">
        <v>4490993.1049999995</v>
      </c>
      <c r="I38" s="756">
        <f t="shared" si="1"/>
        <v>2158754.3850000007</v>
      </c>
      <c r="J38" s="756">
        <v>283339.03</v>
      </c>
      <c r="K38" s="756"/>
      <c r="L38" s="756">
        <f t="shared" si="2"/>
        <v>2300423.900000001</v>
      </c>
      <c r="M38" s="757">
        <v>10</v>
      </c>
      <c r="N38" s="758">
        <f t="shared" si="6"/>
        <v>0.1</v>
      </c>
      <c r="O38" s="767">
        <f t="shared" si="3"/>
        <v>230042.3900000001</v>
      </c>
      <c r="P38" s="768">
        <v>230042.39</v>
      </c>
      <c r="Q38" s="759">
        <f t="shared" si="4"/>
        <v>0</v>
      </c>
      <c r="R38" s="765" t="s">
        <v>721</v>
      </c>
    </row>
    <row r="39" spans="1:18" ht="15">
      <c r="A39" s="675"/>
      <c r="B39" s="769">
        <v>1920</v>
      </c>
      <c r="C39" s="770" t="s">
        <v>744</v>
      </c>
      <c r="D39" s="766">
        <v>15107886.330000002</v>
      </c>
      <c r="E39" s="766"/>
      <c r="F39" s="766"/>
      <c r="G39" s="756">
        <f t="shared" si="0"/>
        <v>15107886.330000002</v>
      </c>
      <c r="H39" s="756">
        <v>6857303.210000001</v>
      </c>
      <c r="I39" s="756">
        <f t="shared" si="1"/>
        <v>8250583.120000001</v>
      </c>
      <c r="J39" s="756">
        <v>1834968.66</v>
      </c>
      <c r="K39" s="756"/>
      <c r="L39" s="756">
        <f t="shared" si="2"/>
        <v>9168067.450000001</v>
      </c>
      <c r="M39" s="757">
        <v>5</v>
      </c>
      <c r="N39" s="758">
        <f t="shared" si="6"/>
        <v>0.2</v>
      </c>
      <c r="O39" s="767">
        <f t="shared" si="3"/>
        <v>1833613.4900000002</v>
      </c>
      <c r="P39" s="768">
        <v>1833613.49</v>
      </c>
      <c r="Q39" s="759">
        <f t="shared" si="4"/>
        <v>0</v>
      </c>
      <c r="R39" s="765" t="s">
        <v>721</v>
      </c>
    </row>
    <row r="40" spans="1:18" ht="15">
      <c r="A40" s="675"/>
      <c r="B40" s="769">
        <v>1925</v>
      </c>
      <c r="C40" s="770" t="s">
        <v>745</v>
      </c>
      <c r="D40" s="766">
        <v>13615631.030000001</v>
      </c>
      <c r="E40" s="766">
        <v>16417</v>
      </c>
      <c r="F40" s="766"/>
      <c r="G40" s="756">
        <f t="shared" si="0"/>
        <v>13632048.030000001</v>
      </c>
      <c r="H40" s="756">
        <v>6501804.995000003</v>
      </c>
      <c r="I40" s="756">
        <f t="shared" si="1"/>
        <v>7130243.034999998</v>
      </c>
      <c r="J40" s="756">
        <v>1964727.51</v>
      </c>
      <c r="K40" s="756"/>
      <c r="L40" s="756">
        <f t="shared" si="2"/>
        <v>8112606.789999998</v>
      </c>
      <c r="M40" s="757">
        <v>3</v>
      </c>
      <c r="N40" s="758">
        <f t="shared" si="6"/>
        <v>0.3333333333333333</v>
      </c>
      <c r="O40" s="767">
        <f t="shared" si="3"/>
        <v>2704202.2633333327</v>
      </c>
      <c r="P40" s="768">
        <v>2704202.2733333334</v>
      </c>
      <c r="Q40" s="759">
        <f t="shared" si="4"/>
        <v>-0.010000000707805157</v>
      </c>
      <c r="R40" s="765" t="s">
        <v>721</v>
      </c>
    </row>
    <row r="41" spans="1:18" ht="15">
      <c r="A41" s="675"/>
      <c r="B41" s="769">
        <v>1930</v>
      </c>
      <c r="C41" s="770" t="s">
        <v>746</v>
      </c>
      <c r="D41" s="766">
        <v>19321386.61</v>
      </c>
      <c r="E41" s="766">
        <v>-92868</v>
      </c>
      <c r="F41" s="766"/>
      <c r="G41" s="756">
        <f t="shared" si="0"/>
        <v>19228518.61</v>
      </c>
      <c r="H41" s="756">
        <v>6898297.824999998</v>
      </c>
      <c r="I41" s="756">
        <f t="shared" si="1"/>
        <v>12330220.785</v>
      </c>
      <c r="J41" s="756">
        <v>4081694.91</v>
      </c>
      <c r="K41" s="756">
        <v>-1733233.58</v>
      </c>
      <c r="L41" s="756">
        <f t="shared" si="2"/>
        <v>13504451.45</v>
      </c>
      <c r="M41" s="757">
        <v>6.5</v>
      </c>
      <c r="N41" s="758">
        <f t="shared" si="6"/>
        <v>0.15384615384615385</v>
      </c>
      <c r="O41" s="767">
        <f t="shared" si="3"/>
        <v>2077607.9153846153</v>
      </c>
      <c r="P41" s="768">
        <v>2206647.36</v>
      </c>
      <c r="Q41" s="759">
        <f t="shared" si="4"/>
        <v>-129039.44461538456</v>
      </c>
      <c r="R41" s="765" t="s">
        <v>721</v>
      </c>
    </row>
    <row r="42" spans="1:18" ht="15">
      <c r="A42" s="675"/>
      <c r="B42" s="769">
        <v>1935</v>
      </c>
      <c r="C42" s="770" t="s">
        <v>747</v>
      </c>
      <c r="D42" s="766">
        <v>655273.69</v>
      </c>
      <c r="E42" s="766">
        <v>-3578</v>
      </c>
      <c r="F42" s="766"/>
      <c r="G42" s="756">
        <f t="shared" si="0"/>
        <v>651695.69</v>
      </c>
      <c r="H42" s="756">
        <v>540118.5899999999</v>
      </c>
      <c r="I42" s="756">
        <f t="shared" si="1"/>
        <v>111577.1000000001</v>
      </c>
      <c r="J42" s="756">
        <v>0</v>
      </c>
      <c r="K42" s="756"/>
      <c r="L42" s="756">
        <f t="shared" si="2"/>
        <v>111577.1000000001</v>
      </c>
      <c r="M42" s="757">
        <v>10</v>
      </c>
      <c r="N42" s="758">
        <f t="shared" si="6"/>
        <v>0.1</v>
      </c>
      <c r="O42" s="767">
        <f t="shared" si="3"/>
        <v>11157.71000000001</v>
      </c>
      <c r="P42" s="768">
        <v>11157.71</v>
      </c>
      <c r="Q42" s="759">
        <f t="shared" si="4"/>
        <v>0</v>
      </c>
      <c r="R42" s="765" t="s">
        <v>721</v>
      </c>
    </row>
    <row r="43" spans="1:18" ht="15">
      <c r="A43" s="675"/>
      <c r="B43" s="769">
        <v>1940</v>
      </c>
      <c r="C43" s="770" t="s">
        <v>748</v>
      </c>
      <c r="D43" s="766">
        <v>5519499.07</v>
      </c>
      <c r="E43" s="766">
        <v>15641</v>
      </c>
      <c r="F43" s="766"/>
      <c r="G43" s="756">
        <f t="shared" si="0"/>
        <v>5535140.07</v>
      </c>
      <c r="H43" s="756">
        <v>2274129.8250000007</v>
      </c>
      <c r="I43" s="756">
        <f t="shared" si="1"/>
        <v>3261010.2449999996</v>
      </c>
      <c r="J43" s="756">
        <v>411257.31</v>
      </c>
      <c r="K43" s="756"/>
      <c r="L43" s="756">
        <f t="shared" si="2"/>
        <v>3466638.8999999994</v>
      </c>
      <c r="M43" s="757">
        <v>10</v>
      </c>
      <c r="N43" s="758">
        <f t="shared" si="6"/>
        <v>0.1</v>
      </c>
      <c r="O43" s="767">
        <f t="shared" si="3"/>
        <v>346663.88999999996</v>
      </c>
      <c r="P43" s="768">
        <v>346663.89</v>
      </c>
      <c r="Q43" s="759">
        <f t="shared" si="4"/>
        <v>0</v>
      </c>
      <c r="R43" s="765" t="s">
        <v>721</v>
      </c>
    </row>
    <row r="44" spans="1:18" ht="15">
      <c r="A44" s="675"/>
      <c r="B44" s="769">
        <v>1955</v>
      </c>
      <c r="C44" s="770" t="s">
        <v>749</v>
      </c>
      <c r="D44" s="766">
        <v>1259178.33</v>
      </c>
      <c r="E44" s="766"/>
      <c r="F44" s="766"/>
      <c r="G44" s="756">
        <f t="shared" si="0"/>
        <v>1259178.33</v>
      </c>
      <c r="H44" s="756">
        <v>839614.18</v>
      </c>
      <c r="I44" s="756">
        <f t="shared" si="1"/>
        <v>419564.15</v>
      </c>
      <c r="J44" s="756">
        <v>557716.7</v>
      </c>
      <c r="K44" s="756"/>
      <c r="L44" s="756">
        <f t="shared" si="2"/>
        <v>698422.5</v>
      </c>
      <c r="M44" s="757">
        <v>10</v>
      </c>
      <c r="N44" s="758">
        <f t="shared" si="6"/>
        <v>0.1</v>
      </c>
      <c r="O44" s="767">
        <f t="shared" si="3"/>
        <v>69842.25</v>
      </c>
      <c r="P44" s="768">
        <v>69842.25</v>
      </c>
      <c r="Q44" s="759">
        <f t="shared" si="4"/>
        <v>0</v>
      </c>
      <c r="R44" s="765" t="s">
        <v>721</v>
      </c>
    </row>
    <row r="45" spans="1:18" ht="15">
      <c r="A45" s="675"/>
      <c r="B45" s="769">
        <v>1955</v>
      </c>
      <c r="C45" s="776" t="s">
        <v>750</v>
      </c>
      <c r="D45" s="766">
        <v>0</v>
      </c>
      <c r="E45" s="766"/>
      <c r="F45" s="766"/>
      <c r="G45" s="756">
        <f t="shared" si="0"/>
        <v>0</v>
      </c>
      <c r="H45" s="756"/>
      <c r="I45" s="756">
        <f t="shared" si="1"/>
        <v>0</v>
      </c>
      <c r="J45" s="756">
        <v>0</v>
      </c>
      <c r="K45" s="756"/>
      <c r="L45" s="756">
        <f t="shared" si="2"/>
        <v>0</v>
      </c>
      <c r="M45" s="757">
        <v>10</v>
      </c>
      <c r="N45" s="758">
        <f t="shared" si="6"/>
        <v>0.1</v>
      </c>
      <c r="O45" s="767">
        <f t="shared" si="3"/>
        <v>0</v>
      </c>
      <c r="P45" s="759">
        <v>0</v>
      </c>
      <c r="Q45" s="759">
        <f t="shared" si="4"/>
        <v>0</v>
      </c>
      <c r="R45" s="765" t="s">
        <v>721</v>
      </c>
    </row>
    <row r="46" spans="1:18" ht="15">
      <c r="A46" s="675"/>
      <c r="B46" s="769">
        <v>1955</v>
      </c>
      <c r="C46" s="762" t="s">
        <v>751</v>
      </c>
      <c r="D46" s="766">
        <v>26672.11</v>
      </c>
      <c r="E46" s="766"/>
      <c r="F46" s="766"/>
      <c r="G46" s="756">
        <f t="shared" si="0"/>
        <v>26672.11</v>
      </c>
      <c r="H46" s="756">
        <v>0.029999999995197868</v>
      </c>
      <c r="I46" s="756">
        <f t="shared" si="1"/>
        <v>26672.080000000005</v>
      </c>
      <c r="J46" s="756">
        <v>32972.74</v>
      </c>
      <c r="K46" s="756"/>
      <c r="L46" s="756">
        <f t="shared" si="2"/>
        <v>43158.450000000004</v>
      </c>
      <c r="M46" s="757">
        <v>3</v>
      </c>
      <c r="N46" s="758">
        <f t="shared" si="6"/>
        <v>0.3333333333333333</v>
      </c>
      <c r="O46" s="767">
        <f t="shared" si="3"/>
        <v>14386.150000000001</v>
      </c>
      <c r="P46" s="768">
        <v>14386.15</v>
      </c>
      <c r="Q46" s="759">
        <f t="shared" si="4"/>
        <v>0</v>
      </c>
      <c r="R46" s="765" t="s">
        <v>721</v>
      </c>
    </row>
    <row r="47" spans="1:18" ht="15">
      <c r="A47" s="675"/>
      <c r="B47" s="769">
        <v>1960</v>
      </c>
      <c r="C47" s="770" t="s">
        <v>752</v>
      </c>
      <c r="D47" s="766">
        <v>0</v>
      </c>
      <c r="E47" s="766"/>
      <c r="F47" s="766"/>
      <c r="G47" s="756">
        <f t="shared" si="0"/>
        <v>0</v>
      </c>
      <c r="H47" s="756"/>
      <c r="I47" s="756">
        <f t="shared" si="1"/>
        <v>0</v>
      </c>
      <c r="J47" s="756">
        <v>0</v>
      </c>
      <c r="K47" s="756"/>
      <c r="L47" s="756">
        <f t="shared" si="2"/>
        <v>0</v>
      </c>
      <c r="M47" s="757">
        <v>0</v>
      </c>
      <c r="N47" s="758">
        <v>0</v>
      </c>
      <c r="O47" s="767">
        <f t="shared" si="3"/>
        <v>0</v>
      </c>
      <c r="P47" s="759"/>
      <c r="Q47" s="759">
        <f t="shared" si="4"/>
        <v>0</v>
      </c>
      <c r="R47" s="765" t="s">
        <v>721</v>
      </c>
    </row>
    <row r="48" spans="1:18" ht="15">
      <c r="A48" s="675"/>
      <c r="B48" s="774">
        <v>1961</v>
      </c>
      <c r="C48" s="762" t="s">
        <v>753</v>
      </c>
      <c r="D48" s="766">
        <v>735212.79</v>
      </c>
      <c r="E48" s="766"/>
      <c r="F48" s="766"/>
      <c r="G48" s="756">
        <f t="shared" si="0"/>
        <v>735212.79</v>
      </c>
      <c r="H48" s="756">
        <v>0.045000000041909516</v>
      </c>
      <c r="I48" s="756">
        <f t="shared" si="1"/>
        <v>735212.745</v>
      </c>
      <c r="J48" s="756">
        <v>443819.25</v>
      </c>
      <c r="K48" s="756"/>
      <c r="L48" s="756">
        <f t="shared" si="2"/>
        <v>957122.37</v>
      </c>
      <c r="M48" s="757">
        <v>3</v>
      </c>
      <c r="N48" s="758">
        <f>IF(M48=0,"",1/M48)</f>
        <v>0.3333333333333333</v>
      </c>
      <c r="O48" s="767">
        <f t="shared" si="3"/>
        <v>319040.79</v>
      </c>
      <c r="P48" s="768">
        <v>319040.79</v>
      </c>
      <c r="Q48" s="759">
        <f t="shared" si="4"/>
        <v>0</v>
      </c>
      <c r="R48" s="765" t="s">
        <v>721</v>
      </c>
    </row>
    <row r="49" spans="1:18" ht="15">
      <c r="A49" s="675"/>
      <c r="B49" s="769">
        <v>1980</v>
      </c>
      <c r="C49" s="770" t="s">
        <v>754</v>
      </c>
      <c r="D49" s="766">
        <v>0</v>
      </c>
      <c r="E49" s="766"/>
      <c r="F49" s="766"/>
      <c r="G49" s="756">
        <f t="shared" si="0"/>
        <v>0</v>
      </c>
      <c r="H49" s="756"/>
      <c r="I49" s="756">
        <f t="shared" si="1"/>
        <v>0</v>
      </c>
      <c r="J49" s="756">
        <v>0</v>
      </c>
      <c r="K49" s="756"/>
      <c r="L49" s="756">
        <f t="shared" si="2"/>
        <v>0</v>
      </c>
      <c r="M49" s="757">
        <v>0</v>
      </c>
      <c r="N49" s="758">
        <v>0</v>
      </c>
      <c r="O49" s="767">
        <f t="shared" si="3"/>
        <v>0</v>
      </c>
      <c r="P49" s="759"/>
      <c r="Q49" s="759">
        <f t="shared" si="4"/>
        <v>0</v>
      </c>
      <c r="R49" s="765" t="s">
        <v>721</v>
      </c>
    </row>
    <row r="50" spans="1:18" ht="15">
      <c r="A50" s="675"/>
      <c r="B50" s="769">
        <v>1980</v>
      </c>
      <c r="C50" s="770" t="s">
        <v>755</v>
      </c>
      <c r="D50" s="766">
        <v>17665090</v>
      </c>
      <c r="E50" s="766">
        <v>129256</v>
      </c>
      <c r="F50" s="766"/>
      <c r="G50" s="756">
        <f t="shared" si="0"/>
        <v>17794346</v>
      </c>
      <c r="H50" s="756">
        <v>4370845.47</v>
      </c>
      <c r="I50" s="756">
        <f t="shared" si="1"/>
        <v>13423500.530000001</v>
      </c>
      <c r="J50" s="756">
        <v>547856.44</v>
      </c>
      <c r="K50" s="756"/>
      <c r="L50" s="756">
        <f t="shared" si="2"/>
        <v>13697428.750000002</v>
      </c>
      <c r="M50" s="757">
        <v>15</v>
      </c>
      <c r="N50" s="758">
        <f>IF(M50=0,"",1/M50)</f>
        <v>0.06666666666666667</v>
      </c>
      <c r="O50" s="767">
        <f t="shared" si="3"/>
        <v>913161.9166666667</v>
      </c>
      <c r="P50" s="768">
        <v>913161.9166666667</v>
      </c>
      <c r="Q50" s="759">
        <f t="shared" si="4"/>
        <v>0</v>
      </c>
      <c r="R50" s="765" t="s">
        <v>721</v>
      </c>
    </row>
    <row r="51" spans="1:18" ht="15">
      <c r="A51" s="675"/>
      <c r="B51" s="769">
        <v>1985</v>
      </c>
      <c r="C51" s="777" t="s">
        <v>756</v>
      </c>
      <c r="D51" s="766"/>
      <c r="E51" s="766"/>
      <c r="F51" s="766"/>
      <c r="G51" s="756">
        <f t="shared" si="0"/>
        <v>0</v>
      </c>
      <c r="H51" s="756"/>
      <c r="I51" s="756">
        <f t="shared" si="1"/>
        <v>0</v>
      </c>
      <c r="J51" s="756">
        <v>0</v>
      </c>
      <c r="K51" s="756"/>
      <c r="L51" s="756">
        <f t="shared" si="2"/>
        <v>0</v>
      </c>
      <c r="M51" s="757">
        <v>25</v>
      </c>
      <c r="N51" s="758">
        <f>IF(M51=0,"",1/M51)</f>
        <v>0.04</v>
      </c>
      <c r="O51" s="767">
        <f t="shared" si="3"/>
        <v>0</v>
      </c>
      <c r="P51" s="759"/>
      <c r="Q51" s="759">
        <f t="shared" si="4"/>
        <v>0</v>
      </c>
      <c r="R51" s="765" t="s">
        <v>721</v>
      </c>
    </row>
    <row r="52" spans="1:18" ht="15">
      <c r="A52" s="675"/>
      <c r="B52" s="769">
        <v>1995</v>
      </c>
      <c r="C52" s="770" t="s">
        <v>757</v>
      </c>
      <c r="D52" s="766">
        <v>-222214304</v>
      </c>
      <c r="E52" s="778">
        <f>-6662527</f>
        <v>-6662527</v>
      </c>
      <c r="F52" s="766"/>
      <c r="G52" s="756">
        <f t="shared" si="0"/>
        <v>-228876831</v>
      </c>
      <c r="H52" s="756">
        <v>642974.4149999693</v>
      </c>
      <c r="I52" s="756">
        <f t="shared" si="1"/>
        <v>-229519805.41499996</v>
      </c>
      <c r="J52" s="779">
        <v>-31587213.2898245</v>
      </c>
      <c r="K52" s="756"/>
      <c r="L52" s="756">
        <f t="shared" si="2"/>
        <v>-245313412.0599122</v>
      </c>
      <c r="M52" s="757">
        <v>25</v>
      </c>
      <c r="N52" s="758">
        <f>IF(M52=0,"",1/M52)</f>
        <v>0.04</v>
      </c>
      <c r="O52" s="767">
        <f t="shared" si="3"/>
        <v>-9812536.482396489</v>
      </c>
      <c r="P52" s="768">
        <v>-9818729.260000002</v>
      </c>
      <c r="Q52" s="759">
        <f t="shared" si="4"/>
        <v>6192.77760351263</v>
      </c>
      <c r="R52" s="765" t="s">
        <v>721</v>
      </c>
    </row>
    <row r="53" spans="1:18" ht="15">
      <c r="A53" s="675"/>
      <c r="B53" s="769"/>
      <c r="C53" s="770"/>
      <c r="D53" s="766">
        <v>0</v>
      </c>
      <c r="E53" s="766"/>
      <c r="F53" s="766"/>
      <c r="G53" s="756"/>
      <c r="H53" s="756"/>
      <c r="I53" s="756">
        <f t="shared" si="1"/>
        <v>0</v>
      </c>
      <c r="J53" s="756"/>
      <c r="K53" s="756"/>
      <c r="L53" s="756">
        <f t="shared" si="2"/>
        <v>0</v>
      </c>
      <c r="M53" s="757">
        <v>0</v>
      </c>
      <c r="N53" s="758">
        <v>0</v>
      </c>
      <c r="O53" s="767">
        <f t="shared" si="3"/>
        <v>0</v>
      </c>
      <c r="P53" s="759"/>
      <c r="Q53" s="759">
        <f t="shared" si="4"/>
        <v>0</v>
      </c>
      <c r="R53" s="765"/>
    </row>
    <row r="54" spans="1:18" ht="15.75" thickBot="1">
      <c r="A54" s="675"/>
      <c r="B54" s="780"/>
      <c r="C54" s="781"/>
      <c r="D54" s="782"/>
      <c r="E54" s="782"/>
      <c r="F54" s="782"/>
      <c r="G54" s="783"/>
      <c r="H54" s="783"/>
      <c r="I54" s="784">
        <f>D54-H54</f>
        <v>0</v>
      </c>
      <c r="J54" s="783"/>
      <c r="K54" s="783"/>
      <c r="L54" s="784">
        <f t="shared" si="2"/>
        <v>0</v>
      </c>
      <c r="M54" s="785"/>
      <c r="N54" s="786">
        <v>0</v>
      </c>
      <c r="O54" s="767">
        <f t="shared" si="3"/>
        <v>0</v>
      </c>
      <c r="P54" s="787"/>
      <c r="Q54" s="759">
        <f t="shared" si="4"/>
        <v>0</v>
      </c>
      <c r="R54" s="788"/>
    </row>
    <row r="55" spans="1:18" ht="16.5" thickBot="1" thickTop="1">
      <c r="A55" s="675"/>
      <c r="B55" s="789"/>
      <c r="C55" s="790" t="s">
        <v>112</v>
      </c>
      <c r="D55" s="791">
        <f aca="true" t="shared" si="7" ref="D55:L55">SUM(D16:D54)</f>
        <v>1099459998.4299994</v>
      </c>
      <c r="E55" s="791">
        <f t="shared" si="7"/>
        <v>-6539513</v>
      </c>
      <c r="F55" s="791">
        <f t="shared" si="7"/>
        <v>0</v>
      </c>
      <c r="G55" s="792">
        <f t="shared" si="7"/>
        <v>1092920485.4299994</v>
      </c>
      <c r="H55" s="792">
        <f t="shared" si="7"/>
        <v>113678110.31500006</v>
      </c>
      <c r="I55" s="792">
        <f t="shared" si="7"/>
        <v>979242375.1149995</v>
      </c>
      <c r="J55" s="792">
        <f t="shared" si="7"/>
        <v>61146451.46017547</v>
      </c>
      <c r="K55" s="792">
        <f t="shared" si="7"/>
        <v>-18649476.58</v>
      </c>
      <c r="L55" s="792">
        <f t="shared" si="7"/>
        <v>1000490862.5550878</v>
      </c>
      <c r="M55" s="793"/>
      <c r="N55" s="794"/>
      <c r="O55" s="795">
        <f>SUM(O16:O54)</f>
        <v>43190664.43665479</v>
      </c>
      <c r="P55" s="795">
        <f>SUM(P16:P54)</f>
        <v>44419482.273333326</v>
      </c>
      <c r="Q55" s="795">
        <f>SUM(Q16:Q54)</f>
        <v>-1228817.8366785357</v>
      </c>
      <c r="R55" s="796"/>
    </row>
    <row r="56" spans="1:18" ht="15">
      <c r="A56" s="675"/>
      <c r="B56" s="675"/>
      <c r="C56" s="675"/>
      <c r="D56" s="675"/>
      <c r="E56" s="675"/>
      <c r="F56" s="675"/>
      <c r="G56" s="675"/>
      <c r="H56" s="675"/>
      <c r="I56" s="675"/>
      <c r="J56" s="675"/>
      <c r="K56" s="675"/>
      <c r="L56" s="675"/>
      <c r="M56" s="675"/>
      <c r="N56" s="675"/>
      <c r="O56" s="675"/>
      <c r="P56" s="675"/>
      <c r="Q56" s="675"/>
      <c r="R56" s="675"/>
    </row>
    <row r="57" spans="1:18" ht="15">
      <c r="A57" s="675"/>
      <c r="B57" s="698" t="s">
        <v>265</v>
      </c>
      <c r="C57" s="699"/>
      <c r="D57" s="699"/>
      <c r="E57" s="699"/>
      <c r="F57" s="699"/>
      <c r="G57" s="699"/>
      <c r="H57" s="699"/>
      <c r="I57" s="797"/>
      <c r="J57" s="699"/>
      <c r="K57" s="699"/>
      <c r="L57" s="798"/>
      <c r="M57" s="699"/>
      <c r="N57" s="699"/>
      <c r="O57" s="699"/>
      <c r="P57" s="699"/>
      <c r="Q57" s="699"/>
      <c r="R57" s="675"/>
    </row>
    <row r="58" spans="1:18" ht="15">
      <c r="A58" s="675"/>
      <c r="B58" s="970"/>
      <c r="C58" s="970"/>
      <c r="D58" s="970"/>
      <c r="E58" s="970"/>
      <c r="F58" s="970"/>
      <c r="G58" s="970"/>
      <c r="H58" s="970"/>
      <c r="I58" s="970"/>
      <c r="J58" s="970"/>
      <c r="K58" s="970"/>
      <c r="L58" s="970"/>
      <c r="M58" s="699"/>
      <c r="N58" s="699"/>
      <c r="O58" s="699"/>
      <c r="P58" s="699"/>
      <c r="Q58" s="699"/>
      <c r="R58" s="675"/>
    </row>
    <row r="59" spans="1:18" ht="15">
      <c r="A59" s="675"/>
      <c r="B59" s="968" t="s">
        <v>758</v>
      </c>
      <c r="C59" s="970"/>
      <c r="D59" s="970"/>
      <c r="E59" s="970"/>
      <c r="F59" s="970"/>
      <c r="G59" s="970"/>
      <c r="H59" s="970"/>
      <c r="I59" s="970"/>
      <c r="J59" s="970"/>
      <c r="K59" s="970"/>
      <c r="L59" s="970"/>
      <c r="M59" s="970"/>
      <c r="N59" s="970"/>
      <c r="O59" s="675"/>
      <c r="P59" s="675"/>
      <c r="Q59" s="675"/>
      <c r="R59" s="675"/>
    </row>
    <row r="60" spans="1:18" ht="15">
      <c r="A60" s="675"/>
      <c r="B60" s="973" t="s">
        <v>759</v>
      </c>
      <c r="C60" s="974"/>
      <c r="D60" s="974"/>
      <c r="E60" s="974"/>
      <c r="F60" s="974"/>
      <c r="G60" s="974"/>
      <c r="H60" s="974"/>
      <c r="I60" s="974"/>
      <c r="J60" s="974"/>
      <c r="K60" s="974"/>
      <c r="L60" s="974"/>
      <c r="M60" s="974"/>
      <c r="N60" s="974"/>
      <c r="O60" s="974"/>
      <c r="P60" s="974"/>
      <c r="Q60" s="974"/>
      <c r="R60" s="974"/>
    </row>
    <row r="61" spans="1:18" ht="15">
      <c r="A61" s="675"/>
      <c r="B61" s="968" t="s">
        <v>760</v>
      </c>
      <c r="C61" s="969"/>
      <c r="D61" s="969"/>
      <c r="E61" s="969"/>
      <c r="F61" s="969"/>
      <c r="G61" s="969"/>
      <c r="H61" s="969"/>
      <c r="I61" s="969"/>
      <c r="J61" s="969"/>
      <c r="K61" s="969"/>
      <c r="L61" s="969"/>
      <c r="M61" s="969"/>
      <c r="N61" s="969"/>
      <c r="O61" s="969"/>
      <c r="P61" s="969"/>
      <c r="Q61" s="969"/>
      <c r="R61" s="969"/>
    </row>
    <row r="62" spans="1:18" ht="15">
      <c r="A62" s="675"/>
      <c r="B62" s="968" t="s">
        <v>761</v>
      </c>
      <c r="C62" s="970"/>
      <c r="D62" s="970"/>
      <c r="E62" s="970"/>
      <c r="F62" s="970"/>
      <c r="G62" s="970"/>
      <c r="H62" s="970"/>
      <c r="I62" s="970"/>
      <c r="J62" s="970"/>
      <c r="K62" s="970"/>
      <c r="L62" s="970"/>
      <c r="M62" s="970"/>
      <c r="N62" s="970"/>
      <c r="O62" s="675"/>
      <c r="P62" s="675"/>
      <c r="Q62" s="675"/>
      <c r="R62" s="675"/>
    </row>
    <row r="63" spans="1:18" ht="15">
      <c r="A63" s="675"/>
      <c r="B63" s="968" t="s">
        <v>788</v>
      </c>
      <c r="C63" s="970"/>
      <c r="D63" s="970"/>
      <c r="E63" s="970"/>
      <c r="F63" s="970"/>
      <c r="G63" s="970"/>
      <c r="H63" s="970"/>
      <c r="I63" s="970"/>
      <c r="J63" s="970"/>
      <c r="K63" s="970"/>
      <c r="L63" s="970"/>
      <c r="M63" s="970"/>
      <c r="N63" s="970"/>
      <c r="O63" s="970"/>
      <c r="P63" s="699"/>
      <c r="Q63" s="699"/>
      <c r="R63" s="675"/>
    </row>
  </sheetData>
  <mergeCells count="11">
    <mergeCell ref="B61:R61"/>
    <mergeCell ref="B62:N62"/>
    <mergeCell ref="B63:O63"/>
    <mergeCell ref="R14:R15"/>
    <mergeCell ref="B58:L58"/>
    <mergeCell ref="B59:N59"/>
    <mergeCell ref="B60:R60"/>
    <mergeCell ref="B9:O9"/>
    <mergeCell ref="B10:O10"/>
    <mergeCell ref="B14:B15"/>
    <mergeCell ref="C14:C15"/>
  </mergeCells>
  <dataValidations count="2">
    <dataValidation allowBlank="1" showInputMessage="1" showErrorMessage="1" promptTitle="Date Format" prompt="E.g:  &quot;August 1, 2011&quot;" sqref="O7:Q7"/>
    <dataValidation type="list" allowBlank="1" showInputMessage="1" showErrorMessage="1" sqref="R16:R54">
      <formula1>"Yes, No"</formula1>
    </dataValidation>
  </dataValidations>
  <printOptions/>
  <pageMargins left="0.35" right="0.4" top="0.67" bottom="0.29" header="0.5" footer="0.18"/>
  <pageSetup fitToHeight="1" fitToWidth="1" horizontalDpi="600" verticalDpi="600" orientation="landscape" scale="56" r:id="rId1"/>
</worksheet>
</file>

<file path=xl/worksheets/sheet14.xml><?xml version="1.0" encoding="utf-8"?>
<worksheet xmlns="http://schemas.openxmlformats.org/spreadsheetml/2006/main" xmlns:r="http://schemas.openxmlformats.org/officeDocument/2006/relationships">
  <sheetPr>
    <pageSetUpPr fitToPage="1"/>
  </sheetPr>
  <dimension ref="A1:O60"/>
  <sheetViews>
    <sheetView zoomScale="85" zoomScaleNormal="85" workbookViewId="0" topLeftCell="B22">
      <selection activeCell="B60" sqref="B60:O60"/>
    </sheetView>
  </sheetViews>
  <sheetFormatPr defaultColWidth="9.140625" defaultRowHeight="15"/>
  <cols>
    <col min="1" max="1" width="1.421875" style="0" customWidth="1"/>
    <col min="2" max="2" width="8.57421875" style="0" customWidth="1"/>
    <col min="3" max="3" width="36.00390625" style="0" bestFit="1" customWidth="1"/>
    <col min="4" max="4" width="15.140625" style="0" bestFit="1" customWidth="1"/>
    <col min="5" max="5" width="13.57421875" style="0" bestFit="1" customWidth="1"/>
    <col min="6" max="6" width="15.140625" style="0" bestFit="1" customWidth="1"/>
    <col min="7" max="7" width="13.57421875" style="0" bestFit="1" customWidth="1"/>
    <col min="8" max="8" width="13.28125" style="0" bestFit="1" customWidth="1"/>
    <col min="9" max="9" width="15.140625" style="0" bestFit="1" customWidth="1"/>
    <col min="10" max="10" width="8.28125" style="0" customWidth="1"/>
    <col min="11" max="11" width="12.421875" style="0" customWidth="1"/>
    <col min="12" max="13" width="13.28125" style="0" bestFit="1" customWidth="1"/>
    <col min="14" max="14" width="12.28125" style="0" bestFit="1" customWidth="1"/>
    <col min="15" max="15" width="12.421875" style="0" customWidth="1"/>
  </cols>
  <sheetData>
    <row r="1" spans="1:15" ht="15">
      <c r="A1" s="675"/>
      <c r="B1" s="675"/>
      <c r="C1" s="675"/>
      <c r="D1" s="675"/>
      <c r="E1" s="675"/>
      <c r="F1" s="675"/>
      <c r="G1" s="675"/>
      <c r="H1" s="675"/>
      <c r="I1" s="675"/>
      <c r="J1" s="698" t="s">
        <v>10</v>
      </c>
      <c r="K1" s="675"/>
      <c r="L1" s="677" t="s">
        <v>11</v>
      </c>
      <c r="M1" s="677"/>
      <c r="N1" s="677"/>
      <c r="O1" s="799"/>
    </row>
    <row r="2" spans="1:15" ht="15">
      <c r="A2" s="675"/>
      <c r="B2" s="675"/>
      <c r="C2" s="675"/>
      <c r="D2" s="675"/>
      <c r="E2" s="675"/>
      <c r="F2" s="675"/>
      <c r="G2" s="675"/>
      <c r="H2" s="675"/>
      <c r="I2" s="675"/>
      <c r="J2" s="698" t="s">
        <v>12</v>
      </c>
      <c r="K2" s="675"/>
      <c r="L2" s="677" t="s">
        <v>619</v>
      </c>
      <c r="M2" s="677"/>
      <c r="N2" s="677"/>
      <c r="O2" s="675"/>
    </row>
    <row r="3" spans="1:15" ht="15">
      <c r="A3" s="675"/>
      <c r="B3" s="675"/>
      <c r="C3" s="675"/>
      <c r="D3" s="675"/>
      <c r="E3" s="675"/>
      <c r="F3" s="675"/>
      <c r="G3" s="675"/>
      <c r="H3" s="675"/>
      <c r="I3" s="675"/>
      <c r="J3" s="698" t="s">
        <v>14</v>
      </c>
      <c r="K3" s="675"/>
      <c r="L3" s="711" t="s">
        <v>620</v>
      </c>
      <c r="M3" s="711"/>
      <c r="N3" s="711"/>
      <c r="O3" s="675"/>
    </row>
    <row r="4" spans="1:15" ht="15">
      <c r="A4" s="675"/>
      <c r="B4" s="675"/>
      <c r="C4" s="675"/>
      <c r="D4" s="675"/>
      <c r="E4" s="675"/>
      <c r="F4" s="675"/>
      <c r="G4" s="675"/>
      <c r="H4" s="675"/>
      <c r="I4" s="675"/>
      <c r="J4" s="698" t="s">
        <v>16</v>
      </c>
      <c r="K4" s="675"/>
      <c r="L4" s="677" t="s">
        <v>688</v>
      </c>
      <c r="M4" s="711"/>
      <c r="N4" s="711"/>
      <c r="O4" s="675"/>
    </row>
    <row r="5" spans="1:15" ht="15">
      <c r="A5" s="675"/>
      <c r="B5" s="675"/>
      <c r="C5" s="675"/>
      <c r="D5" s="675"/>
      <c r="E5" s="675"/>
      <c r="F5" s="675"/>
      <c r="G5" s="675"/>
      <c r="H5" s="675"/>
      <c r="I5" s="675"/>
      <c r="J5" s="698" t="s">
        <v>18</v>
      </c>
      <c r="K5" s="675"/>
      <c r="L5" s="677" t="s">
        <v>689</v>
      </c>
      <c r="M5" s="677"/>
      <c r="N5" s="677"/>
      <c r="O5" s="675"/>
    </row>
    <row r="6" spans="1:15" ht="15">
      <c r="A6" s="675"/>
      <c r="B6" s="675"/>
      <c r="C6" s="675"/>
      <c r="D6" s="675"/>
      <c r="E6" s="675"/>
      <c r="F6" s="675"/>
      <c r="G6" s="675"/>
      <c r="H6" s="675"/>
      <c r="I6" s="675"/>
      <c r="J6" s="698"/>
      <c r="K6" s="675"/>
      <c r="L6" s="675"/>
      <c r="M6" s="675"/>
      <c r="N6" s="675"/>
      <c r="O6" s="675"/>
    </row>
    <row r="7" spans="1:15" ht="15">
      <c r="A7" s="675"/>
      <c r="B7" s="675"/>
      <c r="C7" s="675"/>
      <c r="D7" s="675"/>
      <c r="E7" s="675"/>
      <c r="F7" s="675"/>
      <c r="G7" s="675"/>
      <c r="H7" s="675"/>
      <c r="I7" s="675"/>
      <c r="J7" s="698" t="s">
        <v>19</v>
      </c>
      <c r="K7" s="675"/>
      <c r="L7" s="678" t="s">
        <v>690</v>
      </c>
      <c r="M7" s="678"/>
      <c r="N7" s="678"/>
      <c r="O7" s="675"/>
    </row>
    <row r="8" spans="1:15" ht="15">
      <c r="A8" s="675"/>
      <c r="B8" s="675"/>
      <c r="C8" s="675"/>
      <c r="D8" s="675"/>
      <c r="E8" s="675"/>
      <c r="F8" s="675"/>
      <c r="G8" s="675"/>
      <c r="H8" s="675"/>
      <c r="I8" s="675"/>
      <c r="J8" s="675"/>
      <c r="K8" s="675"/>
      <c r="L8" s="675"/>
      <c r="M8" s="675"/>
      <c r="N8" s="675"/>
      <c r="O8" s="675"/>
    </row>
    <row r="9" spans="1:15" ht="18">
      <c r="A9" s="675"/>
      <c r="B9" s="918" t="s">
        <v>691</v>
      </c>
      <c r="C9" s="918"/>
      <c r="D9" s="918"/>
      <c r="E9" s="918"/>
      <c r="F9" s="918"/>
      <c r="G9" s="918"/>
      <c r="H9" s="918"/>
      <c r="I9" s="918"/>
      <c r="J9" s="918"/>
      <c r="K9" s="918"/>
      <c r="L9" s="918"/>
      <c r="M9" s="679"/>
      <c r="N9" s="679"/>
      <c r="O9" s="675"/>
    </row>
    <row r="10" spans="1:15" ht="18">
      <c r="A10" s="675"/>
      <c r="B10" s="918" t="s">
        <v>692</v>
      </c>
      <c r="C10" s="918"/>
      <c r="D10" s="918"/>
      <c r="E10" s="918"/>
      <c r="F10" s="918"/>
      <c r="G10" s="918"/>
      <c r="H10" s="918"/>
      <c r="I10" s="918"/>
      <c r="J10" s="918"/>
      <c r="K10" s="918"/>
      <c r="L10" s="918"/>
      <c r="M10" s="679"/>
      <c r="N10" s="679"/>
      <c r="O10" s="675"/>
    </row>
    <row r="11" spans="1:15" ht="18">
      <c r="A11" s="675"/>
      <c r="B11" s="679"/>
      <c r="C11" s="679"/>
      <c r="D11" s="679"/>
      <c r="E11" s="679"/>
      <c r="F11" s="679"/>
      <c r="G11" s="679"/>
      <c r="H11" s="679"/>
      <c r="I11" s="679"/>
      <c r="J11" s="679"/>
      <c r="K11" s="679"/>
      <c r="L11" s="679"/>
      <c r="M11" s="679"/>
      <c r="N11" s="679"/>
      <c r="O11" s="675"/>
    </row>
    <row r="12" spans="1:15" ht="18">
      <c r="A12" s="675"/>
      <c r="B12" s="679"/>
      <c r="C12" s="679"/>
      <c r="D12" s="679"/>
      <c r="E12" s="740" t="s">
        <v>693</v>
      </c>
      <c r="F12" s="741">
        <v>2010</v>
      </c>
      <c r="G12" s="742" t="s">
        <v>694</v>
      </c>
      <c r="H12" s="742"/>
      <c r="I12" s="679"/>
      <c r="J12" s="679"/>
      <c r="K12" s="679"/>
      <c r="L12" s="679"/>
      <c r="M12" s="679"/>
      <c r="N12" s="679"/>
      <c r="O12" s="675"/>
    </row>
    <row r="13" spans="1:15" ht="15.75" thickBot="1">
      <c r="A13" s="675"/>
      <c r="B13" s="675"/>
      <c r="C13" s="675"/>
      <c r="D13" s="675"/>
      <c r="E13" s="675"/>
      <c r="F13" s="675"/>
      <c r="G13" s="675"/>
      <c r="H13" s="675"/>
      <c r="I13" s="675"/>
      <c r="J13" s="675"/>
      <c r="K13" s="675"/>
      <c r="L13" s="675"/>
      <c r="M13" s="675"/>
      <c r="N13" s="675"/>
      <c r="O13" s="675"/>
    </row>
    <row r="14" spans="1:15" ht="57">
      <c r="A14" s="675"/>
      <c r="B14" s="975" t="s">
        <v>762</v>
      </c>
      <c r="C14" s="977" t="s">
        <v>146</v>
      </c>
      <c r="D14" s="745" t="s">
        <v>698</v>
      </c>
      <c r="E14" s="745" t="s">
        <v>699</v>
      </c>
      <c r="F14" s="745" t="s">
        <v>763</v>
      </c>
      <c r="G14" s="745" t="s">
        <v>701</v>
      </c>
      <c r="H14" s="745" t="s">
        <v>764</v>
      </c>
      <c r="I14" s="745" t="s">
        <v>702</v>
      </c>
      <c r="J14" s="745" t="s">
        <v>703</v>
      </c>
      <c r="K14" s="745" t="s">
        <v>704</v>
      </c>
      <c r="L14" s="746" t="s">
        <v>765</v>
      </c>
      <c r="M14" s="747" t="s">
        <v>766</v>
      </c>
      <c r="N14" s="747" t="s">
        <v>707</v>
      </c>
      <c r="O14" s="971" t="s">
        <v>708</v>
      </c>
    </row>
    <row r="15" spans="1:15" ht="38.25">
      <c r="A15" s="675"/>
      <c r="B15" s="976"/>
      <c r="C15" s="978"/>
      <c r="D15" s="800" t="s">
        <v>709</v>
      </c>
      <c r="E15" s="749" t="s">
        <v>710</v>
      </c>
      <c r="F15" s="749" t="s">
        <v>711</v>
      </c>
      <c r="G15" s="749" t="s">
        <v>712</v>
      </c>
      <c r="H15" s="800" t="s">
        <v>715</v>
      </c>
      <c r="I15" s="751" t="s">
        <v>767</v>
      </c>
      <c r="J15" s="749" t="s">
        <v>717</v>
      </c>
      <c r="K15" s="749" t="s">
        <v>768</v>
      </c>
      <c r="L15" s="801" t="s">
        <v>769</v>
      </c>
      <c r="M15" s="753" t="s">
        <v>718</v>
      </c>
      <c r="N15" s="753" t="s">
        <v>770</v>
      </c>
      <c r="O15" s="972"/>
    </row>
    <row r="16" spans="1:15" ht="15">
      <c r="A16" s="675"/>
      <c r="B16" s="719">
        <v>1805</v>
      </c>
      <c r="C16" s="802" t="s">
        <v>720</v>
      </c>
      <c r="D16" s="803">
        <v>8434638.760000002</v>
      </c>
      <c r="E16" s="756"/>
      <c r="F16" s="756">
        <f aca="true" t="shared" si="0" ref="F16:F50">D16-E16</f>
        <v>8434638.760000002</v>
      </c>
      <c r="G16" s="756">
        <v>1951695.11</v>
      </c>
      <c r="H16" s="756">
        <v>0</v>
      </c>
      <c r="I16" s="756">
        <f aca="true" t="shared" si="1" ref="I16:I50">F16+0.5*G16+0.5*H16</f>
        <v>9410486.315000001</v>
      </c>
      <c r="J16" s="757">
        <v>0</v>
      </c>
      <c r="K16" s="804">
        <f>IF(J16=0,"",1/J16)</f>
      </c>
      <c r="L16" s="759"/>
      <c r="M16" s="759"/>
      <c r="N16" s="759"/>
      <c r="O16" s="765"/>
    </row>
    <row r="17" spans="1:15" ht="15">
      <c r="A17" s="675"/>
      <c r="B17" s="761">
        <v>1806</v>
      </c>
      <c r="C17" s="762" t="s">
        <v>722</v>
      </c>
      <c r="D17" s="805">
        <v>729260.41</v>
      </c>
      <c r="E17" s="756"/>
      <c r="F17" s="756">
        <f t="shared" si="0"/>
        <v>729260.41</v>
      </c>
      <c r="G17" s="756">
        <v>1024.8999999999332</v>
      </c>
      <c r="H17" s="756">
        <v>0</v>
      </c>
      <c r="I17" s="756">
        <f t="shared" si="1"/>
        <v>729772.86</v>
      </c>
      <c r="J17" s="757">
        <v>0</v>
      </c>
      <c r="K17" s="804"/>
      <c r="L17" s="759"/>
      <c r="M17" s="759"/>
      <c r="N17" s="759"/>
      <c r="O17" s="765"/>
    </row>
    <row r="18" spans="1:15" ht="15">
      <c r="A18" s="675"/>
      <c r="B18" s="719">
        <v>1808</v>
      </c>
      <c r="C18" s="802" t="s">
        <v>723</v>
      </c>
      <c r="D18" s="803">
        <v>43966713.40999999</v>
      </c>
      <c r="E18" s="756">
        <v>37361911.625</v>
      </c>
      <c r="F18" s="756">
        <f t="shared" si="0"/>
        <v>6604801.784999989</v>
      </c>
      <c r="G18" s="756">
        <v>388831.88999999315</v>
      </c>
      <c r="H18" s="756">
        <v>0</v>
      </c>
      <c r="I18" s="756">
        <f t="shared" si="1"/>
        <v>6799217.729999986</v>
      </c>
      <c r="J18" s="757">
        <v>50</v>
      </c>
      <c r="K18" s="804">
        <f>IF(J18=0,"",1/J18)</f>
        <v>0.02</v>
      </c>
      <c r="L18" s="759">
        <f>+I18*K18</f>
        <v>135984.3545999997</v>
      </c>
      <c r="M18" s="759">
        <v>135984.35</v>
      </c>
      <c r="N18" s="759">
        <f>+L18-M18</f>
        <v>0.004599999694619328</v>
      </c>
      <c r="O18" s="760" t="s">
        <v>721</v>
      </c>
    </row>
    <row r="19" spans="1:15" ht="15">
      <c r="A19" s="675"/>
      <c r="B19" s="719">
        <v>1810</v>
      </c>
      <c r="C19" s="802" t="s">
        <v>724</v>
      </c>
      <c r="D19" s="803">
        <v>8842526.55</v>
      </c>
      <c r="E19" s="756"/>
      <c r="F19" s="756">
        <f t="shared" si="0"/>
        <v>8842526.55</v>
      </c>
      <c r="G19" s="756">
        <v>-438226.86</v>
      </c>
      <c r="H19" s="756">
        <v>0</v>
      </c>
      <c r="I19" s="756">
        <f t="shared" si="1"/>
        <v>8623413.120000001</v>
      </c>
      <c r="J19" s="757">
        <v>0</v>
      </c>
      <c r="K19" s="804">
        <v>0</v>
      </c>
      <c r="L19" s="759">
        <v>0</v>
      </c>
      <c r="M19" s="759">
        <v>0</v>
      </c>
      <c r="N19" s="759"/>
      <c r="O19" s="760" t="s">
        <v>721</v>
      </c>
    </row>
    <row r="20" spans="1:15" ht="15">
      <c r="A20" s="675"/>
      <c r="B20" s="719">
        <v>1815</v>
      </c>
      <c r="C20" s="802" t="s">
        <v>725</v>
      </c>
      <c r="D20" s="803">
        <v>95767181.99</v>
      </c>
      <c r="E20" s="756">
        <v>3662556.514999997</v>
      </c>
      <c r="F20" s="756">
        <f t="shared" si="0"/>
        <v>92104625.475</v>
      </c>
      <c r="G20" s="756">
        <f>-0.01+2590984.74+2590984.74+10623037.45+1813689.32+1295492.37+1295492.37+4663772.57+1036393.9</f>
        <v>25909847.45</v>
      </c>
      <c r="H20" s="756">
        <v>0</v>
      </c>
      <c r="I20" s="756">
        <f t="shared" si="1"/>
        <v>105059549.19999999</v>
      </c>
      <c r="J20" s="757">
        <v>40</v>
      </c>
      <c r="K20" s="804">
        <f aca="true" t="shared" si="2" ref="K20:K51">IF(J20=0,"",1/J20)</f>
        <v>0.025</v>
      </c>
      <c r="L20" s="759">
        <f>+I20*K20</f>
        <v>2626488.73</v>
      </c>
      <c r="M20" s="759">
        <v>2621773</v>
      </c>
      <c r="N20" s="759">
        <f aca="true" t="shared" si="3" ref="N20:N50">+L20-M20</f>
        <v>4715.729999999981</v>
      </c>
      <c r="O20" s="760" t="s">
        <v>721</v>
      </c>
    </row>
    <row r="21" spans="1:15" ht="15">
      <c r="A21" s="675"/>
      <c r="B21" s="769">
        <v>1820</v>
      </c>
      <c r="C21" s="776" t="s">
        <v>726</v>
      </c>
      <c r="D21" s="806">
        <v>11520472.99</v>
      </c>
      <c r="E21" s="756">
        <v>-21318313.365</v>
      </c>
      <c r="F21" s="756">
        <f t="shared" si="0"/>
        <v>32838786.354999997</v>
      </c>
      <c r="G21" s="756">
        <v>425515.11</v>
      </c>
      <c r="H21" s="756">
        <v>0</v>
      </c>
      <c r="I21" s="756">
        <f t="shared" si="1"/>
        <v>33051543.909999996</v>
      </c>
      <c r="J21" s="757">
        <v>30</v>
      </c>
      <c r="K21" s="804">
        <f t="shared" si="2"/>
        <v>0.03333333333333333</v>
      </c>
      <c r="L21" s="759">
        <f>+I21*K21</f>
        <v>1101718.1303333333</v>
      </c>
      <c r="M21" s="759">
        <v>1106434</v>
      </c>
      <c r="N21" s="759">
        <f t="shared" si="3"/>
        <v>-4715.869666666724</v>
      </c>
      <c r="O21" s="760" t="s">
        <v>721</v>
      </c>
    </row>
    <row r="22" spans="1:15" ht="15">
      <c r="A22" s="675"/>
      <c r="B22" s="769">
        <v>1825</v>
      </c>
      <c r="C22" s="776" t="s">
        <v>727</v>
      </c>
      <c r="D22" s="806"/>
      <c r="E22" s="756"/>
      <c r="F22" s="756">
        <f t="shared" si="0"/>
        <v>0</v>
      </c>
      <c r="G22" s="756">
        <v>0</v>
      </c>
      <c r="H22" s="756">
        <v>0</v>
      </c>
      <c r="I22" s="756">
        <f t="shared" si="1"/>
        <v>0</v>
      </c>
      <c r="J22" s="757">
        <v>0</v>
      </c>
      <c r="K22" s="804">
        <f t="shared" si="2"/>
      </c>
      <c r="L22" s="759"/>
      <c r="M22" s="759">
        <v>0</v>
      </c>
      <c r="N22" s="759">
        <f t="shared" si="3"/>
        <v>0</v>
      </c>
      <c r="O22" s="760" t="s">
        <v>721</v>
      </c>
    </row>
    <row r="23" spans="1:15" ht="15">
      <c r="A23" s="675"/>
      <c r="B23" s="769">
        <v>1830</v>
      </c>
      <c r="C23" s="776" t="s">
        <v>728</v>
      </c>
      <c r="D23" s="806">
        <v>124750315.00999999</v>
      </c>
      <c r="E23" s="756">
        <v>11576486.565000005</v>
      </c>
      <c r="F23" s="756">
        <f t="shared" si="0"/>
        <v>113173828.445</v>
      </c>
      <c r="G23" s="756">
        <v>18973847.57</v>
      </c>
      <c r="H23" s="756">
        <v>0</v>
      </c>
      <c r="I23" s="756">
        <f t="shared" si="1"/>
        <v>122660752.22999999</v>
      </c>
      <c r="J23" s="757">
        <v>25</v>
      </c>
      <c r="K23" s="804">
        <f t="shared" si="2"/>
        <v>0.04</v>
      </c>
      <c r="L23" s="759">
        <f aca="true" t="shared" si="4" ref="L23:L45">+I23*K23</f>
        <v>4906430.089199999</v>
      </c>
      <c r="M23" s="759">
        <v>4906430.08</v>
      </c>
      <c r="N23" s="759">
        <f t="shared" si="3"/>
        <v>0.009199999272823334</v>
      </c>
      <c r="O23" s="760" t="s">
        <v>721</v>
      </c>
    </row>
    <row r="24" spans="1:15" ht="15">
      <c r="A24" s="675"/>
      <c r="B24" s="769">
        <v>1835</v>
      </c>
      <c r="C24" s="776" t="s">
        <v>729</v>
      </c>
      <c r="D24" s="806">
        <v>157164399.69</v>
      </c>
      <c r="E24" s="756">
        <v>19776014.28</v>
      </c>
      <c r="F24" s="756">
        <f t="shared" si="0"/>
        <v>137388385.41</v>
      </c>
      <c r="G24" s="756">
        <v>15849127.64</v>
      </c>
      <c r="H24" s="756">
        <v>0</v>
      </c>
      <c r="I24" s="756">
        <f t="shared" si="1"/>
        <v>145312949.23</v>
      </c>
      <c r="J24" s="757">
        <v>25</v>
      </c>
      <c r="K24" s="804">
        <f t="shared" si="2"/>
        <v>0.04</v>
      </c>
      <c r="L24" s="759">
        <f t="shared" si="4"/>
        <v>5812517.969199999</v>
      </c>
      <c r="M24" s="759">
        <v>5812518</v>
      </c>
      <c r="N24" s="759">
        <f t="shared" si="3"/>
        <v>-0.03080000076442957</v>
      </c>
      <c r="O24" s="760" t="s">
        <v>721</v>
      </c>
    </row>
    <row r="25" spans="1:15" ht="15">
      <c r="A25" s="675"/>
      <c r="B25" s="769">
        <v>1840</v>
      </c>
      <c r="C25" s="776" t="s">
        <v>730</v>
      </c>
      <c r="D25" s="806">
        <v>154310302.29</v>
      </c>
      <c r="E25" s="756">
        <v>54394479.15500001</v>
      </c>
      <c r="F25" s="756">
        <f t="shared" si="0"/>
        <v>99915823.13499999</v>
      </c>
      <c r="G25" s="756">
        <v>3640396.43</v>
      </c>
      <c r="H25" s="756">
        <v>0</v>
      </c>
      <c r="I25" s="756">
        <f t="shared" si="1"/>
        <v>101736021.35</v>
      </c>
      <c r="J25" s="757">
        <v>25</v>
      </c>
      <c r="K25" s="804">
        <f t="shared" si="2"/>
        <v>0.04</v>
      </c>
      <c r="L25" s="759">
        <f t="shared" si="4"/>
        <v>4069440.854</v>
      </c>
      <c r="M25" s="759">
        <v>4069440.85</v>
      </c>
      <c r="N25" s="759">
        <f t="shared" si="3"/>
        <v>0.003999999724328518</v>
      </c>
      <c r="O25" s="760" t="s">
        <v>721</v>
      </c>
    </row>
    <row r="26" spans="1:15" ht="15">
      <c r="A26" s="675"/>
      <c r="B26" s="769">
        <v>1845</v>
      </c>
      <c r="C26" s="776" t="s">
        <v>731</v>
      </c>
      <c r="D26" s="806">
        <v>317893543.43</v>
      </c>
      <c r="E26" s="756">
        <v>22018794.959999945</v>
      </c>
      <c r="F26" s="756">
        <f t="shared" si="0"/>
        <v>295874748.4700001</v>
      </c>
      <c r="G26" s="756">
        <v>16417743.92</v>
      </c>
      <c r="H26" s="756">
        <v>0</v>
      </c>
      <c r="I26" s="756">
        <f t="shared" si="1"/>
        <v>304083620.43000007</v>
      </c>
      <c r="J26" s="757">
        <v>25</v>
      </c>
      <c r="K26" s="804">
        <f t="shared" si="2"/>
        <v>0.04</v>
      </c>
      <c r="L26" s="759">
        <f t="shared" si="4"/>
        <v>12163344.817200003</v>
      </c>
      <c r="M26" s="759">
        <v>12163344.829999998</v>
      </c>
      <c r="N26" s="759">
        <f t="shared" si="3"/>
        <v>-0.012799995020031929</v>
      </c>
      <c r="O26" s="760" t="s">
        <v>721</v>
      </c>
    </row>
    <row r="27" spans="1:15" ht="15">
      <c r="A27" s="675"/>
      <c r="B27" s="769">
        <v>1850</v>
      </c>
      <c r="C27" s="762" t="s">
        <v>732</v>
      </c>
      <c r="D27" s="805">
        <v>39785027.42</v>
      </c>
      <c r="E27" s="756">
        <v>-3440934.924999997</v>
      </c>
      <c r="F27" s="756">
        <f t="shared" si="0"/>
        <v>43225962.345</v>
      </c>
      <c r="G27" s="756">
        <v>2370044.15</v>
      </c>
      <c r="H27" s="756">
        <v>0</v>
      </c>
      <c r="I27" s="756">
        <f t="shared" si="1"/>
        <v>44410984.42</v>
      </c>
      <c r="J27" s="757">
        <v>25</v>
      </c>
      <c r="K27" s="804">
        <f t="shared" si="2"/>
        <v>0.04</v>
      </c>
      <c r="L27" s="759">
        <f t="shared" si="4"/>
        <v>1776439.3768000002</v>
      </c>
      <c r="M27" s="759">
        <v>1776439.39</v>
      </c>
      <c r="N27" s="759">
        <f t="shared" si="3"/>
        <v>-0.013199999695643783</v>
      </c>
      <c r="O27" s="760" t="s">
        <v>721</v>
      </c>
    </row>
    <row r="28" spans="1:15" ht="15">
      <c r="A28" s="675"/>
      <c r="B28" s="769">
        <v>1850</v>
      </c>
      <c r="C28" s="776" t="s">
        <v>733</v>
      </c>
      <c r="D28" s="806">
        <v>212547042.54</v>
      </c>
      <c r="E28" s="756">
        <v>26747737.335</v>
      </c>
      <c r="F28" s="756">
        <f t="shared" si="0"/>
        <v>185799305.20499998</v>
      </c>
      <c r="G28" s="756">
        <v>8069880.13</v>
      </c>
      <c r="H28" s="756">
        <v>0</v>
      </c>
      <c r="I28" s="756">
        <f t="shared" si="1"/>
        <v>189834245.26999998</v>
      </c>
      <c r="J28" s="757">
        <v>25</v>
      </c>
      <c r="K28" s="804">
        <f t="shared" si="2"/>
        <v>0.04</v>
      </c>
      <c r="L28" s="759">
        <f t="shared" si="4"/>
        <v>7593369.810799999</v>
      </c>
      <c r="M28" s="759">
        <v>7593369.8100000005</v>
      </c>
      <c r="N28" s="759">
        <f t="shared" si="3"/>
        <v>0.0007999986410140991</v>
      </c>
      <c r="O28" s="760" t="s">
        <v>721</v>
      </c>
    </row>
    <row r="29" spans="1:15" ht="15">
      <c r="A29" s="675"/>
      <c r="B29" s="769">
        <v>1855</v>
      </c>
      <c r="C29" s="776" t="s">
        <v>734</v>
      </c>
      <c r="D29" s="806">
        <v>6557465.749999999</v>
      </c>
      <c r="E29" s="756">
        <v>-4862005.009999999</v>
      </c>
      <c r="F29" s="756">
        <f t="shared" si="0"/>
        <v>11419470.759999998</v>
      </c>
      <c r="G29" s="756">
        <v>1076440.1</v>
      </c>
      <c r="H29" s="756">
        <v>0</v>
      </c>
      <c r="I29" s="756">
        <f t="shared" si="1"/>
        <v>11957690.809999999</v>
      </c>
      <c r="J29" s="757">
        <v>25</v>
      </c>
      <c r="K29" s="804">
        <f t="shared" si="2"/>
        <v>0.04</v>
      </c>
      <c r="L29" s="759">
        <f t="shared" si="4"/>
        <v>478307.63239999994</v>
      </c>
      <c r="M29" s="759">
        <v>478307.62</v>
      </c>
      <c r="N29" s="759">
        <f t="shared" si="3"/>
        <v>0.012399999948684126</v>
      </c>
      <c r="O29" s="760" t="s">
        <v>721</v>
      </c>
    </row>
    <row r="30" spans="1:15" ht="15">
      <c r="A30" s="675"/>
      <c r="B30" s="769">
        <v>1855</v>
      </c>
      <c r="C30" s="762" t="s">
        <v>735</v>
      </c>
      <c r="D30" s="805">
        <v>44984116.78</v>
      </c>
      <c r="E30" s="756">
        <v>-36767771.199999996</v>
      </c>
      <c r="F30" s="756">
        <f t="shared" si="0"/>
        <v>81751887.97999999</v>
      </c>
      <c r="G30" s="756">
        <v>2461559.76</v>
      </c>
      <c r="H30" s="756">
        <v>0</v>
      </c>
      <c r="I30" s="756">
        <f t="shared" si="1"/>
        <v>82982667.85999998</v>
      </c>
      <c r="J30" s="757">
        <v>25</v>
      </c>
      <c r="K30" s="804">
        <f t="shared" si="2"/>
        <v>0.04</v>
      </c>
      <c r="L30" s="759">
        <f t="shared" si="4"/>
        <v>3319306.7143999995</v>
      </c>
      <c r="M30" s="759">
        <v>3319306.72</v>
      </c>
      <c r="N30" s="759">
        <f t="shared" si="3"/>
        <v>-0.005600000731647015</v>
      </c>
      <c r="O30" s="760" t="s">
        <v>721</v>
      </c>
    </row>
    <row r="31" spans="1:15" ht="15">
      <c r="A31" s="675"/>
      <c r="B31" s="769">
        <v>1860</v>
      </c>
      <c r="C31" s="776" t="s">
        <v>736</v>
      </c>
      <c r="D31" s="806">
        <v>32845566.019999996</v>
      </c>
      <c r="E31" s="756">
        <v>3906039.5749999965</v>
      </c>
      <c r="F31" s="756">
        <f t="shared" si="0"/>
        <v>28939526.445</v>
      </c>
      <c r="G31" s="756">
        <v>904702.41</v>
      </c>
      <c r="H31" s="756">
        <v>-7766216</v>
      </c>
      <c r="I31" s="756">
        <f t="shared" si="1"/>
        <v>25508769.65</v>
      </c>
      <c r="J31" s="757">
        <v>25</v>
      </c>
      <c r="K31" s="804">
        <f t="shared" si="2"/>
        <v>0.04</v>
      </c>
      <c r="L31" s="759">
        <f t="shared" si="4"/>
        <v>1020350.786</v>
      </c>
      <c r="M31" s="759">
        <v>1175675.11</v>
      </c>
      <c r="N31" s="759">
        <f t="shared" si="3"/>
        <v>-155324.32400000014</v>
      </c>
      <c r="O31" s="760" t="s">
        <v>721</v>
      </c>
    </row>
    <row r="32" spans="1:15" ht="15">
      <c r="A32" s="675"/>
      <c r="B32" s="769">
        <v>1860</v>
      </c>
      <c r="C32" s="807" t="s">
        <v>737</v>
      </c>
      <c r="D32" s="808">
        <v>6922575.5</v>
      </c>
      <c r="E32" s="756">
        <v>875130.7500000009</v>
      </c>
      <c r="F32" s="756">
        <f t="shared" si="0"/>
        <v>6047444.749999999</v>
      </c>
      <c r="G32" s="756">
        <v>2192248.6</v>
      </c>
      <c r="H32" s="756">
        <v>-738904.5</v>
      </c>
      <c r="I32" s="756">
        <f t="shared" si="1"/>
        <v>6774116.799999999</v>
      </c>
      <c r="J32" s="757">
        <v>25</v>
      </c>
      <c r="K32" s="804">
        <f t="shared" si="2"/>
        <v>0.04</v>
      </c>
      <c r="L32" s="759">
        <f t="shared" si="4"/>
        <v>270964.67199999996</v>
      </c>
      <c r="M32" s="759">
        <v>285742.8</v>
      </c>
      <c r="N32" s="759">
        <f t="shared" si="3"/>
        <v>-14778.128000000026</v>
      </c>
      <c r="O32" s="760" t="s">
        <v>721</v>
      </c>
    </row>
    <row r="33" spans="1:15" ht="15">
      <c r="A33" s="675"/>
      <c r="B33" s="769">
        <v>1860</v>
      </c>
      <c r="C33" s="773" t="s">
        <v>738</v>
      </c>
      <c r="D33" s="809">
        <v>9776966.92</v>
      </c>
      <c r="E33" s="756">
        <v>0</v>
      </c>
      <c r="F33" s="756">
        <f t="shared" si="0"/>
        <v>9776966.92</v>
      </c>
      <c r="G33" s="756">
        <v>18284528</v>
      </c>
      <c r="H33" s="756">
        <v>0</v>
      </c>
      <c r="I33" s="756">
        <f t="shared" si="1"/>
        <v>18919230.92</v>
      </c>
      <c r="J33" s="757">
        <v>15</v>
      </c>
      <c r="K33" s="804">
        <f t="shared" si="2"/>
        <v>0.06666666666666667</v>
      </c>
      <c r="L33" s="759">
        <f t="shared" si="4"/>
        <v>1261282.0613333334</v>
      </c>
      <c r="M33" s="759">
        <v>3116010.34</v>
      </c>
      <c r="N33" s="759">
        <f t="shared" si="3"/>
        <v>-1854728.2786666665</v>
      </c>
      <c r="O33" s="760" t="s">
        <v>721</v>
      </c>
    </row>
    <row r="34" spans="1:15" ht="15">
      <c r="A34" s="675"/>
      <c r="B34" s="774">
        <v>1870</v>
      </c>
      <c r="C34" s="762" t="s">
        <v>739</v>
      </c>
      <c r="D34" s="805">
        <v>575421</v>
      </c>
      <c r="E34" s="756">
        <v>575421</v>
      </c>
      <c r="F34" s="756">
        <f t="shared" si="0"/>
        <v>0</v>
      </c>
      <c r="G34" s="756">
        <v>0</v>
      </c>
      <c r="H34" s="756">
        <v>0</v>
      </c>
      <c r="I34" s="756">
        <f t="shared" si="1"/>
        <v>0</v>
      </c>
      <c r="J34" s="757">
        <v>40</v>
      </c>
      <c r="K34" s="804">
        <f t="shared" si="2"/>
        <v>0.025</v>
      </c>
      <c r="L34" s="759">
        <f t="shared" si="4"/>
        <v>0</v>
      </c>
      <c r="M34" s="759">
        <v>0</v>
      </c>
      <c r="N34" s="759">
        <f t="shared" si="3"/>
        <v>0</v>
      </c>
      <c r="O34" s="760" t="s">
        <v>721</v>
      </c>
    </row>
    <row r="35" spans="1:15" ht="15">
      <c r="A35" s="675"/>
      <c r="B35" s="769">
        <v>1908</v>
      </c>
      <c r="C35" s="776" t="s">
        <v>740</v>
      </c>
      <c r="D35" s="806">
        <v>27216525.969999973</v>
      </c>
      <c r="E35" s="756">
        <v>-14299722</v>
      </c>
      <c r="F35" s="756">
        <f t="shared" si="0"/>
        <v>41516247.96999997</v>
      </c>
      <c r="G35" s="756">
        <f>4517305.93+15550.44+4804.44</f>
        <v>4537660.8100000005</v>
      </c>
      <c r="H35" s="756">
        <v>0</v>
      </c>
      <c r="I35" s="756">
        <f t="shared" si="1"/>
        <v>43785078.37499997</v>
      </c>
      <c r="J35" s="757">
        <v>50</v>
      </c>
      <c r="K35" s="804">
        <f t="shared" si="2"/>
        <v>0.02</v>
      </c>
      <c r="L35" s="759">
        <f t="shared" si="4"/>
        <v>875701.5674999994</v>
      </c>
      <c r="M35" s="759">
        <v>918863</v>
      </c>
      <c r="N35" s="759">
        <f t="shared" si="3"/>
        <v>-43161.43250000058</v>
      </c>
      <c r="O35" s="760" t="s">
        <v>721</v>
      </c>
    </row>
    <row r="36" spans="1:15" ht="15">
      <c r="A36" s="675"/>
      <c r="B36" s="769">
        <v>1910</v>
      </c>
      <c r="C36" s="776" t="s">
        <v>741</v>
      </c>
      <c r="D36" s="806">
        <v>1755143.52</v>
      </c>
      <c r="E36" s="756">
        <f>1202192.2</f>
        <v>1202192.2</v>
      </c>
      <c r="F36" s="756">
        <f t="shared" si="0"/>
        <v>552951.3200000001</v>
      </c>
      <c r="G36" s="756">
        <v>0</v>
      </c>
      <c r="H36" s="756">
        <v>-1755143.8</v>
      </c>
      <c r="I36" s="756">
        <f t="shared" si="1"/>
        <v>-324620.57999999996</v>
      </c>
      <c r="J36" s="757">
        <v>15</v>
      </c>
      <c r="K36" s="804">
        <f t="shared" si="2"/>
        <v>0.06666666666666667</v>
      </c>
      <c r="L36" s="759">
        <f t="shared" si="4"/>
        <v>-21641.371999999996</v>
      </c>
      <c r="M36" s="759">
        <v>36863.44</v>
      </c>
      <c r="N36" s="759">
        <f t="shared" si="3"/>
        <v>-58504.812</v>
      </c>
      <c r="O36" s="760" t="s">
        <v>721</v>
      </c>
    </row>
    <row r="37" spans="1:15" ht="15">
      <c r="A37" s="675"/>
      <c r="B37" s="769">
        <v>1910</v>
      </c>
      <c r="C37" s="775" t="s">
        <v>742</v>
      </c>
      <c r="D37" s="810">
        <v>415459</v>
      </c>
      <c r="E37" s="756"/>
      <c r="F37" s="756">
        <f t="shared" si="0"/>
        <v>415459</v>
      </c>
      <c r="G37" s="756">
        <v>0</v>
      </c>
      <c r="H37" s="756">
        <v>-415458.61</v>
      </c>
      <c r="I37" s="756">
        <f t="shared" si="1"/>
        <v>207729.695</v>
      </c>
      <c r="J37" s="757">
        <v>2</v>
      </c>
      <c r="K37" s="804">
        <f t="shared" si="2"/>
        <v>0.5</v>
      </c>
      <c r="L37" s="759">
        <f t="shared" si="4"/>
        <v>103864.8475</v>
      </c>
      <c r="M37" s="759">
        <v>51932.33</v>
      </c>
      <c r="N37" s="759">
        <f t="shared" si="3"/>
        <v>51932.5175</v>
      </c>
      <c r="O37" s="760" t="s">
        <v>721</v>
      </c>
    </row>
    <row r="38" spans="1:15" ht="15">
      <c r="A38" s="675"/>
      <c r="B38" s="769">
        <v>1915</v>
      </c>
      <c r="C38" s="776" t="s">
        <v>771</v>
      </c>
      <c r="D38" s="806">
        <v>6933086.79</v>
      </c>
      <c r="E38" s="756">
        <f>2180754.22-1947156</f>
        <v>233598.2200000002</v>
      </c>
      <c r="F38" s="756">
        <f t="shared" si="0"/>
        <v>6699488.57</v>
      </c>
      <c r="G38" s="756">
        <v>11536</v>
      </c>
      <c r="H38" s="756">
        <v>-1947155.92</v>
      </c>
      <c r="I38" s="756">
        <f t="shared" si="1"/>
        <v>5731678.61</v>
      </c>
      <c r="J38" s="757">
        <v>10</v>
      </c>
      <c r="K38" s="804">
        <f t="shared" si="2"/>
        <v>0.1</v>
      </c>
      <c r="L38" s="759">
        <f t="shared" si="4"/>
        <v>573167.861</v>
      </c>
      <c r="M38" s="759">
        <v>475810.03</v>
      </c>
      <c r="N38" s="759">
        <f t="shared" si="3"/>
        <v>97357.831</v>
      </c>
      <c r="O38" s="760" t="s">
        <v>721</v>
      </c>
    </row>
    <row r="39" spans="1:15" ht="15">
      <c r="A39" s="675"/>
      <c r="B39" s="769">
        <v>1920</v>
      </c>
      <c r="C39" s="776" t="s">
        <v>744</v>
      </c>
      <c r="D39" s="806">
        <v>16942855.64</v>
      </c>
      <c r="E39" s="756">
        <v>8591982.154999996</v>
      </c>
      <c r="F39" s="756">
        <f t="shared" si="0"/>
        <v>8350873.485000005</v>
      </c>
      <c r="G39" s="756">
        <v>1211333.33</v>
      </c>
      <c r="H39" s="756"/>
      <c r="I39" s="756">
        <f t="shared" si="1"/>
        <v>8956540.150000006</v>
      </c>
      <c r="J39" s="757">
        <v>5</v>
      </c>
      <c r="K39" s="804">
        <f t="shared" si="2"/>
        <v>0.2</v>
      </c>
      <c r="L39" s="759">
        <f t="shared" si="4"/>
        <v>1791308.0300000012</v>
      </c>
      <c r="M39" s="759">
        <v>1791308</v>
      </c>
      <c r="N39" s="759">
        <f t="shared" si="3"/>
        <v>0.030000001192092896</v>
      </c>
      <c r="O39" s="760" t="s">
        <v>721</v>
      </c>
    </row>
    <row r="40" spans="1:15" ht="15">
      <c r="A40" s="675"/>
      <c r="B40" s="769">
        <v>1925</v>
      </c>
      <c r="C40" s="776" t="s">
        <v>745</v>
      </c>
      <c r="D40" s="806">
        <v>15596775.73</v>
      </c>
      <c r="E40" s="756">
        <v>9904933.920000002</v>
      </c>
      <c r="F40" s="756">
        <f t="shared" si="0"/>
        <v>5691841.809999999</v>
      </c>
      <c r="G40" s="756">
        <v>2948040.14</v>
      </c>
      <c r="H40" s="756"/>
      <c r="I40" s="756">
        <f t="shared" si="1"/>
        <v>7165861.879999999</v>
      </c>
      <c r="J40" s="757">
        <v>3</v>
      </c>
      <c r="K40" s="804">
        <f t="shared" si="2"/>
        <v>0.3333333333333333</v>
      </c>
      <c r="L40" s="759">
        <f t="shared" si="4"/>
        <v>2388620.626666666</v>
      </c>
      <c r="M40" s="759">
        <v>2383148</v>
      </c>
      <c r="N40" s="759">
        <f t="shared" si="3"/>
        <v>5472.6266666660085</v>
      </c>
      <c r="O40" s="760" t="s">
        <v>721</v>
      </c>
    </row>
    <row r="41" spans="1:15" ht="15">
      <c r="A41" s="675"/>
      <c r="B41" s="769">
        <v>1930</v>
      </c>
      <c r="C41" s="776" t="s">
        <v>746</v>
      </c>
      <c r="D41" s="806">
        <v>21576980.17</v>
      </c>
      <c r="E41" s="756">
        <f>7095303.875-1385980</f>
        <v>5709323.875</v>
      </c>
      <c r="F41" s="756">
        <f t="shared" si="0"/>
        <v>15867656.295000002</v>
      </c>
      <c r="G41" s="756">
        <v>2603684.61</v>
      </c>
      <c r="H41" s="756">
        <v>-1385980</v>
      </c>
      <c r="I41" s="756">
        <f t="shared" si="1"/>
        <v>16476508.600000001</v>
      </c>
      <c r="J41" s="757">
        <v>6.5</v>
      </c>
      <c r="K41" s="804">
        <f t="shared" si="2"/>
        <v>0.15384615384615385</v>
      </c>
      <c r="L41" s="759">
        <f t="shared" si="4"/>
        <v>2534847.4769230774</v>
      </c>
      <c r="M41" s="759">
        <v>2423947</v>
      </c>
      <c r="N41" s="759">
        <f t="shared" si="3"/>
        <v>110900.47692307737</v>
      </c>
      <c r="O41" s="760" t="s">
        <v>721</v>
      </c>
    </row>
    <row r="42" spans="1:15" ht="15">
      <c r="A42" s="675"/>
      <c r="B42" s="769">
        <v>1935</v>
      </c>
      <c r="C42" s="776" t="s">
        <v>747</v>
      </c>
      <c r="D42" s="806">
        <v>651696.07</v>
      </c>
      <c r="E42" s="756">
        <v>609569.97</v>
      </c>
      <c r="F42" s="756">
        <f t="shared" si="0"/>
        <v>42126.09999999998</v>
      </c>
      <c r="G42" s="756">
        <v>0</v>
      </c>
      <c r="H42" s="756"/>
      <c r="I42" s="756">
        <f t="shared" si="1"/>
        <v>42126.09999999998</v>
      </c>
      <c r="J42" s="757">
        <v>10</v>
      </c>
      <c r="K42" s="804">
        <f t="shared" si="2"/>
        <v>0.1</v>
      </c>
      <c r="L42" s="759">
        <f t="shared" si="4"/>
        <v>4212.609999999998</v>
      </c>
      <c r="M42" s="759">
        <v>4212.57</v>
      </c>
      <c r="N42" s="759">
        <f t="shared" si="3"/>
        <v>0.03999999999814463</v>
      </c>
      <c r="O42" s="760" t="s">
        <v>721</v>
      </c>
    </row>
    <row r="43" spans="1:15" ht="15">
      <c r="A43" s="675"/>
      <c r="B43" s="769">
        <v>1940</v>
      </c>
      <c r="C43" s="776" t="s">
        <v>748</v>
      </c>
      <c r="D43" s="806">
        <v>5946397.100000001</v>
      </c>
      <c r="E43" s="756">
        <v>2521354.4699999997</v>
      </c>
      <c r="F43" s="756">
        <f t="shared" si="0"/>
        <v>3425042.630000001</v>
      </c>
      <c r="G43" s="756">
        <v>414510.38</v>
      </c>
      <c r="H43" s="756">
        <v>-464378.77</v>
      </c>
      <c r="I43" s="756">
        <f t="shared" si="1"/>
        <v>3400108.4350000005</v>
      </c>
      <c r="J43" s="757">
        <v>10</v>
      </c>
      <c r="K43" s="804">
        <f t="shared" si="2"/>
        <v>0.1</v>
      </c>
      <c r="L43" s="759">
        <f t="shared" si="4"/>
        <v>340010.8435000001</v>
      </c>
      <c r="M43" s="759">
        <v>363229.81</v>
      </c>
      <c r="N43" s="759">
        <f t="shared" si="3"/>
        <v>-23218.966499999922</v>
      </c>
      <c r="O43" s="760" t="s">
        <v>721</v>
      </c>
    </row>
    <row r="44" spans="1:15" ht="15">
      <c r="A44" s="675"/>
      <c r="B44" s="769">
        <v>1955</v>
      </c>
      <c r="C44" s="776" t="s">
        <v>749</v>
      </c>
      <c r="D44" s="806">
        <v>1816894.61</v>
      </c>
      <c r="E44" s="756">
        <v>242462.1450000003</v>
      </c>
      <c r="F44" s="756">
        <f t="shared" si="0"/>
        <v>1574432.4649999999</v>
      </c>
      <c r="G44" s="756">
        <v>229621.83</v>
      </c>
      <c r="H44" s="756">
        <v>-18763.41</v>
      </c>
      <c r="I44" s="756">
        <f t="shared" si="1"/>
        <v>1679861.6749999998</v>
      </c>
      <c r="J44" s="757">
        <v>10</v>
      </c>
      <c r="K44" s="804">
        <f t="shared" si="2"/>
        <v>0.1</v>
      </c>
      <c r="L44" s="759">
        <f t="shared" si="4"/>
        <v>167986.16749999998</v>
      </c>
      <c r="M44" s="759">
        <v>168924.36</v>
      </c>
      <c r="N44" s="759">
        <f t="shared" si="3"/>
        <v>-938.1925000000047</v>
      </c>
      <c r="O44" s="760" t="s">
        <v>721</v>
      </c>
    </row>
    <row r="45" spans="1:15" ht="15">
      <c r="A45" s="675"/>
      <c r="B45" s="769">
        <v>1955</v>
      </c>
      <c r="C45" s="762" t="s">
        <v>751</v>
      </c>
      <c r="D45" s="806">
        <v>59644.74</v>
      </c>
      <c r="E45" s="756">
        <v>-22.355000000014115</v>
      </c>
      <c r="F45" s="756">
        <f t="shared" si="0"/>
        <v>59667.095000000016</v>
      </c>
      <c r="G45" s="756">
        <v>22623.91</v>
      </c>
      <c r="H45" s="756"/>
      <c r="I45" s="756">
        <f t="shared" si="1"/>
        <v>70979.05000000002</v>
      </c>
      <c r="J45" s="757">
        <v>3</v>
      </c>
      <c r="K45" s="804">
        <f t="shared" si="2"/>
        <v>0.3333333333333333</v>
      </c>
      <c r="L45" s="759">
        <f t="shared" si="4"/>
        <v>23659.683333333338</v>
      </c>
      <c r="M45" s="759">
        <v>23659.72</v>
      </c>
      <c r="N45" s="759">
        <f t="shared" si="3"/>
        <v>-0.03666666666322271</v>
      </c>
      <c r="O45" s="760" t="s">
        <v>721</v>
      </c>
    </row>
    <row r="46" spans="1:15" ht="15">
      <c r="A46" s="675"/>
      <c r="B46" s="769">
        <v>1960</v>
      </c>
      <c r="C46" s="776" t="s">
        <v>752</v>
      </c>
      <c r="D46" s="806">
        <v>0</v>
      </c>
      <c r="E46" s="756">
        <v>0</v>
      </c>
      <c r="F46" s="756">
        <f t="shared" si="0"/>
        <v>0</v>
      </c>
      <c r="G46" s="756">
        <v>0</v>
      </c>
      <c r="H46" s="756"/>
      <c r="I46" s="756">
        <f t="shared" si="1"/>
        <v>0</v>
      </c>
      <c r="J46" s="757">
        <v>0</v>
      </c>
      <c r="K46" s="804">
        <f t="shared" si="2"/>
      </c>
      <c r="L46" s="759">
        <v>0</v>
      </c>
      <c r="M46" s="759">
        <v>0</v>
      </c>
      <c r="N46" s="759">
        <f t="shared" si="3"/>
        <v>0</v>
      </c>
      <c r="O46" s="760" t="s">
        <v>721</v>
      </c>
    </row>
    <row r="47" spans="1:15" ht="15">
      <c r="A47" s="675"/>
      <c r="B47" s="774">
        <v>1961</v>
      </c>
      <c r="C47" s="762" t="s">
        <v>753</v>
      </c>
      <c r="D47" s="805">
        <v>1179032.25</v>
      </c>
      <c r="E47" s="756">
        <v>213609.83000000002</v>
      </c>
      <c r="F47" s="756">
        <f t="shared" si="0"/>
        <v>965422.4199999999</v>
      </c>
      <c r="G47" s="756">
        <v>613894.3</v>
      </c>
      <c r="H47" s="756"/>
      <c r="I47" s="756">
        <f t="shared" si="1"/>
        <v>1272369.5699999998</v>
      </c>
      <c r="J47" s="757">
        <v>3</v>
      </c>
      <c r="K47" s="804">
        <f t="shared" si="2"/>
        <v>0.3333333333333333</v>
      </c>
      <c r="L47" s="759">
        <f>+I47*K47</f>
        <v>424123.18999999994</v>
      </c>
      <c r="M47" s="759">
        <v>424123.12</v>
      </c>
      <c r="N47" s="759">
        <f t="shared" si="3"/>
        <v>0.06999999994877726</v>
      </c>
      <c r="O47" s="760" t="s">
        <v>721</v>
      </c>
    </row>
    <row r="48" spans="1:15" ht="15">
      <c r="A48" s="675"/>
      <c r="B48" s="769">
        <v>1980</v>
      </c>
      <c r="C48" s="776" t="s">
        <v>755</v>
      </c>
      <c r="D48" s="806">
        <v>18342202.159999996</v>
      </c>
      <c r="E48" s="756">
        <v>3160140.950000002</v>
      </c>
      <c r="F48" s="756">
        <f t="shared" si="0"/>
        <v>15182061.209999993</v>
      </c>
      <c r="G48" s="756">
        <v>650989.32</v>
      </c>
      <c r="H48" s="756"/>
      <c r="I48" s="756">
        <f t="shared" si="1"/>
        <v>15507555.869999994</v>
      </c>
      <c r="J48" s="757">
        <v>15</v>
      </c>
      <c r="K48" s="804">
        <f t="shared" si="2"/>
        <v>0.06666666666666667</v>
      </c>
      <c r="L48" s="759">
        <f>+I48*K48</f>
        <v>1033837.0579999996</v>
      </c>
      <c r="M48" s="759">
        <v>1033837</v>
      </c>
      <c r="N48" s="759">
        <f t="shared" si="3"/>
        <v>0.057999999611638486</v>
      </c>
      <c r="O48" s="760" t="s">
        <v>721</v>
      </c>
    </row>
    <row r="49" spans="1:15" ht="15">
      <c r="A49" s="675"/>
      <c r="B49" s="769">
        <v>1995</v>
      </c>
      <c r="C49" s="776" t="s">
        <v>757</v>
      </c>
      <c r="D49" s="806">
        <f>260464043.129825*-1</f>
        <v>-260464043.129825</v>
      </c>
      <c r="E49" s="756">
        <v>0</v>
      </c>
      <c r="F49" s="756">
        <f t="shared" si="0"/>
        <v>-260464043.129825</v>
      </c>
      <c r="G49" s="756">
        <v>-22889253.24</v>
      </c>
      <c r="H49" s="756"/>
      <c r="I49" s="756">
        <f t="shared" si="1"/>
        <v>-271908669.749825</v>
      </c>
      <c r="J49" s="757">
        <v>25</v>
      </c>
      <c r="K49" s="804">
        <f t="shared" si="2"/>
        <v>0.04</v>
      </c>
      <c r="L49" s="759">
        <f>+I49*K49</f>
        <v>-10876346.789993001</v>
      </c>
      <c r="M49" s="759">
        <v>-10629887.851162419</v>
      </c>
      <c r="N49" s="759">
        <f t="shared" si="3"/>
        <v>-246458.93883058242</v>
      </c>
      <c r="O49" s="760" t="s">
        <v>721</v>
      </c>
    </row>
    <row r="50" spans="1:15" ht="15">
      <c r="A50" s="675"/>
      <c r="B50" s="769">
        <v>2005</v>
      </c>
      <c r="C50" s="776" t="s">
        <v>772</v>
      </c>
      <c r="D50" s="806"/>
      <c r="E50" s="756">
        <v>0</v>
      </c>
      <c r="F50" s="756">
        <f t="shared" si="0"/>
        <v>0</v>
      </c>
      <c r="G50" s="756">
        <v>18280294.05</v>
      </c>
      <c r="H50" s="756">
        <v>0</v>
      </c>
      <c r="I50" s="756">
        <f t="shared" si="1"/>
        <v>9140147.025</v>
      </c>
      <c r="J50" s="757">
        <v>25</v>
      </c>
      <c r="K50" s="804">
        <f t="shared" si="2"/>
        <v>0.04</v>
      </c>
      <c r="L50" s="759">
        <f>+I50*K50</f>
        <v>365605.881</v>
      </c>
      <c r="M50" s="759">
        <v>731211.76</v>
      </c>
      <c r="N50" s="759">
        <f t="shared" si="3"/>
        <v>-365605.879</v>
      </c>
      <c r="O50" s="760" t="s">
        <v>721</v>
      </c>
    </row>
    <row r="51" spans="1:15" ht="15.75" thickBot="1">
      <c r="A51" s="675"/>
      <c r="B51" s="780"/>
      <c r="C51" s="811"/>
      <c r="D51" s="812"/>
      <c r="E51" s="783"/>
      <c r="F51" s="784"/>
      <c r="G51" s="783"/>
      <c r="H51" s="783"/>
      <c r="I51" s="784"/>
      <c r="J51" s="785"/>
      <c r="K51" s="784">
        <f t="shared" si="2"/>
      </c>
      <c r="L51" s="787">
        <f>IF(J51=0,"",I51/J51)</f>
      </c>
      <c r="M51" s="787"/>
      <c r="N51" s="787"/>
      <c r="O51" s="788"/>
    </row>
    <row r="52" spans="1:15" ht="16.5" thickBot="1" thickTop="1">
      <c r="A52" s="675"/>
      <c r="B52" s="789"/>
      <c r="C52" s="813" t="s">
        <v>112</v>
      </c>
      <c r="D52" s="792">
        <f>SUM(D16:D51)</f>
        <v>1135342187.080175</v>
      </c>
      <c r="E52" s="792">
        <f>SUM(E16:E51)</f>
        <v>132594970.63999997</v>
      </c>
      <c r="F52" s="792">
        <f>SUM(F16:F51)</f>
        <v>1002747216.4401749</v>
      </c>
      <c r="G52" s="792">
        <f>SUM(G16:G51)</f>
        <v>127114141.74999996</v>
      </c>
      <c r="H52" s="792">
        <f>SUM(H16:H51)</f>
        <v>-14492001.01</v>
      </c>
      <c r="I52" s="792">
        <f>F52+0.5*G52</f>
        <v>1066304287.3151749</v>
      </c>
      <c r="J52" s="814" t="s">
        <v>773</v>
      </c>
      <c r="K52" s="815" t="s">
        <v>773</v>
      </c>
      <c r="L52" s="795">
        <f>SUM(L16:L51)</f>
        <v>46264903.67919673</v>
      </c>
      <c r="M52" s="795">
        <f>SUM(M16:M51)</f>
        <v>48761959.188837565</v>
      </c>
      <c r="N52" s="795">
        <f>SUM(N16:N51)</f>
        <v>-2497055.5096408376</v>
      </c>
      <c r="O52" s="796"/>
    </row>
    <row r="53" spans="1:15" ht="15">
      <c r="A53" s="675"/>
      <c r="B53" s="675"/>
      <c r="C53" s="675"/>
      <c r="D53" s="675"/>
      <c r="E53" s="675"/>
      <c r="F53" s="675"/>
      <c r="G53" s="675"/>
      <c r="H53" s="675"/>
      <c r="I53" s="675"/>
      <c r="J53" s="675"/>
      <c r="K53" s="675"/>
      <c r="L53" s="675"/>
      <c r="M53" s="675"/>
      <c r="N53" s="675"/>
      <c r="O53" s="675"/>
    </row>
    <row r="54" spans="1:15" ht="15">
      <c r="A54" s="675"/>
      <c r="B54" s="698" t="s">
        <v>265</v>
      </c>
      <c r="C54" s="699"/>
      <c r="D54" s="699"/>
      <c r="E54" s="699"/>
      <c r="F54" s="797"/>
      <c r="G54" s="699"/>
      <c r="H54" s="699"/>
      <c r="I54" s="699"/>
      <c r="J54" s="699"/>
      <c r="K54" s="699"/>
      <c r="L54" s="699"/>
      <c r="M54" s="699"/>
      <c r="N54" s="699"/>
      <c r="O54" s="675"/>
    </row>
    <row r="55" spans="1:15" ht="15">
      <c r="A55" s="675"/>
      <c r="B55" s="699"/>
      <c r="C55" s="699"/>
      <c r="D55" s="699"/>
      <c r="E55" s="699"/>
      <c r="F55" s="699"/>
      <c r="G55" s="699"/>
      <c r="H55" s="699"/>
      <c r="I55" s="699"/>
      <c r="J55" s="699"/>
      <c r="K55" s="699"/>
      <c r="L55" s="699"/>
      <c r="M55" s="699"/>
      <c r="N55" s="699"/>
      <c r="O55" s="675"/>
    </row>
    <row r="56" spans="1:15" ht="15">
      <c r="A56" s="675"/>
      <c r="B56" s="968" t="s">
        <v>758</v>
      </c>
      <c r="C56" s="970"/>
      <c r="D56" s="970"/>
      <c r="E56" s="970"/>
      <c r="F56" s="970"/>
      <c r="G56" s="970"/>
      <c r="H56" s="970"/>
      <c r="I56" s="970"/>
      <c r="J56" s="970"/>
      <c r="K56" s="970"/>
      <c r="L56" s="675"/>
      <c r="M56" s="675"/>
      <c r="N56" s="675"/>
      <c r="O56" s="675"/>
    </row>
    <row r="57" spans="1:15" ht="15">
      <c r="A57" s="675"/>
      <c r="B57" s="973" t="s">
        <v>774</v>
      </c>
      <c r="C57" s="974"/>
      <c r="D57" s="974"/>
      <c r="E57" s="974"/>
      <c r="F57" s="974"/>
      <c r="G57" s="974"/>
      <c r="H57" s="974"/>
      <c r="I57" s="974"/>
      <c r="J57" s="974"/>
      <c r="K57" s="974"/>
      <c r="L57" s="974"/>
      <c r="M57" s="974"/>
      <c r="N57" s="974"/>
      <c r="O57" s="974"/>
    </row>
    <row r="58" spans="1:15" ht="15">
      <c r="A58" s="675"/>
      <c r="B58" s="968" t="s">
        <v>775</v>
      </c>
      <c r="C58" s="969"/>
      <c r="D58" s="969"/>
      <c r="E58" s="969"/>
      <c r="F58" s="969"/>
      <c r="G58" s="969"/>
      <c r="H58" s="969"/>
      <c r="I58" s="969"/>
      <c r="J58" s="969"/>
      <c r="K58" s="969"/>
      <c r="L58" s="969"/>
      <c r="M58" s="969"/>
      <c r="N58" s="969"/>
      <c r="O58" s="969"/>
    </row>
    <row r="59" spans="1:15" ht="15">
      <c r="A59" s="675"/>
      <c r="B59" s="968" t="s">
        <v>776</v>
      </c>
      <c r="C59" s="970"/>
      <c r="D59" s="970"/>
      <c r="E59" s="970"/>
      <c r="F59" s="970"/>
      <c r="G59" s="970"/>
      <c r="H59" s="970"/>
      <c r="I59" s="970"/>
      <c r="J59" s="970"/>
      <c r="K59" s="970"/>
      <c r="L59" s="970"/>
      <c r="M59" s="705"/>
      <c r="N59" s="705"/>
      <c r="O59" s="675"/>
    </row>
    <row r="60" spans="1:15" ht="15" customHeight="1">
      <c r="A60" s="675"/>
      <c r="B60" s="968" t="s">
        <v>788</v>
      </c>
      <c r="C60" s="970"/>
      <c r="D60" s="970"/>
      <c r="E60" s="970"/>
      <c r="F60" s="970"/>
      <c r="G60" s="970"/>
      <c r="H60" s="970"/>
      <c r="I60" s="970"/>
      <c r="J60" s="970"/>
      <c r="K60" s="970"/>
      <c r="L60" s="970"/>
      <c r="M60" s="970"/>
      <c r="N60" s="970"/>
      <c r="O60" s="970"/>
    </row>
  </sheetData>
  <mergeCells count="10">
    <mergeCell ref="B59:L59"/>
    <mergeCell ref="B60:O60"/>
    <mergeCell ref="O14:O15"/>
    <mergeCell ref="B56:K56"/>
    <mergeCell ref="B57:O57"/>
    <mergeCell ref="B58:O58"/>
    <mergeCell ref="B9:L9"/>
    <mergeCell ref="B10:L10"/>
    <mergeCell ref="B14:B15"/>
    <mergeCell ref="C14:C15"/>
  </mergeCells>
  <dataValidations count="2">
    <dataValidation type="list" allowBlank="1" showInputMessage="1" showErrorMessage="1" sqref="O16:O51">
      <formula1>"Yes, No"</formula1>
    </dataValidation>
    <dataValidation allowBlank="1" showInputMessage="1" showErrorMessage="1" promptTitle="Date Format" prompt="E.g:  &quot;August 1, 2011&quot;" sqref="L7:N7"/>
  </dataValidations>
  <printOptions/>
  <pageMargins left="0.75" right="0.75" top="0.55" bottom="0.3" header="0.5" footer="0.16"/>
  <pageSetup fitToHeight="1" fitToWidth="1" horizontalDpi="600" verticalDpi="600" orientation="landscape" scale="59"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O65"/>
  <sheetViews>
    <sheetView zoomScale="85" zoomScaleNormal="85" workbookViewId="0" topLeftCell="A37">
      <selection activeCell="B63" sqref="B63:O63"/>
    </sheetView>
  </sheetViews>
  <sheetFormatPr defaultColWidth="9.140625" defaultRowHeight="15"/>
  <cols>
    <col min="1" max="1" width="1.7109375" style="0" customWidth="1"/>
    <col min="2" max="2" width="9.28125" style="0" bestFit="1" customWidth="1"/>
    <col min="3" max="3" width="39.421875" style="0" bestFit="1" customWidth="1"/>
    <col min="4" max="4" width="15.140625" style="0" bestFit="1" customWidth="1"/>
    <col min="5" max="5" width="13.57421875" style="0" bestFit="1" customWidth="1"/>
    <col min="6" max="6" width="15.140625" style="0" bestFit="1" customWidth="1"/>
    <col min="7" max="7" width="13.28125" style="0" bestFit="1" customWidth="1"/>
    <col min="8" max="8" width="12.28125" style="0" bestFit="1" customWidth="1"/>
    <col min="9" max="9" width="15.140625" style="0" bestFit="1" customWidth="1"/>
    <col min="10" max="10" width="9.28125" style="0" bestFit="1" customWidth="1"/>
    <col min="11" max="11" width="12.28125" style="0" customWidth="1"/>
    <col min="12" max="13" width="13.28125" style="0" bestFit="1" customWidth="1"/>
    <col min="14" max="14" width="11.8515625" style="0" bestFit="1" customWidth="1"/>
    <col min="15" max="15" width="13.00390625" style="0" customWidth="1"/>
  </cols>
  <sheetData>
    <row r="1" spans="1:15" ht="15">
      <c r="A1" s="675"/>
      <c r="B1" s="675"/>
      <c r="C1" s="675"/>
      <c r="D1" s="675"/>
      <c r="E1" s="675"/>
      <c r="F1" s="675"/>
      <c r="G1" s="675"/>
      <c r="H1" s="675"/>
      <c r="I1" s="675"/>
      <c r="J1" s="698" t="s">
        <v>10</v>
      </c>
      <c r="K1" s="675"/>
      <c r="L1" s="677" t="s">
        <v>11</v>
      </c>
      <c r="M1" s="677"/>
      <c r="N1" s="677"/>
      <c r="O1" s="675"/>
    </row>
    <row r="2" spans="1:15" ht="15">
      <c r="A2" s="675"/>
      <c r="B2" s="675"/>
      <c r="C2" s="675"/>
      <c r="D2" s="675"/>
      <c r="E2" s="675"/>
      <c r="F2" s="675"/>
      <c r="G2" s="675"/>
      <c r="H2" s="675"/>
      <c r="I2" s="675"/>
      <c r="J2" s="698" t="s">
        <v>12</v>
      </c>
      <c r="K2" s="675"/>
      <c r="L2" s="677" t="s">
        <v>619</v>
      </c>
      <c r="M2" s="677"/>
      <c r="N2" s="677"/>
      <c r="O2" s="675"/>
    </row>
    <row r="3" spans="1:15" ht="15">
      <c r="A3" s="675"/>
      <c r="B3" s="675"/>
      <c r="C3" s="675"/>
      <c r="D3" s="675"/>
      <c r="E3" s="675"/>
      <c r="F3" s="675"/>
      <c r="G3" s="675"/>
      <c r="H3" s="675"/>
      <c r="I3" s="675"/>
      <c r="J3" s="698" t="s">
        <v>14</v>
      </c>
      <c r="K3" s="675"/>
      <c r="L3" s="711" t="s">
        <v>620</v>
      </c>
      <c r="M3" s="677"/>
      <c r="N3" s="677"/>
      <c r="O3" s="675"/>
    </row>
    <row r="4" spans="1:15" ht="15">
      <c r="A4" s="675"/>
      <c r="B4" s="675"/>
      <c r="C4" s="675"/>
      <c r="D4" s="675"/>
      <c r="E4" s="675"/>
      <c r="F4" s="675"/>
      <c r="G4" s="675"/>
      <c r="H4" s="675"/>
      <c r="I4" s="675"/>
      <c r="J4" s="698" t="s">
        <v>16</v>
      </c>
      <c r="K4" s="675"/>
      <c r="L4" s="677" t="s">
        <v>688</v>
      </c>
      <c r="M4" s="677"/>
      <c r="N4" s="677"/>
      <c r="O4" s="675"/>
    </row>
    <row r="5" spans="1:15" ht="15">
      <c r="A5" s="675"/>
      <c r="B5" s="675"/>
      <c r="C5" s="675"/>
      <c r="D5" s="675"/>
      <c r="E5" s="675"/>
      <c r="F5" s="675"/>
      <c r="G5" s="675"/>
      <c r="H5" s="675"/>
      <c r="I5" s="675"/>
      <c r="J5" s="698" t="s">
        <v>18</v>
      </c>
      <c r="K5" s="675"/>
      <c r="L5" s="677" t="s">
        <v>777</v>
      </c>
      <c r="M5" s="677"/>
      <c r="N5" s="677"/>
      <c r="O5" s="675"/>
    </row>
    <row r="6" spans="1:15" ht="15">
      <c r="A6" s="675"/>
      <c r="B6" s="675"/>
      <c r="C6" s="675"/>
      <c r="D6" s="675"/>
      <c r="E6" s="675"/>
      <c r="F6" s="675"/>
      <c r="G6" s="675"/>
      <c r="H6" s="675"/>
      <c r="I6" s="675"/>
      <c r="J6" s="698"/>
      <c r="K6" s="675"/>
      <c r="L6" s="675"/>
      <c r="M6" s="675"/>
      <c r="N6" s="675"/>
      <c r="O6" s="675"/>
    </row>
    <row r="7" spans="1:15" ht="15">
      <c r="A7" s="675"/>
      <c r="B7" s="675"/>
      <c r="C7" s="675"/>
      <c r="D7" s="675"/>
      <c r="E7" s="675"/>
      <c r="F7" s="675"/>
      <c r="G7" s="675"/>
      <c r="H7" s="675"/>
      <c r="I7" s="675"/>
      <c r="J7" s="698" t="s">
        <v>19</v>
      </c>
      <c r="K7" s="675"/>
      <c r="L7" s="678" t="s">
        <v>690</v>
      </c>
      <c r="M7" s="678"/>
      <c r="N7" s="678"/>
      <c r="O7" s="675"/>
    </row>
    <row r="8" spans="1:15" ht="15">
      <c r="A8" s="675"/>
      <c r="B8" s="675"/>
      <c r="C8" s="675"/>
      <c r="D8" s="675"/>
      <c r="E8" s="675"/>
      <c r="F8" s="675"/>
      <c r="G8" s="675"/>
      <c r="H8" s="675"/>
      <c r="I8" s="675"/>
      <c r="J8" s="675"/>
      <c r="K8" s="675"/>
      <c r="L8" s="675"/>
      <c r="M8" s="675"/>
      <c r="N8" s="675"/>
      <c r="O8" s="675"/>
    </row>
    <row r="9" spans="1:15" ht="18">
      <c r="A9" s="675"/>
      <c r="B9" s="918" t="s">
        <v>691</v>
      </c>
      <c r="C9" s="918"/>
      <c r="D9" s="918"/>
      <c r="E9" s="918"/>
      <c r="F9" s="918"/>
      <c r="G9" s="918"/>
      <c r="H9" s="918"/>
      <c r="I9" s="918"/>
      <c r="J9" s="918"/>
      <c r="K9" s="918"/>
      <c r="L9" s="918"/>
      <c r="M9" s="679"/>
      <c r="N9" s="679"/>
      <c r="O9" s="675"/>
    </row>
    <row r="10" spans="1:15" ht="18">
      <c r="A10" s="675"/>
      <c r="B10" s="918" t="s">
        <v>692</v>
      </c>
      <c r="C10" s="918"/>
      <c r="D10" s="918"/>
      <c r="E10" s="918"/>
      <c r="F10" s="918"/>
      <c r="G10" s="918"/>
      <c r="H10" s="918"/>
      <c r="I10" s="918"/>
      <c r="J10" s="918"/>
      <c r="K10" s="918"/>
      <c r="L10" s="918"/>
      <c r="M10" s="679"/>
      <c r="N10" s="679"/>
      <c r="O10" s="675"/>
    </row>
    <row r="11" spans="1:15" ht="18">
      <c r="A11" s="675"/>
      <c r="B11" s="679"/>
      <c r="C11" s="679"/>
      <c r="D11" s="679"/>
      <c r="E11" s="679"/>
      <c r="F11" s="679"/>
      <c r="G11" s="679"/>
      <c r="H11" s="679"/>
      <c r="I11" s="679"/>
      <c r="J11" s="679"/>
      <c r="K11" s="679"/>
      <c r="L11" s="679"/>
      <c r="M11" s="679"/>
      <c r="N11" s="679"/>
      <c r="O11" s="675"/>
    </row>
    <row r="12" spans="1:15" ht="18">
      <c r="A12" s="675"/>
      <c r="B12" s="679"/>
      <c r="C12" s="679"/>
      <c r="D12" s="679"/>
      <c r="E12" s="740" t="s">
        <v>693</v>
      </c>
      <c r="F12" s="741">
        <v>2011</v>
      </c>
      <c r="G12" s="742" t="s">
        <v>694</v>
      </c>
      <c r="H12" s="742"/>
      <c r="I12" s="679"/>
      <c r="J12" s="679"/>
      <c r="K12" s="679"/>
      <c r="L12" s="679"/>
      <c r="M12" s="679"/>
      <c r="N12" s="679"/>
      <c r="O12" s="675"/>
    </row>
    <row r="13" spans="1:15" ht="15.75" thickBot="1">
      <c r="A13" s="675"/>
      <c r="B13" s="675"/>
      <c r="C13" s="675"/>
      <c r="D13" s="675"/>
      <c r="E13" s="675"/>
      <c r="F13" s="675"/>
      <c r="G13" s="675"/>
      <c r="H13" s="675"/>
      <c r="I13" s="675"/>
      <c r="J13" s="675"/>
      <c r="K13" s="675"/>
      <c r="L13" s="675"/>
      <c r="M13" s="675"/>
      <c r="N13" s="675"/>
      <c r="O13" s="675"/>
    </row>
    <row r="14" spans="1:15" ht="39.75">
      <c r="A14" s="675"/>
      <c r="B14" s="964" t="s">
        <v>145</v>
      </c>
      <c r="C14" s="977" t="s">
        <v>146</v>
      </c>
      <c r="D14" s="745" t="s">
        <v>698</v>
      </c>
      <c r="E14" s="745" t="s">
        <v>699</v>
      </c>
      <c r="F14" s="745" t="s">
        <v>700</v>
      </c>
      <c r="G14" s="745" t="s">
        <v>701</v>
      </c>
      <c r="H14" s="745" t="s">
        <v>778</v>
      </c>
      <c r="I14" s="745" t="s">
        <v>702</v>
      </c>
      <c r="J14" s="745" t="s">
        <v>703</v>
      </c>
      <c r="K14" s="745" t="s">
        <v>704</v>
      </c>
      <c r="L14" s="746" t="s">
        <v>765</v>
      </c>
      <c r="M14" s="747" t="s">
        <v>779</v>
      </c>
      <c r="N14" s="747" t="s">
        <v>707</v>
      </c>
      <c r="O14" s="971" t="s">
        <v>708</v>
      </c>
    </row>
    <row r="15" spans="1:15" ht="26.25">
      <c r="A15" s="675"/>
      <c r="B15" s="965"/>
      <c r="C15" s="978"/>
      <c r="D15" s="749" t="s">
        <v>709</v>
      </c>
      <c r="E15" s="749" t="s">
        <v>710</v>
      </c>
      <c r="F15" s="749" t="s">
        <v>711</v>
      </c>
      <c r="G15" s="749" t="s">
        <v>712</v>
      </c>
      <c r="H15" s="800" t="s">
        <v>717</v>
      </c>
      <c r="I15" s="751" t="s">
        <v>780</v>
      </c>
      <c r="J15" s="749" t="s">
        <v>715</v>
      </c>
      <c r="K15" s="749" t="s">
        <v>716</v>
      </c>
      <c r="L15" s="801" t="s">
        <v>781</v>
      </c>
      <c r="M15" s="753" t="s">
        <v>718</v>
      </c>
      <c r="N15" s="753" t="s">
        <v>770</v>
      </c>
      <c r="O15" s="972"/>
    </row>
    <row r="16" spans="1:15" ht="15">
      <c r="A16" s="675"/>
      <c r="B16" s="719">
        <v>1805</v>
      </c>
      <c r="C16" s="802" t="s">
        <v>720</v>
      </c>
      <c r="D16" s="756">
        <v>10386333.870000001</v>
      </c>
      <c r="E16" s="756"/>
      <c r="F16" s="756">
        <f aca="true" t="shared" si="0" ref="F16:F51">D16-E16</f>
        <v>10386333.870000001</v>
      </c>
      <c r="G16" s="756">
        <v>492972.02</v>
      </c>
      <c r="H16" s="756"/>
      <c r="I16" s="756">
        <f aca="true" t="shared" si="1" ref="I16:I52">F16+0.5*G16+0.5*H16</f>
        <v>10632819.88</v>
      </c>
      <c r="J16" s="816">
        <v>0</v>
      </c>
      <c r="K16" s="804">
        <f>IF(J16=0,"",1/J16)</f>
      </c>
      <c r="L16" s="759">
        <f aca="true" t="shared" si="2" ref="L16:L21">IF(J16=0,"",I16/J16)</f>
      </c>
      <c r="M16" s="759"/>
      <c r="N16" s="759"/>
      <c r="O16" s="765"/>
    </row>
    <row r="17" spans="1:15" ht="15">
      <c r="A17" s="675"/>
      <c r="B17" s="761">
        <v>1806</v>
      </c>
      <c r="C17" s="762" t="s">
        <v>722</v>
      </c>
      <c r="D17" s="756">
        <v>730285.31</v>
      </c>
      <c r="E17" s="756"/>
      <c r="F17" s="756">
        <f t="shared" si="0"/>
        <v>730285.31</v>
      </c>
      <c r="G17" s="756">
        <v>29949.98</v>
      </c>
      <c r="H17" s="756"/>
      <c r="I17" s="756">
        <f t="shared" si="1"/>
        <v>745260.3</v>
      </c>
      <c r="J17" s="816">
        <v>0</v>
      </c>
      <c r="K17" s="804"/>
      <c r="L17" s="759">
        <f t="shared" si="2"/>
      </c>
      <c r="M17" s="759"/>
      <c r="N17" s="759">
        <v>0</v>
      </c>
      <c r="O17" s="765"/>
    </row>
    <row r="18" spans="1:15" ht="15">
      <c r="A18" s="675"/>
      <c r="B18" s="719">
        <v>1808</v>
      </c>
      <c r="C18" s="802" t="s">
        <v>723</v>
      </c>
      <c r="D18" s="756">
        <v>7170856.189999975</v>
      </c>
      <c r="E18" s="756">
        <v>103323.28500000149</v>
      </c>
      <c r="F18" s="756">
        <f t="shared" si="0"/>
        <v>7067532.904999974</v>
      </c>
      <c r="G18" s="756">
        <v>154345.65</v>
      </c>
      <c r="H18" s="756"/>
      <c r="I18" s="756">
        <f t="shared" si="1"/>
        <v>7144705.729999974</v>
      </c>
      <c r="J18" s="816">
        <v>50</v>
      </c>
      <c r="K18" s="804">
        <f aca="true" t="shared" si="3" ref="K18:K33">IF(J18=0,"",1/J18)</f>
        <v>0.02</v>
      </c>
      <c r="L18" s="759">
        <f t="shared" si="2"/>
        <v>142894.11459999948</v>
      </c>
      <c r="M18" s="759">
        <v>142894</v>
      </c>
      <c r="N18" s="759">
        <f>+L18-M18</f>
        <v>0.11459999947692268</v>
      </c>
      <c r="O18" s="760" t="s">
        <v>721</v>
      </c>
    </row>
    <row r="19" spans="1:15" ht="15">
      <c r="A19" s="675"/>
      <c r="B19" s="719">
        <v>1810</v>
      </c>
      <c r="C19" s="762" t="s">
        <v>782</v>
      </c>
      <c r="D19" s="756">
        <v>8404299.690000001</v>
      </c>
      <c r="E19" s="756"/>
      <c r="F19" s="756">
        <f t="shared" si="0"/>
        <v>8404299.690000001</v>
      </c>
      <c r="G19" s="756">
        <v>779589.23</v>
      </c>
      <c r="H19" s="756"/>
      <c r="I19" s="756">
        <f t="shared" si="1"/>
        <v>8794094.305000002</v>
      </c>
      <c r="J19" s="816">
        <v>0</v>
      </c>
      <c r="K19" s="804">
        <f t="shared" si="3"/>
      </c>
      <c r="L19" s="759">
        <f t="shared" si="2"/>
      </c>
      <c r="M19" s="759"/>
      <c r="N19" s="759">
        <v>0</v>
      </c>
      <c r="O19" s="765" t="s">
        <v>721</v>
      </c>
    </row>
    <row r="20" spans="1:15" ht="15">
      <c r="A20" s="675"/>
      <c r="B20" s="719">
        <v>1815</v>
      </c>
      <c r="C20" s="802" t="s">
        <v>725</v>
      </c>
      <c r="D20" s="756">
        <v>121677029</v>
      </c>
      <c r="E20" s="756">
        <v>1123742.08</v>
      </c>
      <c r="F20" s="756">
        <f t="shared" si="0"/>
        <v>120553286.92</v>
      </c>
      <c r="G20" s="756">
        <v>4917684.46</v>
      </c>
      <c r="H20" s="756"/>
      <c r="I20" s="756">
        <f t="shared" si="1"/>
        <v>123012129.15</v>
      </c>
      <c r="J20" s="816">
        <v>40</v>
      </c>
      <c r="K20" s="804">
        <f t="shared" si="3"/>
        <v>0.025</v>
      </c>
      <c r="L20" s="759">
        <f t="shared" si="2"/>
        <v>3075303.2287500002</v>
      </c>
      <c r="M20" s="759">
        <v>3070586</v>
      </c>
      <c r="N20" s="759">
        <f>+L20-M20</f>
        <v>4717.228750000242</v>
      </c>
      <c r="O20" s="760" t="s">
        <v>721</v>
      </c>
    </row>
    <row r="21" spans="1:15" ht="15">
      <c r="A21" s="675"/>
      <c r="B21" s="769">
        <v>1820</v>
      </c>
      <c r="C21" s="776" t="s">
        <v>726</v>
      </c>
      <c r="D21" s="756">
        <v>34115942</v>
      </c>
      <c r="E21" s="756">
        <f>2237501.57+519352.27</f>
        <v>2756853.84</v>
      </c>
      <c r="F21" s="756">
        <f t="shared" si="0"/>
        <v>31359088.16</v>
      </c>
      <c r="G21" s="756">
        <v>2648450.17</v>
      </c>
      <c r="H21" s="756"/>
      <c r="I21" s="756">
        <f t="shared" si="1"/>
        <v>32683313.245</v>
      </c>
      <c r="J21" s="816">
        <v>30</v>
      </c>
      <c r="K21" s="804">
        <f t="shared" si="3"/>
        <v>0.03333333333333333</v>
      </c>
      <c r="L21" s="759">
        <f t="shared" si="2"/>
        <v>1089443.7748333334</v>
      </c>
      <c r="M21" s="759">
        <v>1094159</v>
      </c>
      <c r="N21" s="759">
        <f>+L21-M21</f>
        <v>-4715.225166666554</v>
      </c>
      <c r="O21" s="760" t="s">
        <v>721</v>
      </c>
    </row>
    <row r="22" spans="1:15" ht="15">
      <c r="A22" s="675"/>
      <c r="B22" s="769">
        <v>1825</v>
      </c>
      <c r="C22" s="776" t="s">
        <v>727</v>
      </c>
      <c r="D22" s="756"/>
      <c r="E22" s="756"/>
      <c r="F22" s="756">
        <f t="shared" si="0"/>
        <v>0</v>
      </c>
      <c r="G22" s="756">
        <v>0</v>
      </c>
      <c r="H22" s="756"/>
      <c r="I22" s="756">
        <f t="shared" si="1"/>
        <v>0</v>
      </c>
      <c r="J22" s="816">
        <v>0</v>
      </c>
      <c r="K22" s="804">
        <f t="shared" si="3"/>
      </c>
      <c r="L22" s="759">
        <v>0</v>
      </c>
      <c r="M22" s="759">
        <v>0</v>
      </c>
      <c r="N22" s="759">
        <v>0</v>
      </c>
      <c r="O22" s="765"/>
    </row>
    <row r="23" spans="1:15" ht="15">
      <c r="A23" s="675"/>
      <c r="B23" s="769">
        <v>1830</v>
      </c>
      <c r="C23" s="776" t="s">
        <v>728</v>
      </c>
      <c r="D23" s="756">
        <v>140109147.5099999</v>
      </c>
      <c r="E23" s="756">
        <f>10144717.94+1810516.79+676629.18</f>
        <v>12631863.91</v>
      </c>
      <c r="F23" s="756">
        <f t="shared" si="0"/>
        <v>127477283.5999999</v>
      </c>
      <c r="G23" s="756">
        <v>13556641.25</v>
      </c>
      <c r="H23" s="756"/>
      <c r="I23" s="756">
        <f t="shared" si="1"/>
        <v>134255604.2249999</v>
      </c>
      <c r="J23" s="816">
        <v>25</v>
      </c>
      <c r="K23" s="804">
        <f t="shared" si="3"/>
        <v>0.04</v>
      </c>
      <c r="L23" s="759">
        <f aca="true" t="shared" si="4" ref="L23:L33">IF(J23=0,"",I23/J23)</f>
        <v>5370224.168999996</v>
      </c>
      <c r="M23" s="759">
        <v>5370224</v>
      </c>
      <c r="N23" s="759">
        <f aca="true" t="shared" si="5" ref="N23:N33">+L23-M23</f>
        <v>0.16899999603629112</v>
      </c>
      <c r="O23" s="760" t="s">
        <v>721</v>
      </c>
    </row>
    <row r="24" spans="1:15" ht="15">
      <c r="A24" s="675"/>
      <c r="B24" s="769">
        <v>1835</v>
      </c>
      <c r="C24" s="776" t="s">
        <v>729</v>
      </c>
      <c r="D24" s="756">
        <v>170577444.8899999</v>
      </c>
      <c r="E24" s="756">
        <f>19348320.01+1450519.43+2039659.25</f>
        <v>22838498.69</v>
      </c>
      <c r="F24" s="756">
        <f t="shared" si="0"/>
        <v>147738946.1999999</v>
      </c>
      <c r="G24" s="756">
        <v>7383703.05</v>
      </c>
      <c r="H24" s="756"/>
      <c r="I24" s="756">
        <f t="shared" si="1"/>
        <v>151430797.7249999</v>
      </c>
      <c r="J24" s="816">
        <v>25</v>
      </c>
      <c r="K24" s="804">
        <f t="shared" si="3"/>
        <v>0.04</v>
      </c>
      <c r="L24" s="759">
        <f t="shared" si="4"/>
        <v>6057231.908999996</v>
      </c>
      <c r="M24" s="759">
        <v>6057232.08</v>
      </c>
      <c r="N24" s="759">
        <f t="shared" si="5"/>
        <v>-0.17100000381469727</v>
      </c>
      <c r="O24" s="760" t="s">
        <v>721</v>
      </c>
    </row>
    <row r="25" spans="1:15" ht="15">
      <c r="A25" s="675"/>
      <c r="B25" s="769">
        <v>1840</v>
      </c>
      <c r="C25" s="776" t="s">
        <v>730</v>
      </c>
      <c r="D25" s="756">
        <v>112414030.35</v>
      </c>
      <c r="E25" s="756">
        <f>7051263.59+2053387.25+6741189.57</f>
        <v>15845840.41</v>
      </c>
      <c r="F25" s="756">
        <f t="shared" si="0"/>
        <v>96568189.94</v>
      </c>
      <c r="G25" s="756">
        <v>13281591.81</v>
      </c>
      <c r="H25" s="756"/>
      <c r="I25" s="756">
        <f t="shared" si="1"/>
        <v>103208985.845</v>
      </c>
      <c r="J25" s="816">
        <v>25</v>
      </c>
      <c r="K25" s="804">
        <f t="shared" si="3"/>
        <v>0.04</v>
      </c>
      <c r="L25" s="759">
        <f t="shared" si="4"/>
        <v>4128359.4337999998</v>
      </c>
      <c r="M25" s="759">
        <v>4128359</v>
      </c>
      <c r="N25" s="759">
        <f t="shared" si="5"/>
        <v>0.43379999976605177</v>
      </c>
      <c r="O25" s="760" t="s">
        <v>721</v>
      </c>
    </row>
    <row r="26" spans="1:15" ht="15">
      <c r="A26" s="675"/>
      <c r="B26" s="769">
        <v>1845</v>
      </c>
      <c r="C26" s="776" t="s">
        <v>731</v>
      </c>
      <c r="D26" s="756">
        <v>335710139.0099999</v>
      </c>
      <c r="E26" s="756">
        <f>30906116.11+3664368.55+6452517.3</f>
        <v>41023001.95999999</v>
      </c>
      <c r="F26" s="756">
        <f t="shared" si="0"/>
        <v>294687137.0499999</v>
      </c>
      <c r="G26" s="756">
        <v>14624945.26</v>
      </c>
      <c r="H26" s="756"/>
      <c r="I26" s="756">
        <f t="shared" si="1"/>
        <v>301999609.6799999</v>
      </c>
      <c r="J26" s="816">
        <v>25</v>
      </c>
      <c r="K26" s="804">
        <f t="shared" si="3"/>
        <v>0.04</v>
      </c>
      <c r="L26" s="759">
        <f t="shared" si="4"/>
        <v>12079984.387199996</v>
      </c>
      <c r="M26" s="759">
        <v>12079984.68</v>
      </c>
      <c r="N26" s="759">
        <f t="shared" si="5"/>
        <v>-0.2928000036627054</v>
      </c>
      <c r="O26" s="760" t="s">
        <v>721</v>
      </c>
    </row>
    <row r="27" spans="1:15" ht="15">
      <c r="A27" s="675"/>
      <c r="B27" s="769">
        <v>1850</v>
      </c>
      <c r="C27" s="762" t="s">
        <v>732</v>
      </c>
      <c r="D27" s="756">
        <v>53644465.52</v>
      </c>
      <c r="E27" s="756">
        <f>12741111.22+888339.57</f>
        <v>13629450.790000001</v>
      </c>
      <c r="F27" s="756">
        <f t="shared" si="0"/>
        <v>40015014.730000004</v>
      </c>
      <c r="G27" s="756">
        <v>1553952.37</v>
      </c>
      <c r="H27" s="756"/>
      <c r="I27" s="756">
        <f t="shared" si="1"/>
        <v>40791990.91500001</v>
      </c>
      <c r="J27" s="816">
        <v>25</v>
      </c>
      <c r="K27" s="804">
        <f t="shared" si="3"/>
        <v>0.04</v>
      </c>
      <c r="L27" s="759">
        <f t="shared" si="4"/>
        <v>1631679.6366000003</v>
      </c>
      <c r="M27" s="759">
        <v>1631679.8</v>
      </c>
      <c r="N27" s="759">
        <f t="shared" si="5"/>
        <v>-0.16339999972842634</v>
      </c>
      <c r="O27" s="760" t="s">
        <v>721</v>
      </c>
    </row>
    <row r="28" spans="1:15" ht="15">
      <c r="A28" s="675"/>
      <c r="B28" s="769">
        <v>1850</v>
      </c>
      <c r="C28" s="776" t="s">
        <v>733</v>
      </c>
      <c r="D28" s="756">
        <v>209127528.71999997</v>
      </c>
      <c r="E28" s="756">
        <f>14883361.46+4544619.59+4374552.61</f>
        <v>23802533.66</v>
      </c>
      <c r="F28" s="756">
        <f t="shared" si="0"/>
        <v>185324995.05999997</v>
      </c>
      <c r="G28" s="756">
        <v>11123226.43</v>
      </c>
      <c r="H28" s="756"/>
      <c r="I28" s="756">
        <f t="shared" si="1"/>
        <v>190886608.27499998</v>
      </c>
      <c r="J28" s="816">
        <v>25</v>
      </c>
      <c r="K28" s="804">
        <f t="shared" si="3"/>
        <v>0.04</v>
      </c>
      <c r="L28" s="759">
        <f t="shared" si="4"/>
        <v>7635464.330999999</v>
      </c>
      <c r="M28" s="759">
        <v>7635464.48</v>
      </c>
      <c r="N28" s="759">
        <f t="shared" si="5"/>
        <v>-0.14900000113993883</v>
      </c>
      <c r="O28" s="760" t="s">
        <v>721</v>
      </c>
    </row>
    <row r="29" spans="1:15" ht="15">
      <c r="A29" s="675"/>
      <c r="B29" s="769">
        <v>1855</v>
      </c>
      <c r="C29" s="776" t="s">
        <v>734</v>
      </c>
      <c r="D29" s="756">
        <v>13685003.36</v>
      </c>
      <c r="E29" s="756">
        <f>1124255.95+177422.72-214023.88</f>
        <v>1087654.79</v>
      </c>
      <c r="F29" s="756">
        <f t="shared" si="0"/>
        <v>12597348.57</v>
      </c>
      <c r="G29" s="756">
        <v>1435989.98</v>
      </c>
      <c r="H29" s="756"/>
      <c r="I29" s="756">
        <f t="shared" si="1"/>
        <v>13315343.56</v>
      </c>
      <c r="J29" s="816">
        <v>25</v>
      </c>
      <c r="K29" s="804">
        <f t="shared" si="3"/>
        <v>0.04</v>
      </c>
      <c r="L29" s="759">
        <f t="shared" si="4"/>
        <v>532613.7424</v>
      </c>
      <c r="M29" s="759">
        <v>532614</v>
      </c>
      <c r="N29" s="759">
        <f t="shared" si="5"/>
        <v>-0.25760000001173466</v>
      </c>
      <c r="O29" s="760" t="s">
        <v>721</v>
      </c>
    </row>
    <row r="30" spans="1:15" ht="15">
      <c r="A30" s="675"/>
      <c r="B30" s="769">
        <v>1855</v>
      </c>
      <c r="C30" s="762" t="s">
        <v>735</v>
      </c>
      <c r="D30" s="756">
        <v>91583493.25</v>
      </c>
      <c r="E30" s="756">
        <f>5942900.39+2189311.06+2226062.29</f>
        <v>10358273.739999998</v>
      </c>
      <c r="F30" s="756">
        <f t="shared" si="0"/>
        <v>81225219.51</v>
      </c>
      <c r="G30" s="756">
        <v>3504686.2</v>
      </c>
      <c r="H30" s="756"/>
      <c r="I30" s="756">
        <f t="shared" si="1"/>
        <v>82977562.61</v>
      </c>
      <c r="J30" s="816">
        <v>25</v>
      </c>
      <c r="K30" s="804">
        <f t="shared" si="3"/>
        <v>0.04</v>
      </c>
      <c r="L30" s="759">
        <f t="shared" si="4"/>
        <v>3319102.5044</v>
      </c>
      <c r="M30" s="759">
        <v>3319103</v>
      </c>
      <c r="N30" s="759">
        <f t="shared" si="5"/>
        <v>-0.49560000002384186</v>
      </c>
      <c r="O30" s="760" t="s">
        <v>721</v>
      </c>
    </row>
    <row r="31" spans="1:15" ht="15">
      <c r="A31" s="675"/>
      <c r="B31" s="769">
        <v>1860</v>
      </c>
      <c r="C31" s="776" t="s">
        <v>736</v>
      </c>
      <c r="D31" s="756">
        <v>8050423.929999955</v>
      </c>
      <c r="E31" s="756">
        <f>504057.78+2111358-4370020.93</f>
        <v>-1754605.1499999994</v>
      </c>
      <c r="F31" s="756">
        <f t="shared" si="0"/>
        <v>9805029.079999954</v>
      </c>
      <c r="G31" s="756">
        <v>1420053.46</v>
      </c>
      <c r="H31" s="756">
        <v>-2111358</v>
      </c>
      <c r="I31" s="756">
        <f t="shared" si="1"/>
        <v>9459376.809999954</v>
      </c>
      <c r="J31" s="816">
        <v>25</v>
      </c>
      <c r="K31" s="804">
        <f t="shared" si="3"/>
        <v>0.04</v>
      </c>
      <c r="L31" s="759">
        <f t="shared" si="4"/>
        <v>378375.07239999814</v>
      </c>
      <c r="M31" s="759">
        <v>420601.76</v>
      </c>
      <c r="N31" s="759">
        <f t="shared" si="5"/>
        <v>-42226.68760000187</v>
      </c>
      <c r="O31" s="760" t="s">
        <v>721</v>
      </c>
    </row>
    <row r="32" spans="1:15" ht="15">
      <c r="A32" s="675"/>
      <c r="B32" s="769">
        <v>1860</v>
      </c>
      <c r="C32" s="807" t="s">
        <v>737</v>
      </c>
      <c r="D32" s="756">
        <v>8375919.6</v>
      </c>
      <c r="E32" s="756">
        <f>281043-94177.1</f>
        <v>186865.9</v>
      </c>
      <c r="F32" s="756">
        <f t="shared" si="0"/>
        <v>8189053.699999999</v>
      </c>
      <c r="G32" s="756">
        <v>2749731.56</v>
      </c>
      <c r="H32" s="756">
        <v>-281043</v>
      </c>
      <c r="I32" s="756">
        <f t="shared" si="1"/>
        <v>9423397.979999999</v>
      </c>
      <c r="J32" s="816">
        <v>25</v>
      </c>
      <c r="K32" s="804">
        <f t="shared" si="3"/>
        <v>0.04</v>
      </c>
      <c r="L32" s="759">
        <f t="shared" si="4"/>
        <v>376935.91919999995</v>
      </c>
      <c r="M32" s="759">
        <v>382557</v>
      </c>
      <c r="N32" s="759">
        <f t="shared" si="5"/>
        <v>-5621.080800000054</v>
      </c>
      <c r="O32" s="760" t="s">
        <v>721</v>
      </c>
    </row>
    <row r="33" spans="1:15" ht="15">
      <c r="A33" s="675"/>
      <c r="B33" s="769">
        <v>1860</v>
      </c>
      <c r="C33" s="773" t="s">
        <v>783</v>
      </c>
      <c r="D33" s="756">
        <v>28061494.92</v>
      </c>
      <c r="E33" s="756"/>
      <c r="F33" s="756">
        <f t="shared" si="0"/>
        <v>28061494.92</v>
      </c>
      <c r="G33" s="756">
        <v>22969679.14</v>
      </c>
      <c r="H33" s="756"/>
      <c r="I33" s="756">
        <f t="shared" si="1"/>
        <v>39546334.49</v>
      </c>
      <c r="J33" s="816">
        <v>15</v>
      </c>
      <c r="K33" s="804">
        <f t="shared" si="3"/>
        <v>0.06666666666666667</v>
      </c>
      <c r="L33" s="759">
        <f t="shared" si="4"/>
        <v>2636422.2993333335</v>
      </c>
      <c r="M33" s="759">
        <v>3753683</v>
      </c>
      <c r="N33" s="759">
        <f t="shared" si="5"/>
        <v>-1117260.7006666665</v>
      </c>
      <c r="O33" s="760" t="s">
        <v>721</v>
      </c>
    </row>
    <row r="34" spans="1:15" ht="15">
      <c r="A34" s="675"/>
      <c r="B34" s="774">
        <v>1870</v>
      </c>
      <c r="C34" s="762" t="s">
        <v>739</v>
      </c>
      <c r="D34" s="756">
        <v>575421</v>
      </c>
      <c r="E34" s="756">
        <v>575421</v>
      </c>
      <c r="F34" s="756">
        <f t="shared" si="0"/>
        <v>0</v>
      </c>
      <c r="G34" s="756">
        <v>0</v>
      </c>
      <c r="H34" s="756"/>
      <c r="I34" s="756">
        <f t="shared" si="1"/>
        <v>0</v>
      </c>
      <c r="J34" s="816">
        <v>0</v>
      </c>
      <c r="K34" s="804"/>
      <c r="L34" s="759">
        <v>0</v>
      </c>
      <c r="M34" s="759">
        <v>0</v>
      </c>
      <c r="N34" s="759">
        <v>0</v>
      </c>
      <c r="O34" s="765"/>
    </row>
    <row r="35" spans="1:15" ht="15">
      <c r="A35" s="675"/>
      <c r="B35" s="769">
        <v>1908</v>
      </c>
      <c r="C35" s="776" t="s">
        <v>740</v>
      </c>
      <c r="D35" s="756">
        <v>46053909</v>
      </c>
      <c r="E35" s="817">
        <f>20346.14+16504.21</f>
        <v>36850.35</v>
      </c>
      <c r="F35" s="756">
        <f t="shared" si="0"/>
        <v>46017058.65</v>
      </c>
      <c r="G35" s="756">
        <v>151202.01</v>
      </c>
      <c r="H35" s="756"/>
      <c r="I35" s="756">
        <f t="shared" si="1"/>
        <v>46092659.655</v>
      </c>
      <c r="J35" s="816">
        <v>50</v>
      </c>
      <c r="K35" s="804">
        <f aca="true" t="shared" si="6" ref="K35:K54">IF(J35=0,"",1/J35)</f>
        <v>0.02</v>
      </c>
      <c r="L35" s="759">
        <f aca="true" t="shared" si="7" ref="L35:L54">IF(J35=0,"",I35/J35)</f>
        <v>921853.1931</v>
      </c>
      <c r="M35" s="759">
        <v>921853</v>
      </c>
      <c r="N35" s="759">
        <f aca="true" t="shared" si="8" ref="N35:N44">+L35-M35</f>
        <v>0.19310000003315508</v>
      </c>
      <c r="O35" s="760" t="s">
        <v>721</v>
      </c>
    </row>
    <row r="36" spans="1:15" ht="15">
      <c r="A36" s="675"/>
      <c r="B36" s="769">
        <v>1910</v>
      </c>
      <c r="C36" s="776" t="s">
        <v>741</v>
      </c>
      <c r="D36" s="756">
        <v>0</v>
      </c>
      <c r="E36" s="756"/>
      <c r="F36" s="756">
        <f t="shared" si="0"/>
        <v>0</v>
      </c>
      <c r="G36" s="756">
        <v>0</v>
      </c>
      <c r="H36" s="756"/>
      <c r="I36" s="756">
        <f t="shared" si="1"/>
        <v>0</v>
      </c>
      <c r="J36" s="816">
        <v>15</v>
      </c>
      <c r="K36" s="804">
        <f t="shared" si="6"/>
        <v>0.06666666666666667</v>
      </c>
      <c r="L36" s="759">
        <f t="shared" si="7"/>
        <v>0</v>
      </c>
      <c r="M36" s="759">
        <v>0</v>
      </c>
      <c r="N36" s="759">
        <f t="shared" si="8"/>
        <v>0</v>
      </c>
      <c r="O36" s="760" t="s">
        <v>721</v>
      </c>
    </row>
    <row r="37" spans="1:15" ht="15">
      <c r="A37" s="675"/>
      <c r="B37" s="769">
        <v>1910</v>
      </c>
      <c r="C37" s="776" t="s">
        <v>771</v>
      </c>
      <c r="D37" s="756">
        <v>5712479.609999999</v>
      </c>
      <c r="E37" s="756">
        <f>962163.35+61226.8-27987.52</f>
        <v>995402.63</v>
      </c>
      <c r="F37" s="756">
        <f t="shared" si="0"/>
        <v>4717076.9799999995</v>
      </c>
      <c r="G37" s="756">
        <v>100089.18</v>
      </c>
      <c r="H37" s="756"/>
      <c r="I37" s="756">
        <f t="shared" si="1"/>
        <v>4767121.569999999</v>
      </c>
      <c r="J37" s="816">
        <v>10</v>
      </c>
      <c r="K37" s="804">
        <f t="shared" si="6"/>
        <v>0.1</v>
      </c>
      <c r="L37" s="759">
        <f t="shared" si="7"/>
        <v>476712.15699999995</v>
      </c>
      <c r="M37" s="759">
        <v>476711.9</v>
      </c>
      <c r="N37" s="759">
        <f t="shared" si="8"/>
        <v>0.25699999992502853</v>
      </c>
      <c r="O37" s="760" t="s">
        <v>721</v>
      </c>
    </row>
    <row r="38" spans="1:15" ht="15">
      <c r="A38" s="675"/>
      <c r="B38" s="769">
        <v>1915</v>
      </c>
      <c r="C38" s="776" t="s">
        <v>744</v>
      </c>
      <c r="D38" s="756">
        <v>18154189</v>
      </c>
      <c r="E38" s="756">
        <f>10230706.54+501848.19+759996.67+81493.16+316557.1-719444.94</f>
        <v>11171156.719999999</v>
      </c>
      <c r="F38" s="756">
        <f t="shared" si="0"/>
        <v>6983032.280000001</v>
      </c>
      <c r="G38" s="756">
        <v>1229491.34</v>
      </c>
      <c r="H38" s="756"/>
      <c r="I38" s="756">
        <f t="shared" si="1"/>
        <v>7597777.950000001</v>
      </c>
      <c r="J38" s="816">
        <v>5</v>
      </c>
      <c r="K38" s="804">
        <f t="shared" si="6"/>
        <v>0.2</v>
      </c>
      <c r="L38" s="759">
        <f t="shared" si="7"/>
        <v>1519555.5900000003</v>
      </c>
      <c r="M38" s="759">
        <v>1519556</v>
      </c>
      <c r="N38" s="759">
        <f t="shared" si="8"/>
        <v>-0.4099999996833503</v>
      </c>
      <c r="O38" s="760" t="s">
        <v>721</v>
      </c>
    </row>
    <row r="39" spans="1:15" ht="15">
      <c r="A39" s="675"/>
      <c r="B39" s="769">
        <v>1920</v>
      </c>
      <c r="C39" s="776" t="s">
        <v>745</v>
      </c>
      <c r="D39" s="756">
        <v>18544815.87</v>
      </c>
      <c r="E39" s="756">
        <f>12435790.04-59089.91+15826.69+2402629.73-3332508.19</f>
        <v>11462648.36</v>
      </c>
      <c r="F39" s="756">
        <f t="shared" si="0"/>
        <v>7082167.510000002</v>
      </c>
      <c r="G39" s="756">
        <v>4201921.11</v>
      </c>
      <c r="H39" s="756"/>
      <c r="I39" s="756">
        <f t="shared" si="1"/>
        <v>9183128.065000001</v>
      </c>
      <c r="J39" s="816">
        <v>3</v>
      </c>
      <c r="K39" s="804">
        <f t="shared" si="6"/>
        <v>0.3333333333333333</v>
      </c>
      <c r="L39" s="759">
        <f t="shared" si="7"/>
        <v>3061042.688333334</v>
      </c>
      <c r="M39" s="759">
        <v>3055570</v>
      </c>
      <c r="N39" s="759">
        <f t="shared" si="8"/>
        <v>5472.688333333936</v>
      </c>
      <c r="O39" s="760" t="s">
        <v>721</v>
      </c>
    </row>
    <row r="40" spans="1:15" ht="15">
      <c r="A40" s="675"/>
      <c r="B40" s="769">
        <v>1930</v>
      </c>
      <c r="C40" s="776" t="s">
        <v>746</v>
      </c>
      <c r="D40" s="756">
        <v>22794685</v>
      </c>
      <c r="E40" s="756">
        <f>6930502.87+1309248.9+457679.92-1751281.54</f>
        <v>6946150.149999999</v>
      </c>
      <c r="F40" s="756">
        <f t="shared" si="0"/>
        <v>15848534.850000001</v>
      </c>
      <c r="G40" s="756">
        <v>1145264.86</v>
      </c>
      <c r="H40" s="756">
        <v>-1766928.9</v>
      </c>
      <c r="I40" s="756">
        <f t="shared" si="1"/>
        <v>15537702.830000002</v>
      </c>
      <c r="J40" s="816">
        <v>6.5</v>
      </c>
      <c r="K40" s="804">
        <f t="shared" si="6"/>
        <v>0.15384615384615385</v>
      </c>
      <c r="L40" s="759">
        <f t="shared" si="7"/>
        <v>2390415.8200000003</v>
      </c>
      <c r="M40" s="759">
        <v>2531334</v>
      </c>
      <c r="N40" s="759">
        <f t="shared" si="8"/>
        <v>-140918.1799999997</v>
      </c>
      <c r="O40" s="760" t="s">
        <v>721</v>
      </c>
    </row>
    <row r="41" spans="1:15" ht="15">
      <c r="A41" s="675"/>
      <c r="B41" s="769">
        <v>1935</v>
      </c>
      <c r="C41" s="776" t="s">
        <v>747</v>
      </c>
      <c r="D41" s="756">
        <v>187317.3</v>
      </c>
      <c r="E41" s="756">
        <v>190894.9</v>
      </c>
      <c r="F41" s="756">
        <f t="shared" si="0"/>
        <v>-3577.600000000006</v>
      </c>
      <c r="G41" s="756">
        <v>0</v>
      </c>
      <c r="H41" s="756"/>
      <c r="I41" s="756">
        <f t="shared" si="1"/>
        <v>-3577.600000000006</v>
      </c>
      <c r="J41" s="816">
        <v>10</v>
      </c>
      <c r="K41" s="804">
        <f t="shared" si="6"/>
        <v>0.1</v>
      </c>
      <c r="L41" s="759">
        <f t="shared" si="7"/>
        <v>-357.76000000000056</v>
      </c>
      <c r="M41" s="759">
        <v>-357.8</v>
      </c>
      <c r="N41" s="759">
        <f t="shared" si="8"/>
        <v>0.03999999999945203</v>
      </c>
      <c r="O41" s="760" t="s">
        <v>721</v>
      </c>
    </row>
    <row r="42" spans="1:15" ht="15">
      <c r="A42" s="675"/>
      <c r="B42" s="769">
        <v>1940</v>
      </c>
      <c r="C42" s="776" t="s">
        <v>748</v>
      </c>
      <c r="D42" s="756">
        <v>6342144.07</v>
      </c>
      <c r="E42" s="756">
        <f>2858291.28+292696.23-89575.3</f>
        <v>3061412.21</v>
      </c>
      <c r="F42" s="756">
        <f t="shared" si="0"/>
        <v>3280731.8600000003</v>
      </c>
      <c r="G42" s="756">
        <v>558801.92</v>
      </c>
      <c r="H42" s="756"/>
      <c r="I42" s="756">
        <f t="shared" si="1"/>
        <v>3560132.8200000003</v>
      </c>
      <c r="J42" s="816">
        <v>10</v>
      </c>
      <c r="K42" s="804">
        <f t="shared" si="6"/>
        <v>0.1</v>
      </c>
      <c r="L42" s="759">
        <f t="shared" si="7"/>
        <v>356013.282</v>
      </c>
      <c r="M42" s="759">
        <v>356013.1</v>
      </c>
      <c r="N42" s="759">
        <f t="shared" si="8"/>
        <v>0.18200000002980232</v>
      </c>
      <c r="O42" s="760" t="s">
        <v>721</v>
      </c>
    </row>
    <row r="43" spans="1:15" ht="15">
      <c r="A43" s="675"/>
      <c r="B43" s="769">
        <v>1955</v>
      </c>
      <c r="C43" s="776" t="s">
        <v>749</v>
      </c>
      <c r="D43" s="756">
        <v>2046516.44</v>
      </c>
      <c r="E43" s="756">
        <f>263339.74+17558.59+20141.41</f>
        <v>301039.74</v>
      </c>
      <c r="F43" s="756">
        <f t="shared" si="0"/>
        <v>1745476.7</v>
      </c>
      <c r="G43" s="756">
        <v>264044.76</v>
      </c>
      <c r="H43" s="756"/>
      <c r="I43" s="756">
        <f t="shared" si="1"/>
        <v>1877499.08</v>
      </c>
      <c r="J43" s="816">
        <v>10</v>
      </c>
      <c r="K43" s="804">
        <f t="shared" si="6"/>
        <v>0.1</v>
      </c>
      <c r="L43" s="759">
        <f t="shared" si="7"/>
        <v>187749.908</v>
      </c>
      <c r="M43" s="759">
        <v>187750</v>
      </c>
      <c r="N43" s="759">
        <f t="shared" si="8"/>
        <v>-0.09200000000419095</v>
      </c>
      <c r="O43" s="760" t="s">
        <v>721</v>
      </c>
    </row>
    <row r="44" spans="1:15" ht="15">
      <c r="A44" s="675"/>
      <c r="B44" s="769">
        <v>1955</v>
      </c>
      <c r="C44" s="762" t="s">
        <v>751</v>
      </c>
      <c r="D44" s="756">
        <v>82268.65</v>
      </c>
      <c r="E44" s="756">
        <f>26672.11-11064.22</f>
        <v>15607.890000000001</v>
      </c>
      <c r="F44" s="756">
        <f t="shared" si="0"/>
        <v>66660.76</v>
      </c>
      <c r="G44" s="756">
        <v>14922.9</v>
      </c>
      <c r="H44" s="756"/>
      <c r="I44" s="756">
        <f t="shared" si="1"/>
        <v>74122.20999999999</v>
      </c>
      <c r="J44" s="816">
        <v>3</v>
      </c>
      <c r="K44" s="804">
        <f t="shared" si="6"/>
        <v>0.3333333333333333</v>
      </c>
      <c r="L44" s="759">
        <f t="shared" si="7"/>
        <v>24707.403333333332</v>
      </c>
      <c r="M44" s="759">
        <v>24707</v>
      </c>
      <c r="N44" s="759">
        <f t="shared" si="8"/>
        <v>0.40333333333182964</v>
      </c>
      <c r="O44" s="760" t="s">
        <v>721</v>
      </c>
    </row>
    <row r="45" spans="1:15" ht="15">
      <c r="A45" s="675"/>
      <c r="B45" s="769">
        <v>1960</v>
      </c>
      <c r="C45" s="776" t="s">
        <v>752</v>
      </c>
      <c r="D45" s="756"/>
      <c r="E45" s="756"/>
      <c r="F45" s="756">
        <f t="shared" si="0"/>
        <v>0</v>
      </c>
      <c r="G45" s="756">
        <v>0</v>
      </c>
      <c r="H45" s="756"/>
      <c r="I45" s="756">
        <f t="shared" si="1"/>
        <v>0</v>
      </c>
      <c r="J45" s="816">
        <v>0</v>
      </c>
      <c r="K45" s="804">
        <f t="shared" si="6"/>
      </c>
      <c r="L45" s="759">
        <f t="shared" si="7"/>
      </c>
      <c r="M45" s="759">
        <v>0</v>
      </c>
      <c r="N45" s="759">
        <v>0</v>
      </c>
      <c r="O45" s="760" t="s">
        <v>721</v>
      </c>
    </row>
    <row r="46" spans="1:15" ht="15">
      <c r="A46" s="675"/>
      <c r="B46" s="769">
        <v>1961</v>
      </c>
      <c r="C46" s="762" t="s">
        <v>753</v>
      </c>
      <c r="D46" s="756">
        <v>1792926.55</v>
      </c>
      <c r="E46" s="756">
        <v>1830514.39</v>
      </c>
      <c r="F46" s="756">
        <f t="shared" si="0"/>
        <v>-37587.83999999985</v>
      </c>
      <c r="G46" s="756">
        <v>122797.8</v>
      </c>
      <c r="H46" s="756"/>
      <c r="I46" s="756">
        <f t="shared" si="1"/>
        <v>23811.06000000015</v>
      </c>
      <c r="J46" s="816">
        <v>3</v>
      </c>
      <c r="K46" s="804">
        <f t="shared" si="6"/>
        <v>0.3333333333333333</v>
      </c>
      <c r="L46" s="759">
        <f t="shared" si="7"/>
        <v>7937.0200000000505</v>
      </c>
      <c r="M46" s="759">
        <v>7937</v>
      </c>
      <c r="N46" s="759">
        <f aca="true" t="shared" si="9" ref="N46:N52">+L46-M46</f>
        <v>0.020000000050458766</v>
      </c>
      <c r="O46" s="760" t="s">
        <v>721</v>
      </c>
    </row>
    <row r="47" spans="1:15" ht="15">
      <c r="A47" s="675"/>
      <c r="B47" s="769">
        <v>1980</v>
      </c>
      <c r="C47" s="776" t="s">
        <v>755</v>
      </c>
      <c r="D47" s="756">
        <v>18993192</v>
      </c>
      <c r="E47" s="756">
        <f>2418547.63+1468139.04</f>
        <v>3886686.67</v>
      </c>
      <c r="F47" s="756">
        <f t="shared" si="0"/>
        <v>15106505.33</v>
      </c>
      <c r="G47" s="756">
        <v>449935.98</v>
      </c>
      <c r="H47" s="756"/>
      <c r="I47" s="756">
        <f t="shared" si="1"/>
        <v>15331473.32</v>
      </c>
      <c r="J47" s="816">
        <v>15</v>
      </c>
      <c r="K47" s="804">
        <f t="shared" si="6"/>
        <v>0.06666666666666667</v>
      </c>
      <c r="L47" s="759">
        <f t="shared" si="7"/>
        <v>1022098.2213333334</v>
      </c>
      <c r="M47" s="759">
        <v>1022098</v>
      </c>
      <c r="N47" s="759">
        <f t="shared" si="9"/>
        <v>0.2213333334075287</v>
      </c>
      <c r="O47" s="760" t="s">
        <v>721</v>
      </c>
    </row>
    <row r="48" spans="1:15" ht="15">
      <c r="A48" s="675"/>
      <c r="B48" s="769">
        <v>1980</v>
      </c>
      <c r="C48" s="818" t="s">
        <v>756</v>
      </c>
      <c r="D48" s="756"/>
      <c r="E48" s="756"/>
      <c r="F48" s="756">
        <f t="shared" si="0"/>
        <v>0</v>
      </c>
      <c r="G48" s="756">
        <v>0</v>
      </c>
      <c r="H48" s="756"/>
      <c r="I48" s="756">
        <f t="shared" si="1"/>
        <v>0</v>
      </c>
      <c r="J48" s="816">
        <v>25</v>
      </c>
      <c r="K48" s="804">
        <f t="shared" si="6"/>
        <v>0.04</v>
      </c>
      <c r="L48" s="759">
        <f t="shared" si="7"/>
        <v>0</v>
      </c>
      <c r="M48" s="759"/>
      <c r="N48" s="759">
        <f t="shared" si="9"/>
        <v>0</v>
      </c>
      <c r="O48" s="760" t="s">
        <v>721</v>
      </c>
    </row>
    <row r="49" spans="1:15" ht="15">
      <c r="A49" s="675"/>
      <c r="B49" s="769">
        <v>1995</v>
      </c>
      <c r="C49" s="776" t="s">
        <v>757</v>
      </c>
      <c r="D49" s="819">
        <f>283353296.369825*-1</f>
        <v>-283353296.369825</v>
      </c>
      <c r="E49" s="756"/>
      <c r="F49" s="756">
        <f t="shared" si="0"/>
        <v>-283353296.369825</v>
      </c>
      <c r="G49" s="756">
        <v>0</v>
      </c>
      <c r="H49" s="756"/>
      <c r="I49" s="756">
        <f t="shared" si="1"/>
        <v>-283353296.369825</v>
      </c>
      <c r="J49" s="816">
        <v>25</v>
      </c>
      <c r="K49" s="804">
        <f t="shared" si="6"/>
        <v>0.04</v>
      </c>
      <c r="L49" s="759">
        <f t="shared" si="7"/>
        <v>-11334131.854793001</v>
      </c>
      <c r="M49" s="759">
        <v>-11349273.58632575</v>
      </c>
      <c r="N49" s="759">
        <f t="shared" si="9"/>
        <v>15141.731532748789</v>
      </c>
      <c r="O49" s="760" t="s">
        <v>721</v>
      </c>
    </row>
    <row r="50" spans="1:15" ht="15">
      <c r="A50" s="675"/>
      <c r="B50" s="769">
        <v>1995</v>
      </c>
      <c r="C50" s="776" t="s">
        <v>757</v>
      </c>
      <c r="D50" s="756"/>
      <c r="E50" s="756"/>
      <c r="F50" s="756">
        <f t="shared" si="0"/>
        <v>0</v>
      </c>
      <c r="G50" s="819">
        <f>23544870.72*-1</f>
        <v>-23544870.72</v>
      </c>
      <c r="H50" s="756"/>
      <c r="I50" s="756">
        <f t="shared" si="1"/>
        <v>-11772435.36</v>
      </c>
      <c r="J50" s="816">
        <v>25</v>
      </c>
      <c r="K50" s="804">
        <f t="shared" si="6"/>
        <v>0.04</v>
      </c>
      <c r="L50" s="759">
        <f t="shared" si="7"/>
        <v>-470897.41439999995</v>
      </c>
      <c r="M50" s="759">
        <v>-490163</v>
      </c>
      <c r="N50" s="759">
        <f t="shared" si="9"/>
        <v>19265.58560000005</v>
      </c>
      <c r="O50" s="760" t="s">
        <v>721</v>
      </c>
    </row>
    <row r="51" spans="1:15" ht="15">
      <c r="A51" s="675"/>
      <c r="B51" s="769">
        <v>2005</v>
      </c>
      <c r="C51" s="802" t="s">
        <v>784</v>
      </c>
      <c r="D51" s="756">
        <v>18280294.05</v>
      </c>
      <c r="E51" s="756"/>
      <c r="F51" s="756">
        <f t="shared" si="0"/>
        <v>18280294.05</v>
      </c>
      <c r="G51" s="756"/>
      <c r="H51" s="756"/>
      <c r="I51" s="756">
        <f t="shared" si="1"/>
        <v>18280294.05</v>
      </c>
      <c r="J51" s="816">
        <v>25</v>
      </c>
      <c r="K51" s="804">
        <f t="shared" si="6"/>
        <v>0.04</v>
      </c>
      <c r="L51" s="759">
        <f t="shared" si="7"/>
        <v>731211.762</v>
      </c>
      <c r="M51" s="759">
        <v>731212</v>
      </c>
      <c r="N51" s="759">
        <f t="shared" si="9"/>
        <v>-0.2380000000121072</v>
      </c>
      <c r="O51" s="760" t="s">
        <v>721</v>
      </c>
    </row>
    <row r="52" spans="1:15" ht="15">
      <c r="A52" s="675"/>
      <c r="B52" s="774">
        <v>1611</v>
      </c>
      <c r="C52" s="775" t="s">
        <v>785</v>
      </c>
      <c r="D52" s="756"/>
      <c r="E52" s="756">
        <v>0</v>
      </c>
      <c r="F52" s="756"/>
      <c r="G52" s="756">
        <v>609442.28</v>
      </c>
      <c r="H52" s="756"/>
      <c r="I52" s="756">
        <f t="shared" si="1"/>
        <v>304721.14</v>
      </c>
      <c r="J52" s="816">
        <v>19.25</v>
      </c>
      <c r="K52" s="804">
        <f t="shared" si="6"/>
        <v>0.05194805194805195</v>
      </c>
      <c r="L52" s="759">
        <f t="shared" si="7"/>
        <v>15829.669610389612</v>
      </c>
      <c r="M52" s="759">
        <v>28970</v>
      </c>
      <c r="N52" s="759">
        <f t="shared" si="9"/>
        <v>-13140.330389610388</v>
      </c>
      <c r="O52" s="760" t="s">
        <v>721</v>
      </c>
    </row>
    <row r="53" spans="1:15" ht="15">
      <c r="A53" s="675"/>
      <c r="B53" s="769"/>
      <c r="C53" s="776"/>
      <c r="D53" s="756"/>
      <c r="E53" s="756"/>
      <c r="F53" s="756"/>
      <c r="G53" s="756"/>
      <c r="H53" s="756"/>
      <c r="I53" s="756"/>
      <c r="J53" s="816"/>
      <c r="K53" s="820"/>
      <c r="L53" s="759">
        <f t="shared" si="7"/>
      </c>
      <c r="M53" s="759"/>
      <c r="N53" s="759"/>
      <c r="O53" s="765"/>
    </row>
    <row r="54" spans="1:15" ht="15.75" thickBot="1">
      <c r="A54" s="675"/>
      <c r="B54" s="780"/>
      <c r="C54" s="811"/>
      <c r="D54" s="783"/>
      <c r="E54" s="783"/>
      <c r="F54" s="784"/>
      <c r="G54" s="783"/>
      <c r="H54" s="783"/>
      <c r="I54" s="784"/>
      <c r="J54" s="821"/>
      <c r="K54" s="822">
        <f t="shared" si="6"/>
      </c>
      <c r="L54" s="787">
        <f t="shared" si="7"/>
      </c>
      <c r="M54" s="787"/>
      <c r="N54" s="787"/>
      <c r="O54" s="788"/>
    </row>
    <row r="55" spans="1:15" ht="16.5" thickBot="1" thickTop="1">
      <c r="A55" s="675"/>
      <c r="B55" s="789"/>
      <c r="C55" s="813" t="s">
        <v>112</v>
      </c>
      <c r="D55" s="792">
        <f aca="true" t="shared" si="10" ref="D55:I55">SUM(D16:D54)</f>
        <v>1230030699.2901742</v>
      </c>
      <c r="E55" s="792">
        <f t="shared" si="10"/>
        <v>184107082.91499996</v>
      </c>
      <c r="F55" s="792">
        <f t="shared" si="10"/>
        <v>1045923616.3751746</v>
      </c>
      <c r="G55" s="792">
        <f t="shared" si="10"/>
        <v>87930235.44000003</v>
      </c>
      <c r="H55" s="792">
        <f t="shared" si="10"/>
        <v>-4159329.9</v>
      </c>
      <c r="I55" s="792">
        <f t="shared" si="10"/>
        <v>1087809069.1451743</v>
      </c>
      <c r="J55" s="823"/>
      <c r="K55" s="824"/>
      <c r="L55" s="795">
        <f>SUM(L16:L54)</f>
        <v>47363774.20803405</v>
      </c>
      <c r="M55" s="795">
        <f>SUM(M16:M54)</f>
        <v>48643059.41367424</v>
      </c>
      <c r="N55" s="795">
        <f>SUM(N16:N54)</f>
        <v>-1279285.205640208</v>
      </c>
      <c r="O55" s="796"/>
    </row>
    <row r="56" spans="1:15" ht="15">
      <c r="A56" s="675"/>
      <c r="B56" s="675"/>
      <c r="C56" s="675"/>
      <c r="D56" s="675"/>
      <c r="E56" s="675"/>
      <c r="F56" s="675"/>
      <c r="G56" s="675"/>
      <c r="H56" s="675"/>
      <c r="I56" s="675"/>
      <c r="J56" s="675"/>
      <c r="K56" s="675"/>
      <c r="L56" s="675"/>
      <c r="M56" s="675"/>
      <c r="N56" s="675"/>
      <c r="O56" s="675"/>
    </row>
    <row r="57" spans="1:15" ht="15">
      <c r="A57" s="675"/>
      <c r="B57" s="698" t="s">
        <v>265</v>
      </c>
      <c r="C57" s="699"/>
      <c r="D57" s="699"/>
      <c r="E57" s="699"/>
      <c r="F57" s="797"/>
      <c r="G57" s="699"/>
      <c r="H57" s="699"/>
      <c r="I57" s="699"/>
      <c r="J57" s="699"/>
      <c r="K57" s="699"/>
      <c r="L57" s="699"/>
      <c r="M57" s="699"/>
      <c r="N57" s="699"/>
      <c r="O57" s="675"/>
    </row>
    <row r="58" spans="1:15" ht="15">
      <c r="A58" s="675"/>
      <c r="B58" s="699"/>
      <c r="C58" s="699"/>
      <c r="D58" s="699"/>
      <c r="E58" s="699"/>
      <c r="F58" s="699"/>
      <c r="G58" s="699"/>
      <c r="H58" s="699"/>
      <c r="I58" s="699"/>
      <c r="J58" s="699"/>
      <c r="K58" s="699"/>
      <c r="L58" s="699"/>
      <c r="M58" s="699"/>
      <c r="N58" s="699"/>
      <c r="O58" s="675"/>
    </row>
    <row r="59" spans="1:15" ht="15">
      <c r="A59" s="675"/>
      <c r="B59" s="968" t="s">
        <v>758</v>
      </c>
      <c r="C59" s="968"/>
      <c r="D59" s="968"/>
      <c r="E59" s="968"/>
      <c r="F59" s="968"/>
      <c r="G59" s="968"/>
      <c r="H59" s="968"/>
      <c r="I59" s="968"/>
      <c r="J59" s="968"/>
      <c r="K59" s="968"/>
      <c r="L59" s="675"/>
      <c r="M59" s="675"/>
      <c r="N59" s="675"/>
      <c r="O59" s="675"/>
    </row>
    <row r="60" spans="1:15" ht="15">
      <c r="A60" s="675"/>
      <c r="B60" s="968" t="s">
        <v>786</v>
      </c>
      <c r="C60" s="968"/>
      <c r="D60" s="968"/>
      <c r="E60" s="968"/>
      <c r="F60" s="968"/>
      <c r="G60" s="968"/>
      <c r="H60" s="968"/>
      <c r="I60" s="968"/>
      <c r="J60" s="968"/>
      <c r="K60" s="968"/>
      <c r="L60" s="675"/>
      <c r="M60" s="675"/>
      <c r="N60" s="675"/>
      <c r="O60" s="675"/>
    </row>
    <row r="61" spans="1:15" ht="15">
      <c r="A61" s="675"/>
      <c r="B61" s="979" t="s">
        <v>787</v>
      </c>
      <c r="C61" s="979"/>
      <c r="D61" s="979"/>
      <c r="E61" s="979"/>
      <c r="F61" s="979"/>
      <c r="G61" s="979"/>
      <c r="H61" s="979"/>
      <c r="I61" s="979"/>
      <c r="J61" s="979"/>
      <c r="K61" s="979"/>
      <c r="L61" s="675"/>
      <c r="M61" s="675"/>
      <c r="N61" s="675"/>
      <c r="O61" s="675"/>
    </row>
    <row r="62" spans="1:15" ht="15">
      <c r="A62" s="675"/>
      <c r="B62" s="968" t="s">
        <v>776</v>
      </c>
      <c r="C62" s="970"/>
      <c r="D62" s="970"/>
      <c r="E62" s="970"/>
      <c r="F62" s="970"/>
      <c r="G62" s="970"/>
      <c r="H62" s="970"/>
      <c r="I62" s="970"/>
      <c r="J62" s="970"/>
      <c r="K62" s="970"/>
      <c r="L62" s="970"/>
      <c r="M62" s="705"/>
      <c r="N62" s="705"/>
      <c r="O62" s="675"/>
    </row>
    <row r="63" spans="1:15" ht="15" customHeight="1">
      <c r="A63" s="675"/>
      <c r="B63" s="968" t="s">
        <v>788</v>
      </c>
      <c r="C63" s="970"/>
      <c r="D63" s="970"/>
      <c r="E63" s="970"/>
      <c r="F63" s="970"/>
      <c r="G63" s="970"/>
      <c r="H63" s="970"/>
      <c r="I63" s="970"/>
      <c r="J63" s="970"/>
      <c r="K63" s="970"/>
      <c r="L63" s="970"/>
      <c r="M63" s="970"/>
      <c r="N63" s="970"/>
      <c r="O63" s="970"/>
    </row>
    <row r="64" spans="1:15" ht="15">
      <c r="A64" s="675"/>
      <c r="B64" s="825"/>
      <c r="C64" s="736"/>
      <c r="D64" s="736"/>
      <c r="E64" s="736"/>
      <c r="F64" s="736"/>
      <c r="G64" s="736"/>
      <c r="H64" s="736"/>
      <c r="I64" s="736"/>
      <c r="J64" s="736"/>
      <c r="K64" s="736"/>
      <c r="L64" s="736"/>
      <c r="M64" s="736"/>
      <c r="N64" s="736"/>
      <c r="O64" s="675"/>
    </row>
    <row r="65" spans="1:15" ht="15">
      <c r="A65" s="675"/>
      <c r="B65" s="825"/>
      <c r="C65" s="736"/>
      <c r="D65" s="736"/>
      <c r="E65" s="736"/>
      <c r="F65" s="736"/>
      <c r="G65" s="736"/>
      <c r="H65" s="736"/>
      <c r="I65" s="736"/>
      <c r="J65" s="736"/>
      <c r="K65" s="736"/>
      <c r="L65" s="736"/>
      <c r="M65" s="736"/>
      <c r="N65" s="736"/>
      <c r="O65" s="675"/>
    </row>
  </sheetData>
  <mergeCells count="10">
    <mergeCell ref="B62:L62"/>
    <mergeCell ref="B63:O63"/>
    <mergeCell ref="O14:O15"/>
    <mergeCell ref="B59:K59"/>
    <mergeCell ref="B60:K60"/>
    <mergeCell ref="B61:K61"/>
    <mergeCell ref="B9:L9"/>
    <mergeCell ref="B10:L10"/>
    <mergeCell ref="B14:B15"/>
    <mergeCell ref="C14:C15"/>
  </mergeCells>
  <dataValidations count="2">
    <dataValidation allowBlank="1" showInputMessage="1" showErrorMessage="1" promptTitle="Date Format" prompt="E.g:  &quot;August 1, 2011&quot;" sqref="L7:N7"/>
    <dataValidation type="list" allowBlank="1" showInputMessage="1" showErrorMessage="1" sqref="O16:O54">
      <formula1>"Yes, No"</formula1>
    </dataValidation>
  </dataValidations>
  <printOptions/>
  <pageMargins left="0.75" right="0.75" top="0.5" bottom="0.5" header="0.5" footer="0.5"/>
  <pageSetup fitToHeight="1" fitToWidth="1" horizontalDpi="600" verticalDpi="600" orientation="landscape" scale="56" r:id="rId1"/>
</worksheet>
</file>

<file path=xl/worksheets/sheet16.xml><?xml version="1.0" encoding="utf-8"?>
<worksheet xmlns="http://schemas.openxmlformats.org/spreadsheetml/2006/main" xmlns:r="http://schemas.openxmlformats.org/officeDocument/2006/relationships">
  <sheetPr>
    <pageSetUpPr fitToPage="1"/>
  </sheetPr>
  <dimension ref="A1:O83"/>
  <sheetViews>
    <sheetView zoomScale="85" zoomScaleNormal="85" workbookViewId="0" topLeftCell="B49">
      <selection activeCell="B83" sqref="B83:O83"/>
    </sheetView>
  </sheetViews>
  <sheetFormatPr defaultColWidth="9.140625" defaultRowHeight="15"/>
  <cols>
    <col min="1" max="1" width="1.8515625" style="0" customWidth="1"/>
    <col min="2" max="2" width="9.28125" style="0" bestFit="1" customWidth="1"/>
    <col min="3" max="3" width="39.421875" style="0" bestFit="1" customWidth="1"/>
    <col min="4" max="4" width="15.140625" style="0" bestFit="1" customWidth="1"/>
    <col min="5" max="5" width="13.140625" style="0" customWidth="1"/>
    <col min="6" max="6" width="15.140625" style="0" bestFit="1" customWidth="1"/>
    <col min="7" max="7" width="13.28125" style="0" bestFit="1" customWidth="1"/>
    <col min="8" max="8" width="12.28125" style="0" bestFit="1" customWidth="1"/>
    <col min="9" max="9" width="15.140625" style="0" bestFit="1" customWidth="1"/>
    <col min="10" max="10" width="12.8515625" style="0" bestFit="1" customWidth="1"/>
    <col min="11" max="11" width="12.28125" style="0" customWidth="1"/>
    <col min="12" max="12" width="12.7109375" style="0" bestFit="1" customWidth="1"/>
    <col min="13" max="13" width="12.57421875" style="0" bestFit="1" customWidth="1"/>
    <col min="14" max="14" width="11.8515625" style="0" bestFit="1" customWidth="1"/>
    <col min="15" max="15" width="16.28125" style="0" bestFit="1" customWidth="1"/>
  </cols>
  <sheetData>
    <row r="1" spans="1:15" ht="15">
      <c r="A1" s="675"/>
      <c r="B1" s="675"/>
      <c r="C1" s="675"/>
      <c r="D1" s="675"/>
      <c r="E1" s="675"/>
      <c r="F1" s="675"/>
      <c r="G1" s="675"/>
      <c r="H1" s="675"/>
      <c r="I1" s="675"/>
      <c r="J1" s="698" t="s">
        <v>10</v>
      </c>
      <c r="K1" s="675"/>
      <c r="L1" s="677" t="s">
        <v>11</v>
      </c>
      <c r="M1" s="677"/>
      <c r="N1" s="677"/>
      <c r="O1" s="675"/>
    </row>
    <row r="2" spans="1:15" ht="15">
      <c r="A2" s="675"/>
      <c r="B2" s="675"/>
      <c r="C2" s="675"/>
      <c r="D2" s="675"/>
      <c r="E2" s="675"/>
      <c r="F2" s="675"/>
      <c r="G2" s="675"/>
      <c r="H2" s="675"/>
      <c r="I2" s="675"/>
      <c r="J2" s="698" t="s">
        <v>12</v>
      </c>
      <c r="K2" s="675"/>
      <c r="L2" s="677" t="s">
        <v>619</v>
      </c>
      <c r="M2" s="677"/>
      <c r="N2" s="677"/>
      <c r="O2" s="675"/>
    </row>
    <row r="3" spans="1:15" ht="15">
      <c r="A3" s="675"/>
      <c r="B3" s="675"/>
      <c r="C3" s="675"/>
      <c r="D3" s="675"/>
      <c r="E3" s="675"/>
      <c r="F3" s="675"/>
      <c r="G3" s="675"/>
      <c r="H3" s="675"/>
      <c r="I3" s="675"/>
      <c r="J3" s="698" t="s">
        <v>14</v>
      </c>
      <c r="K3" s="675"/>
      <c r="L3" s="711" t="s">
        <v>620</v>
      </c>
      <c r="M3" s="677"/>
      <c r="N3" s="677"/>
      <c r="O3" s="675"/>
    </row>
    <row r="4" spans="1:15" ht="15">
      <c r="A4" s="675"/>
      <c r="B4" s="675"/>
      <c r="C4" s="675"/>
      <c r="D4" s="675"/>
      <c r="E4" s="675"/>
      <c r="F4" s="675"/>
      <c r="G4" s="675"/>
      <c r="H4" s="675"/>
      <c r="I4" s="675"/>
      <c r="J4" s="698" t="s">
        <v>16</v>
      </c>
      <c r="K4" s="675"/>
      <c r="L4" s="677" t="s">
        <v>688</v>
      </c>
      <c r="M4" s="677"/>
      <c r="N4" s="677"/>
      <c r="O4" s="675"/>
    </row>
    <row r="5" spans="1:15" ht="15">
      <c r="A5" s="675"/>
      <c r="B5" s="675"/>
      <c r="C5" s="675"/>
      <c r="D5" s="675"/>
      <c r="E5" s="675"/>
      <c r="F5" s="675"/>
      <c r="G5" s="675"/>
      <c r="H5" s="675"/>
      <c r="I5" s="675"/>
      <c r="J5" s="698" t="s">
        <v>18</v>
      </c>
      <c r="K5" s="675"/>
      <c r="L5" s="677" t="s">
        <v>777</v>
      </c>
      <c r="M5" s="677"/>
      <c r="N5" s="677"/>
      <c r="O5" s="675"/>
    </row>
    <row r="6" spans="1:15" ht="15">
      <c r="A6" s="675"/>
      <c r="B6" s="675"/>
      <c r="C6" s="675"/>
      <c r="D6" s="675"/>
      <c r="E6" s="675"/>
      <c r="F6" s="675"/>
      <c r="G6" s="675"/>
      <c r="H6" s="675"/>
      <c r="I6" s="675"/>
      <c r="J6" s="698"/>
      <c r="K6" s="675"/>
      <c r="L6" s="675"/>
      <c r="M6" s="675"/>
      <c r="N6" s="675"/>
      <c r="O6" s="675"/>
    </row>
    <row r="7" spans="1:15" ht="15">
      <c r="A7" s="675"/>
      <c r="B7" s="675"/>
      <c r="C7" s="675"/>
      <c r="D7" s="675"/>
      <c r="E7" s="675"/>
      <c r="F7" s="675"/>
      <c r="G7" s="675"/>
      <c r="H7" s="675"/>
      <c r="I7" s="675"/>
      <c r="J7" s="698" t="s">
        <v>19</v>
      </c>
      <c r="K7" s="675"/>
      <c r="L7" s="678" t="s">
        <v>690</v>
      </c>
      <c r="M7" s="678"/>
      <c r="N7" s="678"/>
      <c r="O7" s="675"/>
    </row>
    <row r="8" spans="1:15" ht="15">
      <c r="A8" s="675"/>
      <c r="B8" s="675"/>
      <c r="C8" s="675"/>
      <c r="D8" s="675"/>
      <c r="E8" s="675"/>
      <c r="F8" s="675"/>
      <c r="G8" s="675"/>
      <c r="H8" s="675"/>
      <c r="I8" s="675"/>
      <c r="J8" s="675"/>
      <c r="K8" s="675"/>
      <c r="L8" s="675"/>
      <c r="M8" s="675"/>
      <c r="N8" s="675"/>
      <c r="O8" s="675"/>
    </row>
    <row r="9" spans="1:15" ht="18">
      <c r="A9" s="675"/>
      <c r="B9" s="918" t="s">
        <v>691</v>
      </c>
      <c r="C9" s="918"/>
      <c r="D9" s="918"/>
      <c r="E9" s="918"/>
      <c r="F9" s="918"/>
      <c r="G9" s="918"/>
      <c r="H9" s="918"/>
      <c r="I9" s="918"/>
      <c r="J9" s="918"/>
      <c r="K9" s="918"/>
      <c r="L9" s="918"/>
      <c r="M9" s="739"/>
      <c r="N9" s="679"/>
      <c r="O9" s="675"/>
    </row>
    <row r="10" spans="1:15" ht="18">
      <c r="A10" s="675"/>
      <c r="B10" s="918" t="s">
        <v>692</v>
      </c>
      <c r="C10" s="918"/>
      <c r="D10" s="918"/>
      <c r="E10" s="918"/>
      <c r="F10" s="918"/>
      <c r="G10" s="918"/>
      <c r="H10" s="918"/>
      <c r="I10" s="918"/>
      <c r="J10" s="918"/>
      <c r="K10" s="918"/>
      <c r="L10" s="918"/>
      <c r="M10" s="739"/>
      <c r="N10" s="679"/>
      <c r="O10" s="675"/>
    </row>
    <row r="11" spans="1:15" ht="18">
      <c r="A11" s="675"/>
      <c r="B11" s="679"/>
      <c r="C11" s="679"/>
      <c r="D11" s="679"/>
      <c r="E11" s="679"/>
      <c r="F11" s="679"/>
      <c r="G11" s="679"/>
      <c r="H11" s="679"/>
      <c r="I11" s="679"/>
      <c r="J11" s="679"/>
      <c r="K11" s="679"/>
      <c r="L11" s="679"/>
      <c r="M11" s="679"/>
      <c r="N11" s="679"/>
      <c r="O11" s="675"/>
    </row>
    <row r="12" spans="1:15" ht="18">
      <c r="A12" s="675"/>
      <c r="B12" s="679"/>
      <c r="C12" s="679"/>
      <c r="D12" s="679"/>
      <c r="E12" s="740" t="s">
        <v>693</v>
      </c>
      <c r="F12" s="741">
        <v>2011</v>
      </c>
      <c r="G12" s="742" t="s">
        <v>789</v>
      </c>
      <c r="H12" s="742"/>
      <c r="I12" s="679"/>
      <c r="J12" s="679"/>
      <c r="K12" s="679"/>
      <c r="L12" s="679"/>
      <c r="M12" s="679"/>
      <c r="N12" s="679"/>
      <c r="O12" s="675"/>
    </row>
    <row r="13" spans="1:15" ht="15.75" thickBot="1">
      <c r="A13" s="675"/>
      <c r="B13" s="675"/>
      <c r="C13" s="675"/>
      <c r="D13" s="675"/>
      <c r="E13" s="675"/>
      <c r="F13" s="675"/>
      <c r="G13" s="675"/>
      <c r="H13" s="675"/>
      <c r="I13" s="675"/>
      <c r="J13" s="675"/>
      <c r="K13" s="675"/>
      <c r="L13" s="675"/>
      <c r="M13" s="675"/>
      <c r="N13" s="675"/>
      <c r="O13" s="675"/>
    </row>
    <row r="14" spans="1:15" ht="51">
      <c r="A14" s="675"/>
      <c r="B14" s="964" t="s">
        <v>145</v>
      </c>
      <c r="C14" s="980" t="s">
        <v>146</v>
      </c>
      <c r="D14" s="826" t="s">
        <v>790</v>
      </c>
      <c r="E14" s="745" t="s">
        <v>699</v>
      </c>
      <c r="F14" s="745" t="s">
        <v>700</v>
      </c>
      <c r="G14" s="745" t="s">
        <v>701</v>
      </c>
      <c r="H14" s="745" t="s">
        <v>697</v>
      </c>
      <c r="I14" s="745" t="s">
        <v>791</v>
      </c>
      <c r="J14" s="745" t="s">
        <v>703</v>
      </c>
      <c r="K14" s="745" t="s">
        <v>704</v>
      </c>
      <c r="L14" s="745" t="s">
        <v>792</v>
      </c>
      <c r="M14" s="745" t="s">
        <v>779</v>
      </c>
      <c r="N14" s="746" t="s">
        <v>707</v>
      </c>
      <c r="O14" s="971" t="s">
        <v>708</v>
      </c>
    </row>
    <row r="15" spans="1:15" ht="25.5">
      <c r="A15" s="675"/>
      <c r="B15" s="965"/>
      <c r="C15" s="981"/>
      <c r="D15" s="749" t="s">
        <v>709</v>
      </c>
      <c r="E15" s="749" t="s">
        <v>710</v>
      </c>
      <c r="F15" s="749" t="s">
        <v>711</v>
      </c>
      <c r="G15" s="749" t="s">
        <v>712</v>
      </c>
      <c r="H15" s="800" t="s">
        <v>717</v>
      </c>
      <c r="I15" s="751" t="s">
        <v>793</v>
      </c>
      <c r="J15" s="749" t="s">
        <v>715</v>
      </c>
      <c r="K15" s="749" t="s">
        <v>716</v>
      </c>
      <c r="L15" s="749" t="s">
        <v>781</v>
      </c>
      <c r="M15" s="827" t="s">
        <v>718</v>
      </c>
      <c r="N15" s="828" t="s">
        <v>794</v>
      </c>
      <c r="O15" s="972"/>
    </row>
    <row r="16" spans="1:15" ht="15">
      <c r="A16" s="675"/>
      <c r="B16" s="719">
        <v>1805</v>
      </c>
      <c r="C16" s="802" t="s">
        <v>720</v>
      </c>
      <c r="D16" s="756">
        <v>10386333.870000001</v>
      </c>
      <c r="E16" s="756"/>
      <c r="F16" s="817">
        <f>+D16-E16</f>
        <v>10386333.870000001</v>
      </c>
      <c r="G16" s="819">
        <f>581497.96-1000</f>
        <v>580497.96</v>
      </c>
      <c r="H16" s="756"/>
      <c r="I16" s="756">
        <f>F16+0.5*G16+0.5*H16</f>
        <v>10676582.850000001</v>
      </c>
      <c r="J16" s="757">
        <v>0</v>
      </c>
      <c r="K16" s="804">
        <f aca="true" t="shared" si="0" ref="K16:K70">IF(J16=0,"",1/J16)</f>
      </c>
      <c r="L16" s="756">
        <f aca="true" t="shared" si="1" ref="L16:L44">IF(J16=0,"",I16/J16)</f>
      </c>
      <c r="M16" s="756"/>
      <c r="N16" s="759"/>
      <c r="O16" s="765"/>
    </row>
    <row r="17" spans="1:15" ht="15">
      <c r="A17" s="675"/>
      <c r="B17" s="761">
        <v>1806</v>
      </c>
      <c r="C17" s="762" t="s">
        <v>722</v>
      </c>
      <c r="D17" s="756">
        <v>730285.15</v>
      </c>
      <c r="E17" s="756"/>
      <c r="F17" s="817">
        <f aca="true" t="shared" si="2" ref="F17:F72">+D17-E17</f>
        <v>730285.15</v>
      </c>
      <c r="G17" s="756">
        <v>35466.82</v>
      </c>
      <c r="H17" s="756"/>
      <c r="I17" s="756">
        <f aca="true" t="shared" si="3" ref="I17:I72">F17+0.5*G17+0.5*H17</f>
        <v>748018.56</v>
      </c>
      <c r="J17" s="757">
        <v>0</v>
      </c>
      <c r="K17" s="804">
        <f t="shared" si="0"/>
      </c>
      <c r="L17" s="756">
        <f t="shared" si="1"/>
      </c>
      <c r="M17" s="756"/>
      <c r="N17" s="759"/>
      <c r="O17" s="765"/>
    </row>
    <row r="18" spans="1:15" ht="15">
      <c r="A18" s="675"/>
      <c r="B18" s="829">
        <v>1808</v>
      </c>
      <c r="C18" s="802" t="s">
        <v>723</v>
      </c>
      <c r="D18" s="756">
        <v>7170856.189999975</v>
      </c>
      <c r="E18" s="756">
        <v>103323.29</v>
      </c>
      <c r="F18" s="817">
        <f t="shared" si="2"/>
        <v>7067532.899999975</v>
      </c>
      <c r="G18" s="756">
        <v>186982.81</v>
      </c>
      <c r="H18" s="756"/>
      <c r="I18" s="756">
        <f t="shared" si="3"/>
        <v>7161024.3049999755</v>
      </c>
      <c r="J18" s="757">
        <v>40</v>
      </c>
      <c r="K18" s="804">
        <f t="shared" si="0"/>
        <v>0.025</v>
      </c>
      <c r="L18" s="756">
        <f>IF(J18=0,"",I18/J18)</f>
        <v>179025.6076249994</v>
      </c>
      <c r="M18" s="756">
        <v>190633.61</v>
      </c>
      <c r="N18" s="759">
        <f>+L18-M18</f>
        <v>-11608.002375000593</v>
      </c>
      <c r="O18" s="760" t="s">
        <v>795</v>
      </c>
    </row>
    <row r="19" spans="1:15" ht="15">
      <c r="A19" s="675"/>
      <c r="B19" s="761">
        <v>1810</v>
      </c>
      <c r="C19" s="762" t="s">
        <v>782</v>
      </c>
      <c r="D19" s="756">
        <v>8404299.690000001</v>
      </c>
      <c r="E19" s="756"/>
      <c r="F19" s="817">
        <f t="shared" si="2"/>
        <v>8404299.690000001</v>
      </c>
      <c r="G19" s="756">
        <v>779589.23</v>
      </c>
      <c r="H19" s="756"/>
      <c r="I19" s="756">
        <f t="shared" si="3"/>
        <v>8794094.305000002</v>
      </c>
      <c r="J19" s="757">
        <v>0</v>
      </c>
      <c r="K19" s="804">
        <f t="shared" si="0"/>
      </c>
      <c r="L19" s="756">
        <f t="shared" si="1"/>
      </c>
      <c r="M19" s="756"/>
      <c r="N19" s="759"/>
      <c r="O19" s="765"/>
    </row>
    <row r="20" spans="1:15" ht="15">
      <c r="A20" s="675"/>
      <c r="B20" s="829">
        <v>1815</v>
      </c>
      <c r="C20" s="802" t="s">
        <v>725</v>
      </c>
      <c r="D20" s="756">
        <v>-127.95</v>
      </c>
      <c r="E20" s="756">
        <v>1906099.57</v>
      </c>
      <c r="F20" s="817">
        <f t="shared" si="2"/>
        <v>-1906227.52</v>
      </c>
      <c r="G20" s="756">
        <f>-61756.39-5000</f>
        <v>-66756.39</v>
      </c>
      <c r="H20" s="756"/>
      <c r="I20" s="756">
        <f t="shared" si="3"/>
        <v>-1939605.715</v>
      </c>
      <c r="J20" s="757">
        <v>40</v>
      </c>
      <c r="K20" s="804">
        <f t="shared" si="0"/>
        <v>0.025</v>
      </c>
      <c r="L20" s="756">
        <f t="shared" si="1"/>
        <v>-48490.142875000005</v>
      </c>
      <c r="M20" s="756">
        <v>-4715.766666666666</v>
      </c>
      <c r="N20" s="759">
        <f aca="true" t="shared" si="4" ref="N20:N32">+L20-M20</f>
        <v>-43774.37620833334</v>
      </c>
      <c r="O20" s="760"/>
    </row>
    <row r="21" spans="1:15" ht="15">
      <c r="A21" s="699"/>
      <c r="B21" s="829">
        <v>1815</v>
      </c>
      <c r="C21" s="762" t="s">
        <v>796</v>
      </c>
      <c r="D21" s="817">
        <v>12167715.69</v>
      </c>
      <c r="E21" s="817"/>
      <c r="F21" s="817">
        <f t="shared" si="2"/>
        <v>12167715.69</v>
      </c>
      <c r="G21" s="817">
        <v>499945.1</v>
      </c>
      <c r="H21" s="817"/>
      <c r="I21" s="756">
        <f t="shared" si="3"/>
        <v>12417688.24</v>
      </c>
      <c r="J21" s="830">
        <v>40</v>
      </c>
      <c r="K21" s="831">
        <f t="shared" si="0"/>
        <v>0.025</v>
      </c>
      <c r="L21" s="817">
        <f t="shared" si="1"/>
        <v>310442.206</v>
      </c>
      <c r="M21" s="817">
        <v>303387.87</v>
      </c>
      <c r="N21" s="759">
        <f t="shared" si="4"/>
        <v>7054.33600000001</v>
      </c>
      <c r="O21" s="832" t="s">
        <v>721</v>
      </c>
    </row>
    <row r="22" spans="1:15" ht="15">
      <c r="A22" s="675"/>
      <c r="B22" s="829">
        <v>1815</v>
      </c>
      <c r="C22" s="833" t="s">
        <v>797</v>
      </c>
      <c r="D22" s="756">
        <v>12167715.69</v>
      </c>
      <c r="E22" s="756"/>
      <c r="F22" s="817">
        <f t="shared" si="2"/>
        <v>12167715.69</v>
      </c>
      <c r="G22" s="756">
        <v>499945.1</v>
      </c>
      <c r="H22" s="756"/>
      <c r="I22" s="756">
        <f t="shared" si="3"/>
        <v>12417688.24</v>
      </c>
      <c r="J22" s="757">
        <v>25</v>
      </c>
      <c r="K22" s="804">
        <f t="shared" si="0"/>
        <v>0.04</v>
      </c>
      <c r="L22" s="817">
        <f t="shared" si="1"/>
        <v>496707.5296</v>
      </c>
      <c r="M22" s="817">
        <v>877433.92</v>
      </c>
      <c r="N22" s="759">
        <f t="shared" si="4"/>
        <v>-380726.39040000003</v>
      </c>
      <c r="O22" s="760" t="s">
        <v>795</v>
      </c>
    </row>
    <row r="23" spans="1:15" ht="15">
      <c r="A23" s="675"/>
      <c r="B23" s="829">
        <v>1815</v>
      </c>
      <c r="C23" s="833" t="s">
        <v>798</v>
      </c>
      <c r="D23" s="756">
        <v>49887634.35</v>
      </c>
      <c r="E23" s="756"/>
      <c r="F23" s="817">
        <f t="shared" si="2"/>
        <v>49887634.35</v>
      </c>
      <c r="G23" s="756">
        <v>2049774.92</v>
      </c>
      <c r="H23" s="756"/>
      <c r="I23" s="756">
        <f t="shared" si="3"/>
        <v>50912521.81</v>
      </c>
      <c r="J23" s="757">
        <v>40</v>
      </c>
      <c r="K23" s="804">
        <f t="shared" si="0"/>
        <v>0.025</v>
      </c>
      <c r="L23" s="817">
        <f t="shared" si="1"/>
        <v>1272813.04525</v>
      </c>
      <c r="M23" s="817">
        <v>1243889.03</v>
      </c>
      <c r="N23" s="759">
        <f t="shared" si="4"/>
        <v>28924.01524999994</v>
      </c>
      <c r="O23" s="760" t="s">
        <v>721</v>
      </c>
    </row>
    <row r="24" spans="1:15" ht="15">
      <c r="A24" s="675"/>
      <c r="B24" s="829">
        <v>1815</v>
      </c>
      <c r="C24" s="833" t="s">
        <v>799</v>
      </c>
      <c r="D24" s="756">
        <v>8517400.99</v>
      </c>
      <c r="E24" s="756"/>
      <c r="F24" s="817">
        <f t="shared" si="2"/>
        <v>8517400.99</v>
      </c>
      <c r="G24" s="756">
        <v>349961.57</v>
      </c>
      <c r="H24" s="756"/>
      <c r="I24" s="756">
        <f t="shared" si="3"/>
        <v>8692381.775</v>
      </c>
      <c r="J24" s="757">
        <v>40</v>
      </c>
      <c r="K24" s="804">
        <f t="shared" si="0"/>
        <v>0.025</v>
      </c>
      <c r="L24" s="817">
        <f t="shared" si="1"/>
        <v>217309.544375</v>
      </c>
      <c r="M24" s="817">
        <v>212371.5</v>
      </c>
      <c r="N24" s="759">
        <f t="shared" si="4"/>
        <v>4938.044374999998</v>
      </c>
      <c r="O24" s="760" t="s">
        <v>721</v>
      </c>
    </row>
    <row r="25" spans="1:15" ht="15">
      <c r="A25" s="675"/>
      <c r="B25" s="829">
        <v>1815</v>
      </c>
      <c r="C25" s="833" t="s">
        <v>800</v>
      </c>
      <c r="D25" s="756">
        <v>6083857.85</v>
      </c>
      <c r="E25" s="756"/>
      <c r="F25" s="817">
        <f t="shared" si="2"/>
        <v>6083857.85</v>
      </c>
      <c r="G25" s="756">
        <v>223064.84</v>
      </c>
      <c r="H25" s="756"/>
      <c r="I25" s="756">
        <f t="shared" si="3"/>
        <v>6195390.27</v>
      </c>
      <c r="J25" s="757">
        <v>40</v>
      </c>
      <c r="K25" s="804">
        <f t="shared" si="0"/>
        <v>0.025</v>
      </c>
      <c r="L25" s="817">
        <f t="shared" si="1"/>
        <v>154884.75675</v>
      </c>
      <c r="M25" s="817">
        <v>151292.6</v>
      </c>
      <c r="N25" s="759">
        <f t="shared" si="4"/>
        <v>3592.1567499999946</v>
      </c>
      <c r="O25" s="760" t="s">
        <v>721</v>
      </c>
    </row>
    <row r="26" spans="1:15" ht="15">
      <c r="A26" s="675"/>
      <c r="B26" s="829">
        <v>1815</v>
      </c>
      <c r="C26" s="833" t="s">
        <v>801</v>
      </c>
      <c r="D26" s="756">
        <v>6083857.85</v>
      </c>
      <c r="E26" s="756"/>
      <c r="F26" s="817">
        <f t="shared" si="2"/>
        <v>6083857.85</v>
      </c>
      <c r="G26" s="756">
        <v>249972.56</v>
      </c>
      <c r="H26" s="756"/>
      <c r="I26" s="756">
        <f t="shared" si="3"/>
        <v>6208844.13</v>
      </c>
      <c r="J26" s="757">
        <v>20</v>
      </c>
      <c r="K26" s="804">
        <f t="shared" si="0"/>
        <v>0.05</v>
      </c>
      <c r="L26" s="817">
        <f t="shared" si="1"/>
        <v>310442.2065</v>
      </c>
      <c r="M26" s="817">
        <v>1099354.83</v>
      </c>
      <c r="N26" s="759">
        <f t="shared" si="4"/>
        <v>-788912.6235000001</v>
      </c>
      <c r="O26" s="760" t="s">
        <v>795</v>
      </c>
    </row>
    <row r="27" spans="1:15" ht="15">
      <c r="A27" s="675"/>
      <c r="B27" s="829">
        <v>1815</v>
      </c>
      <c r="C27" s="833" t="s">
        <v>802</v>
      </c>
      <c r="D27" s="756">
        <v>21901888.29</v>
      </c>
      <c r="E27" s="756"/>
      <c r="F27" s="817">
        <f t="shared" si="2"/>
        <v>21901888.29</v>
      </c>
      <c r="G27" s="756">
        <v>899901.19</v>
      </c>
      <c r="H27" s="756"/>
      <c r="I27" s="756">
        <f t="shared" si="3"/>
        <v>22351838.884999998</v>
      </c>
      <c r="J27" s="757">
        <v>30</v>
      </c>
      <c r="K27" s="804">
        <f t="shared" si="0"/>
        <v>0.03333333333333333</v>
      </c>
      <c r="L27" s="817">
        <f t="shared" si="1"/>
        <v>745061.2961666666</v>
      </c>
      <c r="M27" s="817">
        <v>889173.59</v>
      </c>
      <c r="N27" s="759">
        <f t="shared" si="4"/>
        <v>-144112.29383333342</v>
      </c>
      <c r="O27" s="760" t="s">
        <v>795</v>
      </c>
    </row>
    <row r="28" spans="1:15" ht="15">
      <c r="A28" s="675"/>
      <c r="B28" s="829">
        <v>1815</v>
      </c>
      <c r="C28" s="833" t="s">
        <v>803</v>
      </c>
      <c r="D28" s="756">
        <v>4867086.29</v>
      </c>
      <c r="E28" s="756"/>
      <c r="F28" s="817">
        <f t="shared" si="2"/>
        <v>4867086.29</v>
      </c>
      <c r="G28" s="756">
        <v>199978.04</v>
      </c>
      <c r="H28" s="756"/>
      <c r="I28" s="756">
        <f t="shared" si="3"/>
        <v>4967075.31</v>
      </c>
      <c r="J28" s="757">
        <v>30</v>
      </c>
      <c r="K28" s="804">
        <f t="shared" si="0"/>
        <v>0.03333333333333333</v>
      </c>
      <c r="L28" s="817">
        <f t="shared" si="1"/>
        <v>165569.177</v>
      </c>
      <c r="M28" s="817">
        <v>197594.13</v>
      </c>
      <c r="N28" s="759">
        <f t="shared" si="4"/>
        <v>-32024.95300000001</v>
      </c>
      <c r="O28" s="760" t="s">
        <v>795</v>
      </c>
    </row>
    <row r="29" spans="1:15" ht="15">
      <c r="A29" s="675"/>
      <c r="B29" s="834">
        <v>1820</v>
      </c>
      <c r="C29" s="776" t="s">
        <v>726</v>
      </c>
      <c r="D29" s="756">
        <v>-141472.7900000047</v>
      </c>
      <c r="E29" s="756">
        <v>6710620.54</v>
      </c>
      <c r="F29" s="817">
        <f t="shared" si="2"/>
        <v>-6852093.330000005</v>
      </c>
      <c r="G29" s="756">
        <f>-22002.35-4000</f>
        <v>-26002.35</v>
      </c>
      <c r="H29" s="756"/>
      <c r="I29" s="756">
        <f t="shared" si="3"/>
        <v>-6865094.505000005</v>
      </c>
      <c r="J29" s="757">
        <v>30</v>
      </c>
      <c r="K29" s="804">
        <f t="shared" si="0"/>
        <v>0.03333333333333333</v>
      </c>
      <c r="L29" s="817">
        <f t="shared" si="1"/>
        <v>-228836.48350000015</v>
      </c>
      <c r="M29" s="817">
        <v>0</v>
      </c>
      <c r="N29" s="759">
        <f t="shared" si="4"/>
        <v>-228836.48350000015</v>
      </c>
      <c r="O29" s="760" t="s">
        <v>795</v>
      </c>
    </row>
    <row r="30" spans="1:15" ht="15">
      <c r="A30" s="675"/>
      <c r="B30" s="834">
        <v>1820</v>
      </c>
      <c r="C30" s="833" t="s">
        <v>804</v>
      </c>
      <c r="D30" s="756">
        <v>15555009.26</v>
      </c>
      <c r="E30" s="756"/>
      <c r="F30" s="817">
        <f t="shared" si="2"/>
        <v>15555009.26</v>
      </c>
      <c r="G30" s="756">
        <v>1216381.73</v>
      </c>
      <c r="H30" s="756"/>
      <c r="I30" s="756">
        <f t="shared" si="3"/>
        <v>16163200.125</v>
      </c>
      <c r="J30" s="757">
        <v>40</v>
      </c>
      <c r="K30" s="804">
        <f t="shared" si="0"/>
        <v>0.025</v>
      </c>
      <c r="L30" s="817">
        <f t="shared" si="1"/>
        <v>404080.003125</v>
      </c>
      <c r="M30" s="817">
        <v>304931.31</v>
      </c>
      <c r="N30" s="759">
        <f t="shared" si="4"/>
        <v>99148.69312499999</v>
      </c>
      <c r="O30" s="760" t="s">
        <v>795</v>
      </c>
    </row>
    <row r="31" spans="1:15" ht="15">
      <c r="A31" s="675"/>
      <c r="B31" s="834">
        <v>1820</v>
      </c>
      <c r="C31" s="833" t="s">
        <v>805</v>
      </c>
      <c r="D31" s="756">
        <v>15301967.600000001</v>
      </c>
      <c r="E31" s="756"/>
      <c r="F31" s="817">
        <f t="shared" si="2"/>
        <v>15301967.600000001</v>
      </c>
      <c r="G31" s="756">
        <v>1216381.73</v>
      </c>
      <c r="H31" s="756"/>
      <c r="I31" s="756">
        <f t="shared" si="3"/>
        <v>15910158.465000002</v>
      </c>
      <c r="J31" s="757">
        <v>20</v>
      </c>
      <c r="K31" s="804">
        <f t="shared" si="0"/>
        <v>0.05</v>
      </c>
      <c r="L31" s="817">
        <f t="shared" si="1"/>
        <v>795507.9232500001</v>
      </c>
      <c r="M31" s="817">
        <v>1665831.32</v>
      </c>
      <c r="N31" s="759">
        <f t="shared" si="4"/>
        <v>-870323.39675</v>
      </c>
      <c r="O31" s="760" t="s">
        <v>795</v>
      </c>
    </row>
    <row r="32" spans="1:15" ht="15">
      <c r="A32" s="675"/>
      <c r="B32" s="834">
        <v>1820</v>
      </c>
      <c r="C32" s="833" t="s">
        <v>806</v>
      </c>
      <c r="D32" s="756">
        <v>3400438.07</v>
      </c>
      <c r="E32" s="756"/>
      <c r="F32" s="817">
        <f t="shared" si="2"/>
        <v>3400438.07</v>
      </c>
      <c r="G32" s="756">
        <v>270307.06</v>
      </c>
      <c r="H32" s="756"/>
      <c r="I32" s="756">
        <f t="shared" si="3"/>
        <v>3535591.5999999996</v>
      </c>
      <c r="J32" s="757">
        <v>30</v>
      </c>
      <c r="K32" s="804">
        <f t="shared" si="0"/>
        <v>0.03333333333333333</v>
      </c>
      <c r="L32" s="817">
        <f t="shared" si="1"/>
        <v>117853.05333333332</v>
      </c>
      <c r="M32" s="817">
        <v>108304.36</v>
      </c>
      <c r="N32" s="759">
        <f t="shared" si="4"/>
        <v>9548.693333333315</v>
      </c>
      <c r="O32" s="760" t="s">
        <v>721</v>
      </c>
    </row>
    <row r="33" spans="1:15" ht="15">
      <c r="A33" s="675"/>
      <c r="B33" s="834">
        <v>1825</v>
      </c>
      <c r="C33" s="776" t="s">
        <v>727</v>
      </c>
      <c r="D33" s="756"/>
      <c r="E33" s="756"/>
      <c r="F33" s="817">
        <f t="shared" si="2"/>
        <v>0</v>
      </c>
      <c r="G33" s="756">
        <v>0</v>
      </c>
      <c r="H33" s="756"/>
      <c r="I33" s="756">
        <f t="shared" si="3"/>
        <v>0</v>
      </c>
      <c r="J33" s="757">
        <v>0</v>
      </c>
      <c r="K33" s="804">
        <f t="shared" si="0"/>
      </c>
      <c r="L33" s="817">
        <f t="shared" si="1"/>
      </c>
      <c r="M33" s="817"/>
      <c r="N33" s="835"/>
      <c r="O33" s="765"/>
    </row>
    <row r="34" spans="1:15" ht="15">
      <c r="A34" s="675"/>
      <c r="B34" s="834">
        <v>1830</v>
      </c>
      <c r="C34" s="776" t="s">
        <v>728</v>
      </c>
      <c r="D34" s="756">
        <v>140109147.5099999</v>
      </c>
      <c r="E34" s="756">
        <v>12631863.91</v>
      </c>
      <c r="F34" s="817">
        <f t="shared" si="2"/>
        <v>127477283.5999999</v>
      </c>
      <c r="G34" s="756">
        <v>12675524.25</v>
      </c>
      <c r="H34" s="756">
        <v>-185717</v>
      </c>
      <c r="I34" s="756">
        <f t="shared" si="3"/>
        <v>133722187.2249999</v>
      </c>
      <c r="J34" s="757">
        <v>45</v>
      </c>
      <c r="K34" s="804">
        <f t="shared" si="0"/>
        <v>0.022222222222222223</v>
      </c>
      <c r="L34" s="817">
        <f t="shared" si="1"/>
        <v>2971604.1605555536</v>
      </c>
      <c r="M34" s="817">
        <v>2331259.18</v>
      </c>
      <c r="N34" s="759">
        <f aca="true" t="shared" si="5" ref="N34:N72">+L34-M34</f>
        <v>640344.9805555535</v>
      </c>
      <c r="O34" s="760" t="s">
        <v>795</v>
      </c>
    </row>
    <row r="35" spans="1:15" ht="15">
      <c r="A35" s="675"/>
      <c r="B35" s="834">
        <v>1835</v>
      </c>
      <c r="C35" s="776" t="s">
        <v>729</v>
      </c>
      <c r="D35" s="756">
        <v>170577444.8899999</v>
      </c>
      <c r="E35" s="756">
        <v>22838498.69</v>
      </c>
      <c r="F35" s="817">
        <f t="shared" si="2"/>
        <v>147738946.1999999</v>
      </c>
      <c r="G35" s="756">
        <f>6753253.4-169000</f>
        <v>6584253.4</v>
      </c>
      <c r="H35" s="756">
        <v>-954</v>
      </c>
      <c r="I35" s="756">
        <f t="shared" si="3"/>
        <v>151030595.8999999</v>
      </c>
      <c r="J35" s="757">
        <v>40</v>
      </c>
      <c r="K35" s="804">
        <f t="shared" si="0"/>
        <v>0.025</v>
      </c>
      <c r="L35" s="817">
        <f t="shared" si="1"/>
        <v>3775764.897499997</v>
      </c>
      <c r="M35" s="817">
        <f>2775539.06+268</f>
        <v>2775807.06</v>
      </c>
      <c r="N35" s="759">
        <f t="shared" si="5"/>
        <v>999957.8374999971</v>
      </c>
      <c r="O35" s="760" t="s">
        <v>795</v>
      </c>
    </row>
    <row r="36" spans="1:15" ht="15">
      <c r="A36" s="675"/>
      <c r="B36" s="834">
        <v>1840</v>
      </c>
      <c r="C36" s="776" t="s">
        <v>730</v>
      </c>
      <c r="D36" s="756">
        <v>112414030.35</v>
      </c>
      <c r="E36" s="756">
        <v>15845840.41</v>
      </c>
      <c r="F36" s="817">
        <f t="shared" si="2"/>
        <v>96568189.94</v>
      </c>
      <c r="G36" s="756">
        <f>10546673</f>
        <v>10546673</v>
      </c>
      <c r="H36" s="756"/>
      <c r="I36" s="756">
        <f t="shared" si="3"/>
        <v>101841526.44</v>
      </c>
      <c r="J36" s="757">
        <v>60</v>
      </c>
      <c r="K36" s="804">
        <f t="shared" si="0"/>
        <v>0.016666666666666666</v>
      </c>
      <c r="L36" s="817">
        <f t="shared" si="1"/>
        <v>1697358.774</v>
      </c>
      <c r="M36" s="817">
        <v>1080516.6</v>
      </c>
      <c r="N36" s="759">
        <f t="shared" si="5"/>
        <v>616842.1739999999</v>
      </c>
      <c r="O36" s="760" t="s">
        <v>795</v>
      </c>
    </row>
    <row r="37" spans="1:15" ht="15">
      <c r="A37" s="675"/>
      <c r="B37" s="834">
        <v>1845</v>
      </c>
      <c r="C37" s="776" t="s">
        <v>731</v>
      </c>
      <c r="D37" s="756">
        <v>335710139.0099999</v>
      </c>
      <c r="E37" s="756">
        <v>41023001.96</v>
      </c>
      <c r="F37" s="817">
        <f t="shared" si="2"/>
        <v>294687137.0499999</v>
      </c>
      <c r="G37" s="756">
        <f>15291111.66+225000-5000</f>
        <v>15511111.66</v>
      </c>
      <c r="H37" s="756">
        <v>-352894</v>
      </c>
      <c r="I37" s="756">
        <f t="shared" si="3"/>
        <v>302266245.8799999</v>
      </c>
      <c r="J37" s="757">
        <v>45</v>
      </c>
      <c r="K37" s="804">
        <f t="shared" si="0"/>
        <v>0.022222222222222223</v>
      </c>
      <c r="L37" s="817">
        <f t="shared" si="1"/>
        <v>6717027.68622222</v>
      </c>
      <c r="M37" s="817">
        <v>5021322.78</v>
      </c>
      <c r="N37" s="759">
        <f t="shared" si="5"/>
        <v>1695704.9062222196</v>
      </c>
      <c r="O37" s="760" t="s">
        <v>795</v>
      </c>
    </row>
    <row r="38" spans="1:15" ht="15">
      <c r="A38" s="675"/>
      <c r="B38" s="834">
        <v>1850</v>
      </c>
      <c r="C38" s="762" t="s">
        <v>732</v>
      </c>
      <c r="D38" s="756">
        <v>53644465.52</v>
      </c>
      <c r="E38" s="756">
        <v>13629450.79</v>
      </c>
      <c r="F38" s="817">
        <f t="shared" si="2"/>
        <v>40015014.730000004</v>
      </c>
      <c r="G38" s="756">
        <v>1535742.81</v>
      </c>
      <c r="H38" s="756">
        <v>-280634</v>
      </c>
      <c r="I38" s="756">
        <f t="shared" si="3"/>
        <v>40642569.135000005</v>
      </c>
      <c r="J38" s="757">
        <v>40</v>
      </c>
      <c r="K38" s="804">
        <f t="shared" si="0"/>
        <v>0.025</v>
      </c>
      <c r="L38" s="817">
        <f t="shared" si="1"/>
        <v>1016064.2283750002</v>
      </c>
      <c r="M38" s="817">
        <v>604128.7</v>
      </c>
      <c r="N38" s="759">
        <f t="shared" si="5"/>
        <v>411935.5283750002</v>
      </c>
      <c r="O38" s="760" t="s">
        <v>795</v>
      </c>
    </row>
    <row r="39" spans="1:15" ht="15">
      <c r="A39" s="675"/>
      <c r="B39" s="834">
        <v>1850</v>
      </c>
      <c r="C39" s="776" t="s">
        <v>733</v>
      </c>
      <c r="D39" s="756">
        <v>209127528.71999997</v>
      </c>
      <c r="E39" s="756">
        <v>23802533.66</v>
      </c>
      <c r="F39" s="817">
        <f t="shared" si="2"/>
        <v>185324995.05999997</v>
      </c>
      <c r="G39" s="756">
        <f>11003596.72+59000</f>
        <v>11062596.72</v>
      </c>
      <c r="H39" s="756">
        <v>-891161</v>
      </c>
      <c r="I39" s="756">
        <f t="shared" si="3"/>
        <v>190410712.92</v>
      </c>
      <c r="J39" s="757">
        <v>30</v>
      </c>
      <c r="K39" s="804">
        <f t="shared" si="0"/>
        <v>0.03333333333333333</v>
      </c>
      <c r="L39" s="817">
        <f t="shared" si="1"/>
        <v>6347023.7639999995</v>
      </c>
      <c r="M39" s="817">
        <v>5178160.96</v>
      </c>
      <c r="N39" s="759">
        <f t="shared" si="5"/>
        <v>1168862.8039999995</v>
      </c>
      <c r="O39" s="760" t="s">
        <v>795</v>
      </c>
    </row>
    <row r="40" spans="1:15" ht="15">
      <c r="A40" s="675"/>
      <c r="B40" s="834">
        <v>1855</v>
      </c>
      <c r="C40" s="776" t="s">
        <v>807</v>
      </c>
      <c r="D40" s="756">
        <v>13685003.36</v>
      </c>
      <c r="E40" s="756">
        <v>1087654.79</v>
      </c>
      <c r="F40" s="817">
        <f t="shared" si="2"/>
        <v>12597348.57</v>
      </c>
      <c r="G40" s="756">
        <v>1141915.08</v>
      </c>
      <c r="H40" s="756"/>
      <c r="I40" s="756">
        <f t="shared" si="3"/>
        <v>13168306.11</v>
      </c>
      <c r="J40" s="757">
        <v>40</v>
      </c>
      <c r="K40" s="804">
        <f t="shared" si="0"/>
        <v>0.025</v>
      </c>
      <c r="L40" s="817">
        <f t="shared" si="1"/>
        <v>329207.65275</v>
      </c>
      <c r="M40" s="817">
        <v>251684.21</v>
      </c>
      <c r="N40" s="759">
        <f t="shared" si="5"/>
        <v>77523.44275000002</v>
      </c>
      <c r="O40" s="760" t="s">
        <v>795</v>
      </c>
    </row>
    <row r="41" spans="1:15" ht="15">
      <c r="A41" s="675"/>
      <c r="B41" s="774">
        <v>1856</v>
      </c>
      <c r="C41" s="762" t="s">
        <v>735</v>
      </c>
      <c r="D41" s="756">
        <v>91583493.25</v>
      </c>
      <c r="E41" s="756">
        <v>14846186.55</v>
      </c>
      <c r="F41" s="817">
        <f t="shared" si="2"/>
        <v>76737306.7</v>
      </c>
      <c r="G41" s="756">
        <f>2865129.83-2000</f>
        <v>2863129.83</v>
      </c>
      <c r="H41" s="756"/>
      <c r="I41" s="756">
        <f t="shared" si="3"/>
        <v>78168871.61500001</v>
      </c>
      <c r="J41" s="757">
        <v>25</v>
      </c>
      <c r="K41" s="804">
        <f t="shared" si="0"/>
        <v>0.04</v>
      </c>
      <c r="L41" s="817">
        <f t="shared" si="1"/>
        <v>3126754.8646000004</v>
      </c>
      <c r="M41" s="817">
        <v>4216985.88</v>
      </c>
      <c r="N41" s="759">
        <f t="shared" si="5"/>
        <v>-1090231.0153999995</v>
      </c>
      <c r="O41" s="760" t="s">
        <v>721</v>
      </c>
    </row>
    <row r="42" spans="1:15" ht="15">
      <c r="A42" s="675"/>
      <c r="B42" s="834">
        <v>1860</v>
      </c>
      <c r="C42" s="776" t="s">
        <v>736</v>
      </c>
      <c r="D42" s="756">
        <v>8050423.929999955</v>
      </c>
      <c r="E42" s="756">
        <v>-1754605.15</v>
      </c>
      <c r="F42" s="817">
        <f t="shared" si="2"/>
        <v>9805029.079999955</v>
      </c>
      <c r="G42" s="756">
        <v>1138829.05</v>
      </c>
      <c r="H42" s="756">
        <v>-442497</v>
      </c>
      <c r="I42" s="756">
        <f t="shared" si="3"/>
        <v>10153195.104999956</v>
      </c>
      <c r="J42" s="757">
        <v>25</v>
      </c>
      <c r="K42" s="804">
        <f t="shared" si="0"/>
        <v>0.04</v>
      </c>
      <c r="L42" s="817">
        <f t="shared" si="1"/>
        <v>406127.8041999982</v>
      </c>
      <c r="M42" s="817">
        <v>455664.69</v>
      </c>
      <c r="N42" s="759">
        <f t="shared" si="5"/>
        <v>-49536.88580000179</v>
      </c>
      <c r="O42" s="760" t="s">
        <v>721</v>
      </c>
    </row>
    <row r="43" spans="1:15" ht="15">
      <c r="A43" s="675"/>
      <c r="B43" s="834">
        <v>1861</v>
      </c>
      <c r="C43" s="807" t="s">
        <v>737</v>
      </c>
      <c r="D43" s="756">
        <v>8375919.6</v>
      </c>
      <c r="E43" s="756">
        <v>186865.9</v>
      </c>
      <c r="F43" s="817">
        <f t="shared" si="2"/>
        <v>8189053.699999999</v>
      </c>
      <c r="G43" s="756">
        <f>2007479.69-2000</f>
        <v>2005479.69</v>
      </c>
      <c r="H43" s="756">
        <v>-72440</v>
      </c>
      <c r="I43" s="756">
        <f t="shared" si="3"/>
        <v>9155573.545</v>
      </c>
      <c r="J43" s="757">
        <v>15</v>
      </c>
      <c r="K43" s="804">
        <f t="shared" si="0"/>
        <v>0.06666666666666667</v>
      </c>
      <c r="L43" s="817">
        <f t="shared" si="1"/>
        <v>610371.5696666667</v>
      </c>
      <c r="M43" s="817">
        <v>647082.59</v>
      </c>
      <c r="N43" s="759">
        <f t="shared" si="5"/>
        <v>-36711.02033333329</v>
      </c>
      <c r="O43" s="760" t="s">
        <v>795</v>
      </c>
    </row>
    <row r="44" spans="1:15" ht="15">
      <c r="A44" s="675"/>
      <c r="B44" s="774">
        <v>1862</v>
      </c>
      <c r="C44" s="773" t="s">
        <v>783</v>
      </c>
      <c r="D44" s="817">
        <v>28061494.92</v>
      </c>
      <c r="E44" s="756"/>
      <c r="F44" s="817">
        <f t="shared" si="2"/>
        <v>28061494.92</v>
      </c>
      <c r="G44" s="756">
        <f>3828337.89+19391593.28</f>
        <v>23219931.17</v>
      </c>
      <c r="H44" s="756"/>
      <c r="I44" s="756">
        <f t="shared" si="3"/>
        <v>39671460.505</v>
      </c>
      <c r="J44" s="757">
        <v>15</v>
      </c>
      <c r="K44" s="804">
        <f t="shared" si="0"/>
        <v>0.06666666666666667</v>
      </c>
      <c r="L44" s="817">
        <f t="shared" si="1"/>
        <v>2644764.033666667</v>
      </c>
      <c r="M44" s="817">
        <v>3735397.3</v>
      </c>
      <c r="N44" s="759">
        <f t="shared" si="5"/>
        <v>-1090633.2663333328</v>
      </c>
      <c r="O44" s="765"/>
    </row>
    <row r="45" spans="1:15" ht="15">
      <c r="A45" s="675"/>
      <c r="B45" s="774">
        <v>1870</v>
      </c>
      <c r="C45" s="762" t="s">
        <v>739</v>
      </c>
      <c r="D45" s="756">
        <v>575421</v>
      </c>
      <c r="E45" s="756">
        <v>575421</v>
      </c>
      <c r="F45" s="817">
        <f t="shared" si="2"/>
        <v>0</v>
      </c>
      <c r="G45" s="756">
        <v>0</v>
      </c>
      <c r="H45" s="756"/>
      <c r="I45" s="756">
        <f t="shared" si="3"/>
        <v>0</v>
      </c>
      <c r="J45" s="757">
        <v>0</v>
      </c>
      <c r="K45" s="804">
        <f t="shared" si="0"/>
      </c>
      <c r="L45" s="817">
        <v>0</v>
      </c>
      <c r="M45" s="817"/>
      <c r="N45" s="759">
        <v>0</v>
      </c>
      <c r="O45" s="760"/>
    </row>
    <row r="46" spans="1:15" ht="15">
      <c r="A46" s="675"/>
      <c r="B46" s="834">
        <v>1908</v>
      </c>
      <c r="C46" s="776" t="s">
        <v>740</v>
      </c>
      <c r="D46" s="756">
        <v>21987988.449999973</v>
      </c>
      <c r="E46" s="817">
        <v>36850.35</v>
      </c>
      <c r="F46" s="817">
        <f t="shared" si="2"/>
        <v>21951138.09999997</v>
      </c>
      <c r="G46" s="756">
        <v>200022.83</v>
      </c>
      <c r="H46" s="756"/>
      <c r="I46" s="756">
        <f t="shared" si="3"/>
        <v>22051149.51499997</v>
      </c>
      <c r="J46" s="757">
        <v>50</v>
      </c>
      <c r="K46" s="804">
        <f t="shared" si="0"/>
        <v>0.02</v>
      </c>
      <c r="L46" s="817">
        <f>IF(J46=0,"",I46/J46)</f>
        <v>441022.9902999994</v>
      </c>
      <c r="M46" s="817">
        <v>431550.84</v>
      </c>
      <c r="N46" s="759">
        <f t="shared" si="5"/>
        <v>9472.150299999397</v>
      </c>
      <c r="O46" s="760" t="s">
        <v>721</v>
      </c>
    </row>
    <row r="47" spans="1:15" ht="15">
      <c r="A47" s="675"/>
      <c r="B47" s="774">
        <v>1908</v>
      </c>
      <c r="C47" s="776" t="s">
        <v>808</v>
      </c>
      <c r="D47" s="756">
        <v>21289586.72</v>
      </c>
      <c r="E47" s="756"/>
      <c r="F47" s="817">
        <f t="shared" si="2"/>
        <v>21289586.72</v>
      </c>
      <c r="G47" s="756">
        <v>62516.91</v>
      </c>
      <c r="H47" s="756"/>
      <c r="I47" s="756">
        <f t="shared" si="3"/>
        <v>21320845.174999997</v>
      </c>
      <c r="J47" s="757">
        <v>50</v>
      </c>
      <c r="K47" s="804">
        <f t="shared" si="0"/>
        <v>0.02</v>
      </c>
      <c r="L47" s="817">
        <f>IF(J47=0,"",I47/J47)</f>
        <v>426416.90349999996</v>
      </c>
      <c r="M47" s="836">
        <v>391293.53</v>
      </c>
      <c r="N47" s="759">
        <f t="shared" si="5"/>
        <v>35123.37349999993</v>
      </c>
      <c r="O47" s="760" t="s">
        <v>809</v>
      </c>
    </row>
    <row r="48" spans="1:15" ht="15">
      <c r="A48" s="675"/>
      <c r="B48" s="774">
        <v>1908</v>
      </c>
      <c r="C48" s="775" t="s">
        <v>810</v>
      </c>
      <c r="D48" s="756">
        <v>2776333.91</v>
      </c>
      <c r="E48" s="756"/>
      <c r="F48" s="817">
        <f t="shared" si="2"/>
        <v>2776333.91</v>
      </c>
      <c r="G48" s="756">
        <v>19359.54</v>
      </c>
      <c r="H48" s="756"/>
      <c r="I48" s="756">
        <f t="shared" si="3"/>
        <v>2786013.68</v>
      </c>
      <c r="J48" s="757">
        <v>30</v>
      </c>
      <c r="K48" s="804">
        <f t="shared" si="0"/>
        <v>0.03333333333333333</v>
      </c>
      <c r="L48" s="817">
        <f>IF(J48=0,"",I48/J48)</f>
        <v>92867.12266666668</v>
      </c>
      <c r="M48" s="836">
        <v>96107.26</v>
      </c>
      <c r="N48" s="759">
        <f t="shared" si="5"/>
        <v>-3240.1373333333177</v>
      </c>
      <c r="O48" s="760" t="s">
        <v>795</v>
      </c>
    </row>
    <row r="49" spans="1:15" ht="15">
      <c r="A49" s="675"/>
      <c r="B49" s="834">
        <v>1915</v>
      </c>
      <c r="C49" s="776" t="s">
        <v>771</v>
      </c>
      <c r="D49" s="756">
        <v>5712479.609999999</v>
      </c>
      <c r="E49" s="756">
        <v>995402.63</v>
      </c>
      <c r="F49" s="817">
        <f t="shared" si="2"/>
        <v>4717076.9799999995</v>
      </c>
      <c r="G49" s="756">
        <f>126663.42-11000</f>
        <v>115663.42</v>
      </c>
      <c r="H49" s="756"/>
      <c r="I49" s="756">
        <f t="shared" si="3"/>
        <v>4774908.6899999995</v>
      </c>
      <c r="J49" s="757">
        <v>10</v>
      </c>
      <c r="K49" s="804">
        <f t="shared" si="0"/>
        <v>0.1</v>
      </c>
      <c r="L49" s="817">
        <f>IF(J49=0,"",I49/J49)</f>
        <v>477490.86899999995</v>
      </c>
      <c r="M49" s="817">
        <v>472593.11</v>
      </c>
      <c r="N49" s="759">
        <f t="shared" si="5"/>
        <v>4897.758999999962</v>
      </c>
      <c r="O49" s="760" t="s">
        <v>721</v>
      </c>
    </row>
    <row r="50" spans="1:15" ht="15">
      <c r="A50" s="675"/>
      <c r="B50" s="834">
        <v>1920</v>
      </c>
      <c r="C50" s="776" t="s">
        <v>744</v>
      </c>
      <c r="D50" s="756">
        <v>0.6600000038743019</v>
      </c>
      <c r="E50" s="756">
        <v>11673004.91</v>
      </c>
      <c r="F50" s="817">
        <f t="shared" si="2"/>
        <v>-11673004.249999996</v>
      </c>
      <c r="G50" s="756">
        <v>0</v>
      </c>
      <c r="H50" s="756"/>
      <c r="I50" s="756">
        <f t="shared" si="3"/>
        <v>-11673004.249999996</v>
      </c>
      <c r="J50" s="757">
        <v>5</v>
      </c>
      <c r="K50" s="804">
        <f t="shared" si="0"/>
        <v>0.2</v>
      </c>
      <c r="L50" s="817">
        <f>IF(J50=0,"",I50/J50)</f>
        <v>-2334600.849999999</v>
      </c>
      <c r="M50" s="817"/>
      <c r="N50" s="759">
        <f t="shared" si="5"/>
        <v>-2334600.849999999</v>
      </c>
      <c r="O50" s="760" t="s">
        <v>795</v>
      </c>
    </row>
    <row r="51" spans="1:15" ht="15">
      <c r="A51" s="675"/>
      <c r="B51" s="834">
        <v>1920</v>
      </c>
      <c r="C51" s="762" t="s">
        <v>811</v>
      </c>
      <c r="D51" s="756">
        <v>4909285.62</v>
      </c>
      <c r="E51" s="756"/>
      <c r="F51" s="817">
        <f t="shared" si="2"/>
        <v>4909285.62</v>
      </c>
      <c r="G51" s="756">
        <v>276112.96</v>
      </c>
      <c r="H51" s="756"/>
      <c r="I51" s="756">
        <f t="shared" si="3"/>
        <v>5047342.100000001</v>
      </c>
      <c r="J51" s="757">
        <v>4</v>
      </c>
      <c r="K51" s="804">
        <f t="shared" si="0"/>
        <v>0.25</v>
      </c>
      <c r="L51" s="817">
        <f aca="true" t="shared" si="6" ref="L51:L61">IF(J51=0,"",I51/J51)</f>
        <v>1261835.5250000001</v>
      </c>
      <c r="M51" s="817">
        <v>519881.04</v>
      </c>
      <c r="N51" s="759">
        <f t="shared" si="5"/>
        <v>741954.4850000001</v>
      </c>
      <c r="O51" s="760" t="s">
        <v>795</v>
      </c>
    </row>
    <row r="52" spans="1:15" ht="15">
      <c r="A52" s="675"/>
      <c r="B52" s="834">
        <v>1920</v>
      </c>
      <c r="C52" s="762" t="s">
        <v>812</v>
      </c>
      <c r="D52" s="756">
        <v>8299864.61</v>
      </c>
      <c r="E52" s="756"/>
      <c r="F52" s="817">
        <f t="shared" si="2"/>
        <v>8299864.61</v>
      </c>
      <c r="G52" s="756">
        <v>631284.76</v>
      </c>
      <c r="H52" s="756"/>
      <c r="I52" s="756">
        <f t="shared" si="3"/>
        <v>8615506.99</v>
      </c>
      <c r="J52" s="757">
        <v>5</v>
      </c>
      <c r="K52" s="804">
        <f t="shared" si="0"/>
        <v>0.2</v>
      </c>
      <c r="L52" s="817">
        <f t="shared" si="6"/>
        <v>1723101.398</v>
      </c>
      <c r="M52" s="817">
        <v>742984.4</v>
      </c>
      <c r="N52" s="759">
        <f t="shared" si="5"/>
        <v>980116.998</v>
      </c>
      <c r="O52" s="760" t="s">
        <v>809</v>
      </c>
    </row>
    <row r="53" spans="1:15" ht="15">
      <c r="A53" s="675"/>
      <c r="B53" s="834">
        <v>1920</v>
      </c>
      <c r="C53" s="762" t="s">
        <v>813</v>
      </c>
      <c r="D53" s="756">
        <v>1236370.52</v>
      </c>
      <c r="E53" s="756"/>
      <c r="F53" s="817">
        <f t="shared" si="2"/>
        <v>1236370.52</v>
      </c>
      <c r="G53" s="756">
        <v>55355.33</v>
      </c>
      <c r="H53" s="756"/>
      <c r="I53" s="756">
        <f t="shared" si="3"/>
        <v>1264048.185</v>
      </c>
      <c r="J53" s="757">
        <v>5</v>
      </c>
      <c r="K53" s="804">
        <f t="shared" si="0"/>
        <v>0.2</v>
      </c>
      <c r="L53" s="817">
        <f t="shared" si="6"/>
        <v>252809.63700000002</v>
      </c>
      <c r="M53" s="817">
        <v>75007.47</v>
      </c>
      <c r="N53" s="759">
        <f t="shared" si="5"/>
        <v>177802.16700000002</v>
      </c>
      <c r="O53" s="760" t="s">
        <v>721</v>
      </c>
    </row>
    <row r="54" spans="1:15" ht="15">
      <c r="A54" s="675"/>
      <c r="B54" s="834">
        <v>1920</v>
      </c>
      <c r="C54" s="762" t="s">
        <v>814</v>
      </c>
      <c r="D54" s="756">
        <v>3708667.49</v>
      </c>
      <c r="E54" s="756"/>
      <c r="F54" s="817">
        <f t="shared" si="2"/>
        <v>3708667.49</v>
      </c>
      <c r="G54" s="756">
        <v>264462.4</v>
      </c>
      <c r="H54" s="756"/>
      <c r="I54" s="756">
        <f t="shared" si="3"/>
        <v>3840898.6900000004</v>
      </c>
      <c r="J54" s="757">
        <v>6</v>
      </c>
      <c r="K54" s="804">
        <f t="shared" si="0"/>
        <v>0.16666666666666666</v>
      </c>
      <c r="L54" s="817">
        <f t="shared" si="6"/>
        <v>640149.7816666667</v>
      </c>
      <c r="M54" s="817">
        <v>230045.42</v>
      </c>
      <c r="N54" s="759">
        <f t="shared" si="5"/>
        <v>410104.3616666667</v>
      </c>
      <c r="O54" s="760" t="s">
        <v>721</v>
      </c>
    </row>
    <row r="55" spans="1:15" ht="15">
      <c r="A55" s="675"/>
      <c r="B55" s="834">
        <v>1925</v>
      </c>
      <c r="C55" s="776" t="s">
        <v>745</v>
      </c>
      <c r="D55" s="756">
        <f>18544815.87+1792927</f>
        <v>20337742.87</v>
      </c>
      <c r="E55" s="756">
        <v>13293162.75</v>
      </c>
      <c r="F55" s="817">
        <f t="shared" si="2"/>
        <v>7044580.120000001</v>
      </c>
      <c r="G55" s="819">
        <f>4209863.57+293000</f>
        <v>4502863.57</v>
      </c>
      <c r="H55" s="756"/>
      <c r="I55" s="756">
        <f t="shared" si="3"/>
        <v>9296011.905000001</v>
      </c>
      <c r="J55" s="757">
        <v>4</v>
      </c>
      <c r="K55" s="804">
        <f t="shared" si="0"/>
        <v>0.25</v>
      </c>
      <c r="L55" s="817">
        <f t="shared" si="6"/>
        <v>2324002.9762500003</v>
      </c>
      <c r="M55" s="817">
        <v>2136698.96</v>
      </c>
      <c r="N55" s="759">
        <f t="shared" si="5"/>
        <v>187304.01625000034</v>
      </c>
      <c r="O55" s="760" t="s">
        <v>795</v>
      </c>
    </row>
    <row r="56" spans="1:15" ht="15">
      <c r="A56" s="675"/>
      <c r="B56" s="834">
        <v>1930</v>
      </c>
      <c r="C56" s="818" t="s">
        <v>815</v>
      </c>
      <c r="D56" s="756">
        <v>10096818</v>
      </c>
      <c r="E56" s="756">
        <v>6946150.15</v>
      </c>
      <c r="F56" s="817">
        <f t="shared" si="2"/>
        <v>3150667.8499999996</v>
      </c>
      <c r="G56" s="756">
        <v>326985.56</v>
      </c>
      <c r="H56" s="756">
        <v>-23597</v>
      </c>
      <c r="I56" s="756">
        <f t="shared" si="3"/>
        <v>3302362.1299999994</v>
      </c>
      <c r="J56" s="757">
        <v>7</v>
      </c>
      <c r="K56" s="804">
        <f t="shared" si="0"/>
        <v>0.14285714285714285</v>
      </c>
      <c r="L56" s="817">
        <f t="shared" si="6"/>
        <v>471766.0185714285</v>
      </c>
      <c r="M56" s="817">
        <v>706091.21</v>
      </c>
      <c r="N56" s="759">
        <f t="shared" si="5"/>
        <v>-234325.19142857147</v>
      </c>
      <c r="O56" s="760" t="s">
        <v>795</v>
      </c>
    </row>
    <row r="57" spans="1:15" ht="15">
      <c r="A57" s="675"/>
      <c r="B57" s="834">
        <v>1930</v>
      </c>
      <c r="C57" s="775" t="s">
        <v>816</v>
      </c>
      <c r="D57" s="756">
        <f>12310438+206726</f>
        <v>12517164</v>
      </c>
      <c r="E57" s="756"/>
      <c r="F57" s="817">
        <f t="shared" si="2"/>
        <v>12517164</v>
      </c>
      <c r="G57" s="756">
        <f>871197.22-65000</f>
        <v>806197.22</v>
      </c>
      <c r="H57" s="756">
        <v>-1827</v>
      </c>
      <c r="I57" s="756">
        <f t="shared" si="3"/>
        <v>12919349.11</v>
      </c>
      <c r="J57" s="757">
        <v>12</v>
      </c>
      <c r="K57" s="804">
        <f t="shared" si="0"/>
        <v>0.08333333333333333</v>
      </c>
      <c r="L57" s="817">
        <f t="shared" si="6"/>
        <v>1076612.4258333333</v>
      </c>
      <c r="M57" s="817">
        <v>555106.44</v>
      </c>
      <c r="N57" s="759">
        <f t="shared" si="5"/>
        <v>521505.98583333334</v>
      </c>
      <c r="O57" s="760" t="s">
        <v>795</v>
      </c>
    </row>
    <row r="58" spans="1:15" ht="15">
      <c r="A58" s="675"/>
      <c r="B58" s="834">
        <v>1930</v>
      </c>
      <c r="C58" s="775" t="s">
        <v>817</v>
      </c>
      <c r="D58" s="756">
        <v>180703</v>
      </c>
      <c r="E58" s="756"/>
      <c r="F58" s="817">
        <f t="shared" si="2"/>
        <v>180703</v>
      </c>
      <c r="G58" s="756"/>
      <c r="H58" s="756"/>
      <c r="I58" s="756">
        <f t="shared" si="3"/>
        <v>180703</v>
      </c>
      <c r="J58" s="757">
        <v>22</v>
      </c>
      <c r="K58" s="804">
        <f t="shared" si="0"/>
        <v>0.045454545454545456</v>
      </c>
      <c r="L58" s="817">
        <f t="shared" si="6"/>
        <v>8213.772727272728</v>
      </c>
      <c r="M58" s="817">
        <v>6006.5</v>
      </c>
      <c r="N58" s="759">
        <f t="shared" si="5"/>
        <v>2207.272727272728</v>
      </c>
      <c r="O58" s="760" t="s">
        <v>795</v>
      </c>
    </row>
    <row r="59" spans="1:15" ht="15">
      <c r="A59" s="675"/>
      <c r="B59" s="834">
        <v>1935</v>
      </c>
      <c r="C59" s="776" t="s">
        <v>747</v>
      </c>
      <c r="D59" s="756">
        <v>187317.3</v>
      </c>
      <c r="E59" s="756">
        <v>190894.9</v>
      </c>
      <c r="F59" s="817">
        <f t="shared" si="2"/>
        <v>-3577.600000000006</v>
      </c>
      <c r="G59" s="756">
        <v>-2000</v>
      </c>
      <c r="H59" s="756"/>
      <c r="I59" s="756">
        <f t="shared" si="3"/>
        <v>-4577.600000000006</v>
      </c>
      <c r="J59" s="757">
        <v>10</v>
      </c>
      <c r="K59" s="804">
        <f t="shared" si="0"/>
        <v>0.1</v>
      </c>
      <c r="L59" s="817">
        <f t="shared" si="6"/>
        <v>-457.76000000000056</v>
      </c>
      <c r="M59" s="817">
        <v>-357.8</v>
      </c>
      <c r="N59" s="759">
        <f t="shared" si="5"/>
        <v>-99.96000000000055</v>
      </c>
      <c r="O59" s="760" t="s">
        <v>721</v>
      </c>
    </row>
    <row r="60" spans="1:15" ht="15">
      <c r="A60" s="675"/>
      <c r="B60" s="834">
        <v>1940</v>
      </c>
      <c r="C60" s="776" t="s">
        <v>748</v>
      </c>
      <c r="D60" s="756">
        <v>6342144.07</v>
      </c>
      <c r="E60" s="756">
        <v>3061412.21</v>
      </c>
      <c r="F60" s="817">
        <f t="shared" si="2"/>
        <v>3280731.8600000003</v>
      </c>
      <c r="G60" s="756">
        <f>591184.16+6000</f>
        <v>597184.16</v>
      </c>
      <c r="H60" s="756"/>
      <c r="I60" s="756">
        <f t="shared" si="3"/>
        <v>3579323.9400000004</v>
      </c>
      <c r="J60" s="757">
        <v>10</v>
      </c>
      <c r="K60" s="804">
        <f t="shared" si="0"/>
        <v>0.1</v>
      </c>
      <c r="L60" s="817">
        <f t="shared" si="6"/>
        <v>357932.39400000003</v>
      </c>
      <c r="M60" s="817">
        <v>371410.01</v>
      </c>
      <c r="N60" s="759">
        <f t="shared" si="5"/>
        <v>-13477.61599999998</v>
      </c>
      <c r="O60" s="760" t="s">
        <v>721</v>
      </c>
    </row>
    <row r="61" spans="1:15" ht="15">
      <c r="A61" s="675"/>
      <c r="B61" s="834">
        <v>1955</v>
      </c>
      <c r="C61" s="776" t="s">
        <v>749</v>
      </c>
      <c r="D61" s="756">
        <v>2046516.44</v>
      </c>
      <c r="E61" s="756">
        <v>301039.74</v>
      </c>
      <c r="F61" s="817">
        <f t="shared" si="2"/>
        <v>1745476.7</v>
      </c>
      <c r="G61" s="756">
        <f>263417.84-1000</f>
        <v>262417.84</v>
      </c>
      <c r="H61" s="756"/>
      <c r="I61" s="756">
        <f t="shared" si="3"/>
        <v>1876685.6199999999</v>
      </c>
      <c r="J61" s="757">
        <v>6</v>
      </c>
      <c r="K61" s="804">
        <f t="shared" si="0"/>
        <v>0.16666666666666666</v>
      </c>
      <c r="L61" s="817">
        <f t="shared" si="6"/>
        <v>312780.93666666665</v>
      </c>
      <c r="M61" s="817">
        <v>373394.84</v>
      </c>
      <c r="N61" s="759">
        <f t="shared" si="5"/>
        <v>-60613.90333333338</v>
      </c>
      <c r="O61" s="760" t="s">
        <v>721</v>
      </c>
    </row>
    <row r="62" spans="1:15" ht="15">
      <c r="A62" s="675"/>
      <c r="B62" s="774">
        <v>1956</v>
      </c>
      <c r="C62" s="762" t="s">
        <v>751</v>
      </c>
      <c r="D62" s="756">
        <v>82268.65</v>
      </c>
      <c r="E62" s="756">
        <v>15607.89</v>
      </c>
      <c r="F62" s="817">
        <f t="shared" si="2"/>
        <v>66660.76</v>
      </c>
      <c r="G62" s="756">
        <v>15653.22</v>
      </c>
      <c r="H62" s="756"/>
      <c r="I62" s="756">
        <f t="shared" si="3"/>
        <v>74487.37</v>
      </c>
      <c r="J62" s="757">
        <v>3</v>
      </c>
      <c r="K62" s="804">
        <f t="shared" si="0"/>
        <v>0.3333333333333333</v>
      </c>
      <c r="L62" s="817">
        <f>IF(J62=0,"",I62/J62)</f>
        <v>24829.123333333333</v>
      </c>
      <c r="M62" s="817">
        <v>24994.27</v>
      </c>
      <c r="N62" s="759">
        <f t="shared" si="5"/>
        <v>-165.14666666666744</v>
      </c>
      <c r="O62" s="760" t="s">
        <v>721</v>
      </c>
    </row>
    <row r="63" spans="1:15" ht="15">
      <c r="A63" s="675"/>
      <c r="B63" s="834">
        <v>1960</v>
      </c>
      <c r="C63" s="776" t="s">
        <v>752</v>
      </c>
      <c r="D63" s="756"/>
      <c r="E63" s="756"/>
      <c r="F63" s="817">
        <f t="shared" si="2"/>
        <v>0</v>
      </c>
      <c r="G63" s="756">
        <v>0</v>
      </c>
      <c r="H63" s="756"/>
      <c r="I63" s="756">
        <f t="shared" si="3"/>
        <v>0</v>
      </c>
      <c r="J63" s="757">
        <v>0</v>
      </c>
      <c r="K63" s="804">
        <f t="shared" si="0"/>
      </c>
      <c r="L63" s="817">
        <f>IF(J63=0,"",I63/J63)</f>
      </c>
      <c r="M63" s="817"/>
      <c r="N63" s="759">
        <v>0</v>
      </c>
      <c r="O63" s="765"/>
    </row>
    <row r="64" spans="1:15" ht="15">
      <c r="A64" s="675"/>
      <c r="B64" s="774">
        <v>1961</v>
      </c>
      <c r="C64" s="762" t="s">
        <v>753</v>
      </c>
      <c r="D64" s="756"/>
      <c r="E64" s="756"/>
      <c r="F64" s="817">
        <f t="shared" si="2"/>
        <v>0</v>
      </c>
      <c r="G64" s="756">
        <v>0</v>
      </c>
      <c r="H64" s="756"/>
      <c r="I64" s="756">
        <f t="shared" si="3"/>
        <v>0</v>
      </c>
      <c r="J64" s="757">
        <v>3</v>
      </c>
      <c r="K64" s="804">
        <f t="shared" si="0"/>
        <v>0.3333333333333333</v>
      </c>
      <c r="L64" s="817">
        <v>0</v>
      </c>
      <c r="M64" s="817"/>
      <c r="N64" s="759">
        <f t="shared" si="5"/>
        <v>0</v>
      </c>
      <c r="O64" s="760" t="s">
        <v>721</v>
      </c>
    </row>
    <row r="65" spans="1:15" ht="15">
      <c r="A65" s="675"/>
      <c r="B65" s="834">
        <v>1980</v>
      </c>
      <c r="C65" s="776" t="s">
        <v>755</v>
      </c>
      <c r="D65" s="756">
        <v>3826587.149999993</v>
      </c>
      <c r="E65" s="756">
        <v>7306416.79</v>
      </c>
      <c r="F65" s="817">
        <f t="shared" si="2"/>
        <v>-3479829.640000007</v>
      </c>
      <c r="G65" s="756">
        <f>209211.67+35000</f>
        <v>244211.67</v>
      </c>
      <c r="H65" s="756"/>
      <c r="I65" s="756">
        <f t="shared" si="3"/>
        <v>-3357723.805000007</v>
      </c>
      <c r="J65" s="757">
        <v>15</v>
      </c>
      <c r="K65" s="804">
        <f t="shared" si="0"/>
        <v>0.06666666666666667</v>
      </c>
      <c r="L65" s="817">
        <f>IF(J65=0,"",I65/J65)</f>
        <v>-223848.25366666715</v>
      </c>
      <c r="M65" s="817">
        <v>265615.57666666666</v>
      </c>
      <c r="N65" s="759">
        <f t="shared" si="5"/>
        <v>-489463.8303333338</v>
      </c>
      <c r="O65" s="760" t="s">
        <v>721</v>
      </c>
    </row>
    <row r="66" spans="1:15" ht="15">
      <c r="A66" s="675"/>
      <c r="B66" s="774">
        <v>1980</v>
      </c>
      <c r="C66" s="762" t="s">
        <v>818</v>
      </c>
      <c r="D66" s="756">
        <v>13846128.85</v>
      </c>
      <c r="E66" s="756"/>
      <c r="F66" s="817">
        <f t="shared" si="2"/>
        <v>13846128.85</v>
      </c>
      <c r="G66" s="756">
        <v>244261.56</v>
      </c>
      <c r="H66" s="756">
        <v>-13392</v>
      </c>
      <c r="I66" s="756">
        <f t="shared" si="3"/>
        <v>13961563.629999999</v>
      </c>
      <c r="J66" s="757">
        <v>15</v>
      </c>
      <c r="K66" s="804">
        <f t="shared" si="0"/>
        <v>0.06666666666666667</v>
      </c>
      <c r="L66" s="817">
        <f>IF(J66=0,"",I66/J66)</f>
        <v>930770.9086666666</v>
      </c>
      <c r="M66" s="817">
        <v>962230.68</v>
      </c>
      <c r="N66" s="759">
        <f t="shared" si="5"/>
        <v>-31459.771333333454</v>
      </c>
      <c r="O66" s="760" t="s">
        <v>795</v>
      </c>
    </row>
    <row r="67" spans="1:15" ht="15">
      <c r="A67" s="675"/>
      <c r="B67" s="774">
        <v>1980</v>
      </c>
      <c r="C67" s="762" t="s">
        <v>819</v>
      </c>
      <c r="D67" s="756">
        <v>1320475.5</v>
      </c>
      <c r="E67" s="756"/>
      <c r="F67" s="817">
        <f t="shared" si="2"/>
        <v>1320475.5</v>
      </c>
      <c r="G67" s="756">
        <v>23309.66</v>
      </c>
      <c r="H67" s="756"/>
      <c r="I67" s="756">
        <f t="shared" si="3"/>
        <v>1332130.33</v>
      </c>
      <c r="J67" s="757">
        <v>10</v>
      </c>
      <c r="K67" s="804">
        <f t="shared" si="0"/>
        <v>0.1</v>
      </c>
      <c r="L67" s="817">
        <f>IF(J67=0,"",I67/J67)</f>
        <v>133213.033</v>
      </c>
      <c r="M67" s="817">
        <v>223806.9</v>
      </c>
      <c r="N67" s="759">
        <f t="shared" si="5"/>
        <v>-90593.867</v>
      </c>
      <c r="O67" s="760" t="s">
        <v>795</v>
      </c>
    </row>
    <row r="68" spans="1:15" ht="15">
      <c r="A68" s="675"/>
      <c r="B68" s="834">
        <v>1985</v>
      </c>
      <c r="C68" s="818" t="s">
        <v>756</v>
      </c>
      <c r="D68" s="756"/>
      <c r="E68" s="756"/>
      <c r="F68" s="817">
        <f t="shared" si="2"/>
        <v>0</v>
      </c>
      <c r="G68" s="756">
        <v>0</v>
      </c>
      <c r="H68" s="756"/>
      <c r="I68" s="756">
        <f t="shared" si="3"/>
        <v>0</v>
      </c>
      <c r="J68" s="757">
        <v>0</v>
      </c>
      <c r="K68" s="804">
        <f t="shared" si="0"/>
      </c>
      <c r="L68" s="817">
        <v>0</v>
      </c>
      <c r="M68" s="817"/>
      <c r="N68" s="759">
        <f t="shared" si="5"/>
        <v>0</v>
      </c>
      <c r="O68" s="765"/>
    </row>
    <row r="69" spans="1:15" ht="15">
      <c r="A69" s="675"/>
      <c r="B69" s="834">
        <v>1995</v>
      </c>
      <c r="C69" s="776" t="s">
        <v>757</v>
      </c>
      <c r="D69" s="756">
        <v>-283353296.369825</v>
      </c>
      <c r="E69" s="756"/>
      <c r="F69" s="817">
        <f t="shared" si="2"/>
        <v>-283353296.369825</v>
      </c>
      <c r="G69" s="756">
        <v>-22621000</v>
      </c>
      <c r="H69" s="756">
        <v>516000</v>
      </c>
      <c r="I69" s="756">
        <f t="shared" si="3"/>
        <v>-294405796.369825</v>
      </c>
      <c r="J69" s="757">
        <v>38</v>
      </c>
      <c r="K69" s="804">
        <f t="shared" si="0"/>
        <v>0.02631578947368421</v>
      </c>
      <c r="L69" s="817">
        <f>IF(J69=0,"",I69/J69)</f>
        <v>-7747520.957100658</v>
      </c>
      <c r="M69" s="817">
        <v>-7382501</v>
      </c>
      <c r="N69" s="759">
        <f t="shared" si="5"/>
        <v>-365019.95710065775</v>
      </c>
      <c r="O69" s="760" t="s">
        <v>795</v>
      </c>
    </row>
    <row r="70" spans="1:15" ht="15">
      <c r="A70" s="675"/>
      <c r="B70" s="834">
        <v>1996</v>
      </c>
      <c r="C70" s="776" t="s">
        <v>757</v>
      </c>
      <c r="D70" s="756"/>
      <c r="E70" s="756"/>
      <c r="F70" s="817">
        <f t="shared" si="2"/>
        <v>0</v>
      </c>
      <c r="G70" s="756"/>
      <c r="H70" s="756"/>
      <c r="I70" s="756">
        <f t="shared" si="3"/>
        <v>0</v>
      </c>
      <c r="J70" s="757">
        <v>37.5</v>
      </c>
      <c r="K70" s="804">
        <f t="shared" si="0"/>
        <v>0.02666666666666667</v>
      </c>
      <c r="L70" s="817">
        <f>IF(J70=0,"",I70/J70)</f>
        <v>0</v>
      </c>
      <c r="M70" s="817"/>
      <c r="N70" s="759">
        <f t="shared" si="5"/>
        <v>0</v>
      </c>
      <c r="O70" s="765"/>
    </row>
    <row r="71" spans="1:15" ht="15">
      <c r="A71" s="675"/>
      <c r="B71" s="834">
        <v>2005</v>
      </c>
      <c r="C71" s="802" t="s">
        <v>784</v>
      </c>
      <c r="D71" s="756">
        <v>18280294.05</v>
      </c>
      <c r="E71" s="756"/>
      <c r="F71" s="817">
        <f t="shared" si="2"/>
        <v>18280294.05</v>
      </c>
      <c r="G71" s="756">
        <v>0</v>
      </c>
      <c r="H71" s="756"/>
      <c r="I71" s="756">
        <f t="shared" si="3"/>
        <v>18280294.05</v>
      </c>
      <c r="J71" s="757">
        <v>25</v>
      </c>
      <c r="K71" s="804">
        <f>IF(J71=0,"",1/J71)</f>
        <v>0.04</v>
      </c>
      <c r="L71" s="817">
        <f>IF(J71=0,"",I71/J71)</f>
        <v>731211.762</v>
      </c>
      <c r="M71" s="817">
        <v>730711.27</v>
      </c>
      <c r="N71" s="759">
        <f t="shared" si="5"/>
        <v>500.49199999996927</v>
      </c>
      <c r="O71" s="760" t="s">
        <v>721</v>
      </c>
    </row>
    <row r="72" spans="1:15" ht="15">
      <c r="A72" s="675"/>
      <c r="B72" s="774">
        <v>1611</v>
      </c>
      <c r="C72" s="775" t="s">
        <v>785</v>
      </c>
      <c r="D72" s="756"/>
      <c r="E72" s="756"/>
      <c r="F72" s="817">
        <f t="shared" si="2"/>
        <v>0</v>
      </c>
      <c r="G72" s="819">
        <f>609442-1000</f>
        <v>608442</v>
      </c>
      <c r="H72" s="756"/>
      <c r="I72" s="756">
        <f t="shared" si="3"/>
        <v>304221</v>
      </c>
      <c r="J72" s="757">
        <v>25</v>
      </c>
      <c r="K72" s="804">
        <f>IF(J72=0,"",1/J72)</f>
        <v>0.04</v>
      </c>
      <c r="L72" s="817">
        <f>IF(J72=0,"",I72/J72)</f>
        <v>12168.84</v>
      </c>
      <c r="M72" s="817">
        <v>28970.46</v>
      </c>
      <c r="N72" s="759">
        <f t="shared" si="5"/>
        <v>-16801.62</v>
      </c>
      <c r="O72" s="765"/>
    </row>
    <row r="73" spans="1:15" ht="15.75" thickBot="1">
      <c r="A73" s="675"/>
      <c r="B73" s="769"/>
      <c r="C73" s="776"/>
      <c r="D73" s="803"/>
      <c r="E73" s="803"/>
      <c r="F73" s="817"/>
      <c r="G73" s="803"/>
      <c r="H73" s="803"/>
      <c r="I73" s="756"/>
      <c r="J73" s="837"/>
      <c r="K73" s="756">
        <f>IF(J73=0,"",1/J73)</f>
      </c>
      <c r="L73" s="838">
        <f>IF(J73=0,"",I73/J73)</f>
      </c>
      <c r="M73" s="838"/>
      <c r="N73" s="839"/>
      <c r="O73" s="788"/>
    </row>
    <row r="74" spans="1:15" ht="16.5" thickBot="1" thickTop="1">
      <c r="A74" s="675"/>
      <c r="B74" s="789"/>
      <c r="C74" s="813" t="s">
        <v>112</v>
      </c>
      <c r="D74" s="792">
        <f aca="true" t="shared" si="7" ref="D74:I74">SUM(D16:D73)</f>
        <v>1230030699.2501743</v>
      </c>
      <c r="E74" s="792">
        <f t="shared" si="7"/>
        <v>197252698.23</v>
      </c>
      <c r="F74" s="792">
        <f t="shared" si="7"/>
        <v>1032778001.0201741</v>
      </c>
      <c r="G74" s="792">
        <f t="shared" si="7"/>
        <v>84083883.19000001</v>
      </c>
      <c r="H74" s="792">
        <f t="shared" si="7"/>
        <v>-1749113</v>
      </c>
      <c r="I74" s="792">
        <f t="shared" si="7"/>
        <v>1073945386.1151743</v>
      </c>
      <c r="J74" s="793"/>
      <c r="K74" s="792"/>
      <c r="L74" s="792">
        <f>SUM(L16:L73)</f>
        <v>35927207.75555082</v>
      </c>
      <c r="M74" s="792">
        <f>SUM(M16:M73)</f>
        <v>35499133.640000015</v>
      </c>
      <c r="N74" s="792">
        <f>SUM(N16:N73)</f>
        <v>428074.11555081175</v>
      </c>
      <c r="O74" s="796"/>
    </row>
    <row r="75" spans="1:15" ht="15">
      <c r="A75" s="675"/>
      <c r="B75" s="675"/>
      <c r="C75" s="675"/>
      <c r="D75" s="675"/>
      <c r="E75" s="675"/>
      <c r="F75" s="675"/>
      <c r="G75" s="675"/>
      <c r="H75" s="675"/>
      <c r="I75" s="675"/>
      <c r="J75" s="675"/>
      <c r="K75" s="675"/>
      <c r="L75" s="675"/>
      <c r="M75" s="675"/>
      <c r="N75" s="840"/>
      <c r="O75" s="675"/>
    </row>
    <row r="76" spans="1:15" ht="15">
      <c r="A76" s="675"/>
      <c r="B76" s="698" t="s">
        <v>265</v>
      </c>
      <c r="C76" s="699"/>
      <c r="D76" s="699"/>
      <c r="E76" s="699"/>
      <c r="F76" s="797"/>
      <c r="G76" s="841"/>
      <c r="H76" s="699"/>
      <c r="I76" s="699"/>
      <c r="J76" s="699"/>
      <c r="K76" s="699"/>
      <c r="L76" s="699"/>
      <c r="M76" s="699"/>
      <c r="N76" s="699"/>
      <c r="O76" s="675"/>
    </row>
    <row r="77" spans="1:15" ht="15">
      <c r="A77" s="675"/>
      <c r="B77" s="699"/>
      <c r="C77" s="699"/>
      <c r="D77" s="699"/>
      <c r="E77" s="699"/>
      <c r="F77" s="699"/>
      <c r="G77" s="842"/>
      <c r="H77" s="699"/>
      <c r="I77" s="699"/>
      <c r="J77" s="699"/>
      <c r="K77" s="699"/>
      <c r="L77" s="699"/>
      <c r="M77" s="699"/>
      <c r="N77" s="699"/>
      <c r="O77" s="675"/>
    </row>
    <row r="78" spans="1:15" ht="15">
      <c r="A78" s="675"/>
      <c r="B78" s="968" t="s">
        <v>758</v>
      </c>
      <c r="C78" s="970"/>
      <c r="D78" s="970"/>
      <c r="E78" s="970"/>
      <c r="F78" s="970"/>
      <c r="G78" s="970"/>
      <c r="H78" s="970"/>
      <c r="I78" s="970"/>
      <c r="J78" s="970"/>
      <c r="K78" s="970"/>
      <c r="L78" s="675"/>
      <c r="M78" s="675"/>
      <c r="N78" s="675"/>
      <c r="O78" s="675"/>
    </row>
    <row r="79" spans="1:15" ht="15">
      <c r="A79" s="675"/>
      <c r="B79" s="968" t="s">
        <v>786</v>
      </c>
      <c r="C79" s="970"/>
      <c r="D79" s="970"/>
      <c r="E79" s="970"/>
      <c r="F79" s="970"/>
      <c r="G79" s="970"/>
      <c r="H79" s="970"/>
      <c r="I79" s="970"/>
      <c r="J79" s="970"/>
      <c r="K79" s="970"/>
      <c r="L79" s="675"/>
      <c r="M79" s="675"/>
      <c r="N79" s="675"/>
      <c r="O79" s="675"/>
    </row>
    <row r="80" spans="1:15" ht="15">
      <c r="A80" s="675"/>
      <c r="B80" s="979" t="s">
        <v>820</v>
      </c>
      <c r="C80" s="982"/>
      <c r="D80" s="982"/>
      <c r="E80" s="982"/>
      <c r="F80" s="982"/>
      <c r="G80" s="982"/>
      <c r="H80" s="982"/>
      <c r="I80" s="982"/>
      <c r="J80" s="982"/>
      <c r="K80" s="982"/>
      <c r="L80" s="675"/>
      <c r="M80" s="675"/>
      <c r="N80" s="675"/>
      <c r="O80" s="675"/>
    </row>
    <row r="81" spans="1:15" ht="15">
      <c r="A81" s="675"/>
      <c r="B81" s="982"/>
      <c r="C81" s="982"/>
      <c r="D81" s="982"/>
      <c r="E81" s="982"/>
      <c r="F81" s="982"/>
      <c r="G81" s="982"/>
      <c r="H81" s="982"/>
      <c r="I81" s="982"/>
      <c r="J81" s="982"/>
      <c r="K81" s="982"/>
      <c r="L81" s="675"/>
      <c r="M81" s="675"/>
      <c r="N81" s="675"/>
      <c r="O81" s="675"/>
    </row>
    <row r="82" spans="1:15" ht="15">
      <c r="A82" s="675"/>
      <c r="B82" s="968" t="s">
        <v>821</v>
      </c>
      <c r="C82" s="969"/>
      <c r="D82" s="969"/>
      <c r="E82" s="969"/>
      <c r="F82" s="969"/>
      <c r="G82" s="969"/>
      <c r="H82" s="969"/>
      <c r="I82" s="969"/>
      <c r="J82" s="969"/>
      <c r="K82" s="969"/>
      <c r="L82" s="699"/>
      <c r="M82" s="699"/>
      <c r="N82" s="699"/>
      <c r="O82" s="675"/>
    </row>
    <row r="83" spans="1:15" ht="15" customHeight="1">
      <c r="A83" s="675"/>
      <c r="B83" s="968" t="s">
        <v>788</v>
      </c>
      <c r="C83" s="970"/>
      <c r="D83" s="970"/>
      <c r="E83" s="970"/>
      <c r="F83" s="970"/>
      <c r="G83" s="970"/>
      <c r="H83" s="970"/>
      <c r="I83" s="970"/>
      <c r="J83" s="970"/>
      <c r="K83" s="970"/>
      <c r="L83" s="970"/>
      <c r="M83" s="970"/>
      <c r="N83" s="970"/>
      <c r="O83" s="970"/>
    </row>
  </sheetData>
  <mergeCells count="10">
    <mergeCell ref="B82:K82"/>
    <mergeCell ref="B83:O83"/>
    <mergeCell ref="O14:O15"/>
    <mergeCell ref="B78:K78"/>
    <mergeCell ref="B79:K79"/>
    <mergeCell ref="B80:K81"/>
    <mergeCell ref="B9:L9"/>
    <mergeCell ref="B10:L10"/>
    <mergeCell ref="B14:B15"/>
    <mergeCell ref="C14:C15"/>
  </mergeCells>
  <dataValidations count="2">
    <dataValidation allowBlank="1" showInputMessage="1" showErrorMessage="1" promptTitle="Date Format" prompt="E.g:  &quot;August 1, 2011&quot;" sqref="L7:N7"/>
    <dataValidation type="list" allowBlank="1" showInputMessage="1" showErrorMessage="1" sqref="O16:O73">
      <formula1>"Yes, No"</formula1>
    </dataValidation>
  </dataValidations>
  <printOptions/>
  <pageMargins left="0.75" right="0.75" top="0.36" bottom="0.17" header="0.32" footer="0.16"/>
  <pageSetup fitToHeight="1" fitToWidth="1" horizontalDpi="600" verticalDpi="600" orientation="landscape" scale="46"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P90"/>
  <sheetViews>
    <sheetView zoomScale="85" zoomScaleNormal="85" workbookViewId="0" topLeftCell="D31">
      <selection activeCell="B90" sqref="B90"/>
    </sheetView>
  </sheetViews>
  <sheetFormatPr defaultColWidth="9.140625" defaultRowHeight="15"/>
  <cols>
    <col min="1" max="1" width="2.28125" style="0" customWidth="1"/>
    <col min="2" max="2" width="9.28125" style="0" bestFit="1" customWidth="1"/>
    <col min="3" max="3" width="39.421875" style="0" bestFit="1" customWidth="1"/>
    <col min="4" max="4" width="15.140625" style="0" bestFit="1" customWidth="1"/>
    <col min="5" max="5" width="13.57421875" style="0" bestFit="1" customWidth="1"/>
    <col min="6" max="6" width="15.140625" style="0" bestFit="1" customWidth="1"/>
    <col min="7" max="7" width="13.28125" style="0" bestFit="1" customWidth="1"/>
    <col min="8" max="8" width="13.00390625" style="0" bestFit="1" customWidth="1"/>
    <col min="9" max="9" width="12.28125" style="0" bestFit="1" customWidth="1"/>
    <col min="10" max="10" width="15.28125" style="0" customWidth="1"/>
    <col min="11" max="11" width="12.8515625" style="0" bestFit="1" customWidth="1"/>
    <col min="12" max="12" width="12.421875" style="0" customWidth="1"/>
    <col min="13" max="13" width="12.7109375" style="0" bestFit="1" customWidth="1"/>
    <col min="14" max="14" width="12.28125" style="0" bestFit="1" customWidth="1"/>
    <col min="15" max="15" width="11.28125" style="0" bestFit="1" customWidth="1"/>
    <col min="16" max="16" width="16.28125" style="0" bestFit="1" customWidth="1"/>
  </cols>
  <sheetData>
    <row r="1" spans="1:16" ht="15">
      <c r="A1" s="675"/>
      <c r="B1" s="675"/>
      <c r="C1" s="675"/>
      <c r="D1" s="675"/>
      <c r="E1" s="675"/>
      <c r="F1" s="675"/>
      <c r="G1" s="675"/>
      <c r="H1" s="675"/>
      <c r="I1" s="675"/>
      <c r="J1" s="675"/>
      <c r="K1" s="698" t="s">
        <v>10</v>
      </c>
      <c r="L1" s="675"/>
      <c r="M1" s="677" t="s">
        <v>11</v>
      </c>
      <c r="N1" s="677"/>
      <c r="O1" s="677"/>
      <c r="P1" s="675"/>
    </row>
    <row r="2" spans="1:16" ht="15">
      <c r="A2" s="675"/>
      <c r="B2" s="675"/>
      <c r="C2" s="675"/>
      <c r="D2" s="675"/>
      <c r="E2" s="675"/>
      <c r="F2" s="675"/>
      <c r="G2" s="675"/>
      <c r="H2" s="675"/>
      <c r="I2" s="675"/>
      <c r="J2" s="675"/>
      <c r="K2" s="698" t="s">
        <v>12</v>
      </c>
      <c r="L2" s="675"/>
      <c r="M2" s="677" t="s">
        <v>619</v>
      </c>
      <c r="N2" s="677"/>
      <c r="O2" s="677"/>
      <c r="P2" s="675"/>
    </row>
    <row r="3" spans="1:16" ht="15">
      <c r="A3" s="675"/>
      <c r="B3" s="675"/>
      <c r="C3" s="675"/>
      <c r="D3" s="675"/>
      <c r="E3" s="675"/>
      <c r="F3" s="675"/>
      <c r="G3" s="675"/>
      <c r="H3" s="675"/>
      <c r="I3" s="675"/>
      <c r="J3" s="675"/>
      <c r="K3" s="698" t="s">
        <v>14</v>
      </c>
      <c r="L3" s="675"/>
      <c r="M3" s="711" t="s">
        <v>620</v>
      </c>
      <c r="N3" s="677"/>
      <c r="O3" s="677"/>
      <c r="P3" s="675"/>
    </row>
    <row r="4" spans="1:16" ht="15">
      <c r="A4" s="675"/>
      <c r="B4" s="675"/>
      <c r="C4" s="675"/>
      <c r="D4" s="675"/>
      <c r="E4" s="675"/>
      <c r="F4" s="675"/>
      <c r="G4" s="675"/>
      <c r="H4" s="675"/>
      <c r="I4" s="675"/>
      <c r="J4" s="675"/>
      <c r="K4" s="698" t="s">
        <v>16</v>
      </c>
      <c r="L4" s="675"/>
      <c r="M4" s="677" t="s">
        <v>688</v>
      </c>
      <c r="N4" s="677"/>
      <c r="O4" s="677"/>
      <c r="P4" s="675"/>
    </row>
    <row r="5" spans="1:16" ht="15">
      <c r="A5" s="675"/>
      <c r="B5" s="675"/>
      <c r="C5" s="675"/>
      <c r="D5" s="675"/>
      <c r="E5" s="675"/>
      <c r="F5" s="675"/>
      <c r="G5" s="675"/>
      <c r="H5" s="675"/>
      <c r="I5" s="675"/>
      <c r="J5" s="675"/>
      <c r="K5" s="698" t="s">
        <v>18</v>
      </c>
      <c r="L5" s="675"/>
      <c r="M5" s="677" t="s">
        <v>777</v>
      </c>
      <c r="N5" s="677"/>
      <c r="O5" s="677"/>
      <c r="P5" s="675"/>
    </row>
    <row r="6" spans="1:16" ht="15">
      <c r="A6" s="675"/>
      <c r="B6" s="675"/>
      <c r="C6" s="675"/>
      <c r="D6" s="675"/>
      <c r="E6" s="675"/>
      <c r="F6" s="675"/>
      <c r="G6" s="675"/>
      <c r="H6" s="675"/>
      <c r="I6" s="675"/>
      <c r="J6" s="675"/>
      <c r="K6" s="698"/>
      <c r="L6" s="675"/>
      <c r="M6" s="675"/>
      <c r="N6" s="675"/>
      <c r="O6" s="675"/>
      <c r="P6" s="675"/>
    </row>
    <row r="7" spans="1:16" ht="15">
      <c r="A7" s="675"/>
      <c r="B7" s="675"/>
      <c r="C7" s="675"/>
      <c r="D7" s="675"/>
      <c r="E7" s="675"/>
      <c r="F7" s="675"/>
      <c r="G7" s="675"/>
      <c r="H7" s="675"/>
      <c r="I7" s="675"/>
      <c r="J7" s="675"/>
      <c r="K7" s="698" t="s">
        <v>19</v>
      </c>
      <c r="L7" s="675"/>
      <c r="M7" s="678" t="s">
        <v>690</v>
      </c>
      <c r="N7" s="678"/>
      <c r="O7" s="678"/>
      <c r="P7" s="675"/>
    </row>
    <row r="8" spans="1:16" ht="15">
      <c r="A8" s="675"/>
      <c r="B8" s="675"/>
      <c r="C8" s="675"/>
      <c r="D8" s="675"/>
      <c r="E8" s="675"/>
      <c r="F8" s="675"/>
      <c r="G8" s="675"/>
      <c r="H8" s="675"/>
      <c r="I8" s="675"/>
      <c r="J8" s="675"/>
      <c r="K8" s="675"/>
      <c r="L8" s="675"/>
      <c r="M8" s="675"/>
      <c r="N8" s="675"/>
      <c r="O8" s="675"/>
      <c r="P8" s="675"/>
    </row>
    <row r="9" spans="1:16" ht="18">
      <c r="A9" s="675"/>
      <c r="B9" s="918" t="s">
        <v>691</v>
      </c>
      <c r="C9" s="918"/>
      <c r="D9" s="918"/>
      <c r="E9" s="918"/>
      <c r="F9" s="918"/>
      <c r="G9" s="918"/>
      <c r="H9" s="918"/>
      <c r="I9" s="918"/>
      <c r="J9" s="918"/>
      <c r="K9" s="918"/>
      <c r="L9" s="918"/>
      <c r="M9" s="918"/>
      <c r="N9" s="679"/>
      <c r="O9" s="679"/>
      <c r="P9" s="675"/>
    </row>
    <row r="10" spans="1:16" ht="18">
      <c r="A10" s="675"/>
      <c r="B10" s="918" t="s">
        <v>692</v>
      </c>
      <c r="C10" s="918"/>
      <c r="D10" s="918"/>
      <c r="E10" s="918"/>
      <c r="F10" s="918"/>
      <c r="G10" s="918"/>
      <c r="H10" s="918"/>
      <c r="I10" s="918"/>
      <c r="J10" s="918"/>
      <c r="K10" s="918"/>
      <c r="L10" s="918"/>
      <c r="M10" s="918"/>
      <c r="N10" s="679"/>
      <c r="O10" s="679"/>
      <c r="P10" s="675"/>
    </row>
    <row r="11" spans="1:16" ht="18">
      <c r="A11" s="675"/>
      <c r="B11" s="679"/>
      <c r="C11" s="679"/>
      <c r="D11" s="679"/>
      <c r="E11" s="679"/>
      <c r="F11" s="679"/>
      <c r="G11" s="679"/>
      <c r="H11" s="679"/>
      <c r="I11" s="679"/>
      <c r="J11" s="679"/>
      <c r="K11" s="679"/>
      <c r="L11" s="679"/>
      <c r="M11" s="679"/>
      <c r="N11" s="679"/>
      <c r="O11" s="679"/>
      <c r="P11" s="675"/>
    </row>
    <row r="12" spans="1:16" ht="18">
      <c r="A12" s="675"/>
      <c r="B12" s="679"/>
      <c r="C12" s="679"/>
      <c r="D12" s="679"/>
      <c r="E12" s="740" t="s">
        <v>693</v>
      </c>
      <c r="F12" s="741">
        <v>2012</v>
      </c>
      <c r="G12" s="742" t="s">
        <v>789</v>
      </c>
      <c r="H12" s="742"/>
      <c r="I12" s="742"/>
      <c r="J12" s="679"/>
      <c r="K12" s="679"/>
      <c r="L12" s="679"/>
      <c r="M12" s="679"/>
      <c r="N12" s="679"/>
      <c r="O12" s="679"/>
      <c r="P12" s="675"/>
    </row>
    <row r="13" spans="1:16" ht="15.75" thickBot="1">
      <c r="A13" s="675"/>
      <c r="B13" s="675"/>
      <c r="C13" s="675"/>
      <c r="D13" s="675"/>
      <c r="E13" s="675"/>
      <c r="F13" s="675"/>
      <c r="G13" s="675"/>
      <c r="H13" s="675"/>
      <c r="I13" s="675"/>
      <c r="J13" s="675"/>
      <c r="K13" s="675"/>
      <c r="L13" s="675"/>
      <c r="M13" s="675"/>
      <c r="N13" s="675"/>
      <c r="O13" s="675"/>
      <c r="P13" s="675"/>
    </row>
    <row r="14" spans="1:16" ht="51">
      <c r="A14" s="675"/>
      <c r="B14" s="964" t="s">
        <v>145</v>
      </c>
      <c r="C14" s="983" t="s">
        <v>146</v>
      </c>
      <c r="D14" s="826" t="s">
        <v>822</v>
      </c>
      <c r="E14" s="745" t="s">
        <v>699</v>
      </c>
      <c r="F14" s="843" t="s">
        <v>700</v>
      </c>
      <c r="G14" s="843" t="s">
        <v>701</v>
      </c>
      <c r="H14" s="843" t="s">
        <v>823</v>
      </c>
      <c r="I14" s="843" t="s">
        <v>697</v>
      </c>
      <c r="J14" s="843" t="s">
        <v>791</v>
      </c>
      <c r="K14" s="843" t="s">
        <v>703</v>
      </c>
      <c r="L14" s="843" t="s">
        <v>704</v>
      </c>
      <c r="M14" s="843" t="s">
        <v>792</v>
      </c>
      <c r="N14" s="843" t="s">
        <v>779</v>
      </c>
      <c r="O14" s="844" t="s">
        <v>707</v>
      </c>
      <c r="P14" s="971" t="s">
        <v>708</v>
      </c>
    </row>
    <row r="15" spans="1:16" ht="38.25">
      <c r="A15" s="675"/>
      <c r="B15" s="965"/>
      <c r="C15" s="984"/>
      <c r="D15" s="749" t="s">
        <v>709</v>
      </c>
      <c r="E15" s="749" t="s">
        <v>710</v>
      </c>
      <c r="F15" s="827" t="s">
        <v>711</v>
      </c>
      <c r="G15" s="827" t="s">
        <v>712</v>
      </c>
      <c r="H15" s="845" t="s">
        <v>717</v>
      </c>
      <c r="I15" s="845" t="s">
        <v>715</v>
      </c>
      <c r="J15" s="846" t="s">
        <v>824</v>
      </c>
      <c r="K15" s="827" t="s">
        <v>715</v>
      </c>
      <c r="L15" s="827" t="s">
        <v>716</v>
      </c>
      <c r="M15" s="827" t="s">
        <v>781</v>
      </c>
      <c r="N15" s="827" t="s">
        <v>718</v>
      </c>
      <c r="O15" s="828" t="s">
        <v>825</v>
      </c>
      <c r="P15" s="972"/>
    </row>
    <row r="16" spans="1:16" ht="15">
      <c r="A16" s="675"/>
      <c r="B16" s="719">
        <v>1805</v>
      </c>
      <c r="C16" s="754" t="s">
        <v>720</v>
      </c>
      <c r="D16" s="756">
        <v>10966831.830000002</v>
      </c>
      <c r="E16" s="756"/>
      <c r="F16" s="817">
        <f aca="true" t="shared" si="0" ref="F16:F76">D16-E16</f>
        <v>10966831.830000002</v>
      </c>
      <c r="G16" s="756">
        <v>550000.0007450581</v>
      </c>
      <c r="H16" s="756">
        <v>-550000</v>
      </c>
      <c r="I16" s="756"/>
      <c r="J16" s="756">
        <f>F16+0.5*G16+0.5*I16+0.5*H16</f>
        <v>10966831.830372531</v>
      </c>
      <c r="K16" s="757">
        <v>0</v>
      </c>
      <c r="L16" s="847">
        <f>IF(K16=0,"",1/K16)</f>
      </c>
      <c r="M16" s="848">
        <v>0</v>
      </c>
      <c r="N16" s="848"/>
      <c r="O16" s="849"/>
      <c r="P16" s="765"/>
    </row>
    <row r="17" spans="1:16" ht="15">
      <c r="A17" s="675"/>
      <c r="B17" s="761">
        <v>1806</v>
      </c>
      <c r="C17" s="762" t="s">
        <v>722</v>
      </c>
      <c r="D17" s="756">
        <v>765751.97</v>
      </c>
      <c r="E17" s="756"/>
      <c r="F17" s="817">
        <f t="shared" si="0"/>
        <v>765751.97</v>
      </c>
      <c r="G17" s="756">
        <v>38966.399880743025</v>
      </c>
      <c r="H17" s="756"/>
      <c r="I17" s="756"/>
      <c r="J17" s="756">
        <f aca="true" t="shared" si="1" ref="J17:J78">F17+0.5*G17+0.5*I17+0.5*H17</f>
        <v>785235.1699403715</v>
      </c>
      <c r="K17" s="757">
        <v>0</v>
      </c>
      <c r="L17" s="847"/>
      <c r="M17" s="848">
        <v>0</v>
      </c>
      <c r="N17" s="848"/>
      <c r="O17" s="849"/>
      <c r="P17" s="765"/>
    </row>
    <row r="18" spans="1:16" ht="15">
      <c r="A18" s="675"/>
      <c r="B18" s="829">
        <v>1808</v>
      </c>
      <c r="C18" s="802" t="s">
        <v>723</v>
      </c>
      <c r="D18" s="756">
        <v>7357838.999999975</v>
      </c>
      <c r="E18" s="756">
        <v>103323.29</v>
      </c>
      <c r="F18" s="817">
        <f t="shared" si="0"/>
        <v>7254515.709999975</v>
      </c>
      <c r="G18" s="756">
        <v>6411.240053374171</v>
      </c>
      <c r="H18" s="756"/>
      <c r="I18" s="756"/>
      <c r="J18" s="756">
        <f t="shared" si="1"/>
        <v>7257721.330026662</v>
      </c>
      <c r="K18" s="757">
        <v>40</v>
      </c>
      <c r="L18" s="850">
        <f>1/K18</f>
        <v>0.025</v>
      </c>
      <c r="M18" s="848">
        <f aca="true" t="shared" si="2" ref="M18:M53">IF(K18=0,"",J18/K18)</f>
        <v>181443.03325066654</v>
      </c>
      <c r="N18" s="848">
        <v>196000</v>
      </c>
      <c r="O18" s="849">
        <f>+M18-N18</f>
        <v>-14556.966749333456</v>
      </c>
      <c r="P18" s="760" t="s">
        <v>795</v>
      </c>
    </row>
    <row r="19" spans="1:16" ht="15">
      <c r="A19" s="675"/>
      <c r="B19" s="761">
        <v>1810</v>
      </c>
      <c r="C19" s="762" t="s">
        <v>782</v>
      </c>
      <c r="D19" s="756">
        <v>9183888.920000002</v>
      </c>
      <c r="E19" s="756">
        <v>0</v>
      </c>
      <c r="F19" s="817">
        <f t="shared" si="0"/>
        <v>9183888.920000002</v>
      </c>
      <c r="G19" s="756"/>
      <c r="H19" s="756"/>
      <c r="I19" s="756"/>
      <c r="J19" s="756">
        <f t="shared" si="1"/>
        <v>9183888.920000002</v>
      </c>
      <c r="K19" s="757">
        <v>0</v>
      </c>
      <c r="L19" s="847">
        <v>0</v>
      </c>
      <c r="M19" s="848">
        <v>0</v>
      </c>
      <c r="N19" s="848"/>
      <c r="O19" s="849"/>
      <c r="P19" s="765"/>
    </row>
    <row r="20" spans="1:16" ht="15">
      <c r="A20" s="675"/>
      <c r="B20" s="829">
        <v>1815</v>
      </c>
      <c r="C20" s="802" t="s">
        <v>725</v>
      </c>
      <c r="D20" s="756">
        <v>-66884.34</v>
      </c>
      <c r="E20" s="756">
        <v>1906099.57</v>
      </c>
      <c r="F20" s="817">
        <f t="shared" si="0"/>
        <v>-1972983.9100000001</v>
      </c>
      <c r="G20" s="756"/>
      <c r="H20" s="756"/>
      <c r="I20" s="756"/>
      <c r="J20" s="756">
        <f t="shared" si="1"/>
        <v>-1972983.9100000001</v>
      </c>
      <c r="K20" s="757">
        <v>40</v>
      </c>
      <c r="L20" s="847">
        <f aca="true" t="shared" si="3" ref="L20:L50">IF(K20=0,"",1/K20)</f>
        <v>0.025</v>
      </c>
      <c r="M20" s="848">
        <f t="shared" si="2"/>
        <v>-49324.59775</v>
      </c>
      <c r="N20" s="848"/>
      <c r="O20" s="849"/>
      <c r="P20" s="765" t="s">
        <v>721</v>
      </c>
    </row>
    <row r="21" spans="1:16" ht="15">
      <c r="A21" s="699"/>
      <c r="B21" s="829">
        <v>1815</v>
      </c>
      <c r="C21" s="762" t="s">
        <v>796</v>
      </c>
      <c r="D21" s="756">
        <v>12667660.79</v>
      </c>
      <c r="E21" s="817"/>
      <c r="F21" s="817">
        <f t="shared" si="0"/>
        <v>12667660.79</v>
      </c>
      <c r="G21" s="817">
        <v>281537.14700000006</v>
      </c>
      <c r="H21" s="756">
        <v>-699966.6628477237</v>
      </c>
      <c r="I21" s="817"/>
      <c r="J21" s="756">
        <f t="shared" si="1"/>
        <v>12458446.032076137</v>
      </c>
      <c r="K21" s="830">
        <v>40</v>
      </c>
      <c r="L21" s="851">
        <f t="shared" si="3"/>
        <v>0.025</v>
      </c>
      <c r="M21" s="852">
        <f t="shared" si="2"/>
        <v>311461.15080190345</v>
      </c>
      <c r="N21" s="852"/>
      <c r="O21" s="849"/>
      <c r="P21" s="832" t="s">
        <v>721</v>
      </c>
    </row>
    <row r="22" spans="1:16" ht="15">
      <c r="A22" s="675"/>
      <c r="B22" s="829">
        <v>1815</v>
      </c>
      <c r="C22" s="833" t="s">
        <v>797</v>
      </c>
      <c r="D22" s="756">
        <v>12667660.79</v>
      </c>
      <c r="E22" s="756"/>
      <c r="F22" s="817">
        <f t="shared" si="0"/>
        <v>12667660.79</v>
      </c>
      <c r="G22" s="756">
        <v>281537.14700000006</v>
      </c>
      <c r="H22" s="756"/>
      <c r="I22" s="756"/>
      <c r="J22" s="756">
        <f t="shared" si="1"/>
        <v>12808429.363499999</v>
      </c>
      <c r="K22" s="853">
        <v>25</v>
      </c>
      <c r="L22" s="847">
        <f t="shared" si="3"/>
        <v>0.04</v>
      </c>
      <c r="M22" s="852">
        <f t="shared" si="2"/>
        <v>512337.17454</v>
      </c>
      <c r="N22" s="852"/>
      <c r="O22" s="849"/>
      <c r="P22" s="765" t="s">
        <v>795</v>
      </c>
    </row>
    <row r="23" spans="1:16" ht="15">
      <c r="A23" s="675"/>
      <c r="B23" s="829">
        <v>1815</v>
      </c>
      <c r="C23" s="833" t="s">
        <v>798</v>
      </c>
      <c r="D23" s="756">
        <v>51937409.27</v>
      </c>
      <c r="E23" s="756"/>
      <c r="F23" s="817">
        <f t="shared" si="0"/>
        <v>51937409.27</v>
      </c>
      <c r="G23" s="756">
        <v>1154302.3027000001</v>
      </c>
      <c r="H23" s="756"/>
      <c r="I23" s="756"/>
      <c r="J23" s="756">
        <f t="shared" si="1"/>
        <v>52514560.42135</v>
      </c>
      <c r="K23" s="757">
        <v>40</v>
      </c>
      <c r="L23" s="847">
        <f t="shared" si="3"/>
        <v>0.025</v>
      </c>
      <c r="M23" s="852">
        <f t="shared" si="2"/>
        <v>1312864.01053375</v>
      </c>
      <c r="N23" s="852"/>
      <c r="O23" s="849"/>
      <c r="P23" s="765" t="s">
        <v>721</v>
      </c>
    </row>
    <row r="24" spans="1:16" ht="15">
      <c r="A24" s="675"/>
      <c r="B24" s="829">
        <v>1815</v>
      </c>
      <c r="C24" s="833" t="s">
        <v>799</v>
      </c>
      <c r="D24" s="756">
        <v>8867362.56</v>
      </c>
      <c r="E24" s="756"/>
      <c r="F24" s="817">
        <f t="shared" si="0"/>
        <v>8867362.56</v>
      </c>
      <c r="G24" s="756">
        <v>197076.00290000002</v>
      </c>
      <c r="H24" s="756"/>
      <c r="I24" s="756"/>
      <c r="J24" s="756">
        <f t="shared" si="1"/>
        <v>8965900.56145</v>
      </c>
      <c r="K24" s="757">
        <v>40</v>
      </c>
      <c r="L24" s="847">
        <f t="shared" si="3"/>
        <v>0.025</v>
      </c>
      <c r="M24" s="852">
        <f t="shared" si="2"/>
        <v>224147.51403625</v>
      </c>
      <c r="N24" s="852"/>
      <c r="O24" s="849"/>
      <c r="P24" s="765" t="s">
        <v>721</v>
      </c>
    </row>
    <row r="25" spans="1:16" ht="15">
      <c r="A25" s="675"/>
      <c r="B25" s="829">
        <v>1815</v>
      </c>
      <c r="C25" s="833" t="s">
        <v>800</v>
      </c>
      <c r="D25" s="756">
        <v>6306922.6899999995</v>
      </c>
      <c r="E25" s="756"/>
      <c r="F25" s="817">
        <f t="shared" si="0"/>
        <v>6306922.6899999995</v>
      </c>
      <c r="G25" s="756">
        <v>140768.57350000003</v>
      </c>
      <c r="H25" s="756"/>
      <c r="I25" s="756"/>
      <c r="J25" s="756">
        <f t="shared" si="1"/>
        <v>6377306.976749999</v>
      </c>
      <c r="K25" s="757">
        <v>40</v>
      </c>
      <c r="L25" s="847">
        <f t="shared" si="3"/>
        <v>0.025</v>
      </c>
      <c r="M25" s="852">
        <f t="shared" si="2"/>
        <v>159432.67441875</v>
      </c>
      <c r="N25" s="852"/>
      <c r="O25" s="849"/>
      <c r="P25" s="765" t="s">
        <v>721</v>
      </c>
    </row>
    <row r="26" spans="1:16" ht="15">
      <c r="A26" s="675"/>
      <c r="B26" s="829">
        <v>1815</v>
      </c>
      <c r="C26" s="833" t="s">
        <v>801</v>
      </c>
      <c r="D26" s="756">
        <v>6333830.409999999</v>
      </c>
      <c r="E26" s="756"/>
      <c r="F26" s="817">
        <f t="shared" si="0"/>
        <v>6333830.409999999</v>
      </c>
      <c r="G26" s="756">
        <v>140768.57350000003</v>
      </c>
      <c r="H26" s="756"/>
      <c r="I26" s="756"/>
      <c r="J26" s="756">
        <f t="shared" si="1"/>
        <v>6404214.696749999</v>
      </c>
      <c r="K26" s="757">
        <v>20</v>
      </c>
      <c r="L26" s="847">
        <f t="shared" si="3"/>
        <v>0.05</v>
      </c>
      <c r="M26" s="852">
        <f t="shared" si="2"/>
        <v>320210.7348375</v>
      </c>
      <c r="N26" s="852"/>
      <c r="O26" s="849"/>
      <c r="P26" s="765" t="s">
        <v>795</v>
      </c>
    </row>
    <row r="27" spans="1:16" ht="15">
      <c r="A27" s="675"/>
      <c r="B27" s="829">
        <v>1815</v>
      </c>
      <c r="C27" s="833" t="s">
        <v>802</v>
      </c>
      <c r="D27" s="756">
        <v>22801789.48</v>
      </c>
      <c r="E27" s="756"/>
      <c r="F27" s="817">
        <f t="shared" si="0"/>
        <v>22801789.48</v>
      </c>
      <c r="G27" s="756">
        <v>506766.86460000003</v>
      </c>
      <c r="H27" s="756"/>
      <c r="I27" s="756"/>
      <c r="J27" s="756">
        <f t="shared" si="1"/>
        <v>23055172.9123</v>
      </c>
      <c r="K27" s="757">
        <v>30</v>
      </c>
      <c r="L27" s="847">
        <f t="shared" si="3"/>
        <v>0.03333333333333333</v>
      </c>
      <c r="M27" s="852">
        <f t="shared" si="2"/>
        <v>768505.7637433334</v>
      </c>
      <c r="N27" s="852"/>
      <c r="O27" s="849"/>
      <c r="P27" s="765" t="s">
        <v>795</v>
      </c>
    </row>
    <row r="28" spans="1:16" ht="15">
      <c r="A28" s="675"/>
      <c r="B28" s="829">
        <v>1815</v>
      </c>
      <c r="C28" s="833" t="s">
        <v>803</v>
      </c>
      <c r="D28" s="756">
        <v>5067064.33</v>
      </c>
      <c r="E28" s="756"/>
      <c r="F28" s="817">
        <f t="shared" si="0"/>
        <v>5067064.33</v>
      </c>
      <c r="G28" s="756">
        <v>112614.85880000002</v>
      </c>
      <c r="H28" s="756"/>
      <c r="I28" s="756"/>
      <c r="J28" s="756">
        <f t="shared" si="1"/>
        <v>5123371.7594</v>
      </c>
      <c r="K28" s="757">
        <v>30</v>
      </c>
      <c r="L28" s="847">
        <f t="shared" si="3"/>
        <v>0.03333333333333333</v>
      </c>
      <c r="M28" s="852">
        <f t="shared" si="2"/>
        <v>170779.05864666667</v>
      </c>
      <c r="N28" s="852"/>
      <c r="O28" s="849"/>
      <c r="P28" s="765" t="s">
        <v>795</v>
      </c>
    </row>
    <row r="29" spans="1:16" ht="15.75">
      <c r="A29" s="675"/>
      <c r="B29" s="854"/>
      <c r="C29" s="855"/>
      <c r="D29" s="856"/>
      <c r="E29" s="856"/>
      <c r="F29" s="857"/>
      <c r="G29" s="856"/>
      <c r="H29" s="856"/>
      <c r="I29" s="856"/>
      <c r="J29" s="855" t="s">
        <v>826</v>
      </c>
      <c r="K29" s="858"/>
      <c r="L29" s="859"/>
      <c r="M29" s="860">
        <f>SUM(M20:M28)</f>
        <v>3730413.483808154</v>
      </c>
      <c r="N29" s="848">
        <v>4298534.650047737</v>
      </c>
      <c r="O29" s="849">
        <f>+M29-N29</f>
        <v>-568121.1662395834</v>
      </c>
      <c r="P29" s="765"/>
    </row>
    <row r="30" spans="1:16" ht="15">
      <c r="A30" s="675"/>
      <c r="B30" s="834">
        <v>1820</v>
      </c>
      <c r="C30" s="776" t="s">
        <v>726</v>
      </c>
      <c r="D30" s="756">
        <v>-167475.1400000047</v>
      </c>
      <c r="E30" s="756">
        <v>6710620.54</v>
      </c>
      <c r="F30" s="817">
        <f t="shared" si="0"/>
        <v>-6878095.680000004</v>
      </c>
      <c r="G30" s="756"/>
      <c r="H30" s="756">
        <v>-333250</v>
      </c>
      <c r="I30" s="756"/>
      <c r="J30" s="756">
        <f t="shared" si="1"/>
        <v>-7044720.680000004</v>
      </c>
      <c r="K30" s="757">
        <v>30</v>
      </c>
      <c r="L30" s="861">
        <f t="shared" si="3"/>
        <v>0.03333333333333333</v>
      </c>
      <c r="M30" s="852">
        <f t="shared" si="2"/>
        <v>-234824.0226666668</v>
      </c>
      <c r="N30" s="852"/>
      <c r="O30" s="849"/>
      <c r="P30" s="765" t="s">
        <v>721</v>
      </c>
    </row>
    <row r="31" spans="1:16" ht="15">
      <c r="A31" s="675"/>
      <c r="B31" s="834">
        <v>1820</v>
      </c>
      <c r="C31" s="833" t="s">
        <v>804</v>
      </c>
      <c r="D31" s="756">
        <v>16771390.99</v>
      </c>
      <c r="E31" s="756"/>
      <c r="F31" s="817">
        <f t="shared" si="0"/>
        <v>16771390.99</v>
      </c>
      <c r="G31" s="756">
        <v>283964.8696010942</v>
      </c>
      <c r="H31" s="756"/>
      <c r="I31" s="756"/>
      <c r="J31" s="756">
        <f t="shared" si="1"/>
        <v>16913373.42480055</v>
      </c>
      <c r="K31" s="757">
        <v>40</v>
      </c>
      <c r="L31" s="861">
        <f t="shared" si="3"/>
        <v>0.025</v>
      </c>
      <c r="M31" s="852">
        <f t="shared" si="2"/>
        <v>422834.3356200137</v>
      </c>
      <c r="N31" s="852"/>
      <c r="O31" s="849"/>
      <c r="P31" s="765" t="s">
        <v>795</v>
      </c>
    </row>
    <row r="32" spans="1:16" ht="15">
      <c r="A32" s="675"/>
      <c r="B32" s="834">
        <v>1820</v>
      </c>
      <c r="C32" s="833" t="s">
        <v>805</v>
      </c>
      <c r="D32" s="756">
        <v>16518349.330000002</v>
      </c>
      <c r="E32" s="756"/>
      <c r="F32" s="817">
        <f t="shared" si="0"/>
        <v>16518349.330000002</v>
      </c>
      <c r="G32" s="756">
        <v>283964.8696010942</v>
      </c>
      <c r="H32" s="756"/>
      <c r="I32" s="756"/>
      <c r="J32" s="756">
        <f t="shared" si="1"/>
        <v>16660331.764800549</v>
      </c>
      <c r="K32" s="757">
        <v>20</v>
      </c>
      <c r="L32" s="861">
        <f t="shared" si="3"/>
        <v>0.05</v>
      </c>
      <c r="M32" s="852">
        <f t="shared" si="2"/>
        <v>833016.5882400274</v>
      </c>
      <c r="N32" s="852"/>
      <c r="O32" s="849"/>
      <c r="P32" s="765" t="s">
        <v>795</v>
      </c>
    </row>
    <row r="33" spans="1:16" ht="15">
      <c r="A33" s="675"/>
      <c r="B33" s="834">
        <v>1820</v>
      </c>
      <c r="C33" s="833" t="s">
        <v>806</v>
      </c>
      <c r="D33" s="756">
        <v>3670745.13</v>
      </c>
      <c r="E33" s="756"/>
      <c r="F33" s="817">
        <f t="shared" si="0"/>
        <v>3670745.13</v>
      </c>
      <c r="G33" s="756">
        <v>63103.304355798726</v>
      </c>
      <c r="H33" s="756"/>
      <c r="I33" s="756"/>
      <c r="J33" s="756">
        <f t="shared" si="1"/>
        <v>3702296.782177899</v>
      </c>
      <c r="K33" s="757">
        <v>30</v>
      </c>
      <c r="L33" s="861">
        <f t="shared" si="3"/>
        <v>0.03333333333333333</v>
      </c>
      <c r="M33" s="852">
        <f t="shared" si="2"/>
        <v>123409.8927392633</v>
      </c>
      <c r="N33" s="852"/>
      <c r="O33" s="849"/>
      <c r="P33" s="765" t="s">
        <v>795</v>
      </c>
    </row>
    <row r="34" spans="1:16" ht="15.75">
      <c r="A34" s="675"/>
      <c r="B34" s="862"/>
      <c r="C34" s="855"/>
      <c r="D34" s="856"/>
      <c r="E34" s="856"/>
      <c r="F34" s="857"/>
      <c r="G34" s="856"/>
      <c r="H34" s="856"/>
      <c r="I34" s="856"/>
      <c r="J34" s="855" t="s">
        <v>827</v>
      </c>
      <c r="K34" s="858"/>
      <c r="L34" s="863"/>
      <c r="M34" s="864">
        <f>SUM(M30:M33)</f>
        <v>1144436.7939326377</v>
      </c>
      <c r="N34" s="852">
        <v>1165445.834587681</v>
      </c>
      <c r="O34" s="849">
        <f>+M34-N34</f>
        <v>-21009.04065504344</v>
      </c>
      <c r="P34" s="765"/>
    </row>
    <row r="35" spans="1:16" ht="15">
      <c r="A35" s="675"/>
      <c r="B35" s="834">
        <v>1825</v>
      </c>
      <c r="C35" s="776" t="s">
        <v>727</v>
      </c>
      <c r="D35" s="756">
        <v>0</v>
      </c>
      <c r="E35" s="756"/>
      <c r="F35" s="817">
        <f t="shared" si="0"/>
        <v>0</v>
      </c>
      <c r="G35" s="756"/>
      <c r="H35" s="756"/>
      <c r="I35" s="756"/>
      <c r="J35" s="756">
        <f t="shared" si="1"/>
        <v>0</v>
      </c>
      <c r="K35" s="757">
        <v>0</v>
      </c>
      <c r="L35" s="861">
        <f t="shared" si="3"/>
      </c>
      <c r="M35" s="852">
        <f t="shared" si="2"/>
      </c>
      <c r="N35" s="852"/>
      <c r="O35" s="849"/>
      <c r="P35" s="765" t="s">
        <v>721</v>
      </c>
    </row>
    <row r="36" spans="1:16" ht="15">
      <c r="A36" s="675"/>
      <c r="B36" s="834">
        <v>1830</v>
      </c>
      <c r="C36" s="776" t="s">
        <v>728</v>
      </c>
      <c r="D36" s="756">
        <v>152598954.7599999</v>
      </c>
      <c r="E36" s="756">
        <v>14442380.7</v>
      </c>
      <c r="F36" s="817">
        <f t="shared" si="0"/>
        <v>138156574.0599999</v>
      </c>
      <c r="G36" s="756">
        <v>12356729.14</v>
      </c>
      <c r="H36" s="756">
        <v>-1177947.5619970001</v>
      </c>
      <c r="I36" s="756">
        <v>-186000</v>
      </c>
      <c r="J36" s="756">
        <f t="shared" si="1"/>
        <v>143652964.8490014</v>
      </c>
      <c r="K36" s="853">
        <v>45</v>
      </c>
      <c r="L36" s="847">
        <f t="shared" si="3"/>
        <v>0.022222222222222223</v>
      </c>
      <c r="M36" s="852">
        <f t="shared" si="2"/>
        <v>3192288.107755587</v>
      </c>
      <c r="N36" s="852">
        <v>2638911.693755589</v>
      </c>
      <c r="O36" s="849">
        <f aca="true" t="shared" si="4" ref="O36:O47">+M36-N36</f>
        <v>553376.413999998</v>
      </c>
      <c r="P36" s="765" t="s">
        <v>795</v>
      </c>
    </row>
    <row r="37" spans="1:16" ht="15">
      <c r="A37" s="675"/>
      <c r="B37" s="834">
        <v>1835</v>
      </c>
      <c r="C37" s="776" t="s">
        <v>729</v>
      </c>
      <c r="D37" s="756">
        <v>177160744.2899999</v>
      </c>
      <c r="E37" s="756">
        <v>24289018.12</v>
      </c>
      <c r="F37" s="817">
        <f t="shared" si="0"/>
        <v>152871726.1699999</v>
      </c>
      <c r="G37" s="756">
        <v>12058356.12</v>
      </c>
      <c r="H37" s="756">
        <v>-170233.02953913994</v>
      </c>
      <c r="I37" s="756">
        <v>-1000</v>
      </c>
      <c r="J37" s="756">
        <f t="shared" si="1"/>
        <v>158815287.71523032</v>
      </c>
      <c r="K37" s="757">
        <v>40</v>
      </c>
      <c r="L37" s="847">
        <f t="shared" si="3"/>
        <v>0.025</v>
      </c>
      <c r="M37" s="852">
        <f t="shared" si="2"/>
        <v>3970382.192880758</v>
      </c>
      <c r="N37" s="852">
        <v>3062202.167130761</v>
      </c>
      <c r="O37" s="849">
        <f t="shared" si="4"/>
        <v>908180.0257499972</v>
      </c>
      <c r="P37" s="765" t="s">
        <v>795</v>
      </c>
    </row>
    <row r="38" spans="1:16" ht="15">
      <c r="A38" s="675"/>
      <c r="B38" s="834">
        <v>1840</v>
      </c>
      <c r="C38" s="776" t="s">
        <v>730</v>
      </c>
      <c r="D38" s="756">
        <v>122960703.35</v>
      </c>
      <c r="E38" s="756">
        <v>17899227.66</v>
      </c>
      <c r="F38" s="817">
        <f t="shared" si="0"/>
        <v>105061475.69</v>
      </c>
      <c r="G38" s="756">
        <v>3482583.505048658</v>
      </c>
      <c r="H38" s="756">
        <v>788108.0487267398</v>
      </c>
      <c r="I38" s="756"/>
      <c r="J38" s="756">
        <f t="shared" si="1"/>
        <v>107196821.4668877</v>
      </c>
      <c r="K38" s="853">
        <v>60</v>
      </c>
      <c r="L38" s="847">
        <f t="shared" si="3"/>
        <v>0.016666666666666666</v>
      </c>
      <c r="M38" s="852">
        <f t="shared" si="2"/>
        <v>1786613.691114795</v>
      </c>
      <c r="N38" s="852">
        <v>1253567.5670727228</v>
      </c>
      <c r="O38" s="849">
        <f t="shared" si="4"/>
        <v>533046.1240420721</v>
      </c>
      <c r="P38" s="765" t="s">
        <v>795</v>
      </c>
    </row>
    <row r="39" spans="1:16" ht="15">
      <c r="A39" s="675"/>
      <c r="B39" s="834">
        <v>1845</v>
      </c>
      <c r="C39" s="776" t="s">
        <v>731</v>
      </c>
      <c r="D39" s="756">
        <v>350868356.6699999</v>
      </c>
      <c r="E39" s="756">
        <v>44687370.51</v>
      </c>
      <c r="F39" s="817">
        <f t="shared" si="0"/>
        <v>306180986.1599999</v>
      </c>
      <c r="G39" s="756">
        <v>20354229.58</v>
      </c>
      <c r="H39" s="756">
        <v>4204004.013977099</v>
      </c>
      <c r="I39" s="756">
        <v>-353000</v>
      </c>
      <c r="J39" s="756">
        <f t="shared" si="1"/>
        <v>318283602.95698845</v>
      </c>
      <c r="K39" s="757">
        <v>45</v>
      </c>
      <c r="L39" s="847">
        <f t="shared" si="3"/>
        <v>0.022222222222222223</v>
      </c>
      <c r="M39" s="852">
        <f t="shared" si="2"/>
        <v>7072968.954599744</v>
      </c>
      <c r="N39" s="852">
        <v>5546903.835710856</v>
      </c>
      <c r="O39" s="849">
        <f t="shared" si="4"/>
        <v>1526065.1188888876</v>
      </c>
      <c r="P39" s="765" t="s">
        <v>795</v>
      </c>
    </row>
    <row r="40" spans="1:16" ht="15">
      <c r="A40" s="675"/>
      <c r="B40" s="774">
        <v>1849</v>
      </c>
      <c r="C40" s="762" t="s">
        <v>732</v>
      </c>
      <c r="D40" s="756">
        <v>54899574.330000006</v>
      </c>
      <c r="E40" s="756">
        <v>13629450.79</v>
      </c>
      <c r="F40" s="817">
        <f t="shared" si="0"/>
        <v>41270123.54000001</v>
      </c>
      <c r="G40" s="756">
        <v>2199508.0983002433</v>
      </c>
      <c r="H40" s="756">
        <v>-65869.46950727998</v>
      </c>
      <c r="I40" s="756">
        <v>-281000</v>
      </c>
      <c r="J40" s="756">
        <f t="shared" si="1"/>
        <v>42196442.85439649</v>
      </c>
      <c r="K40" s="757">
        <v>40</v>
      </c>
      <c r="L40" s="847">
        <f t="shared" si="3"/>
        <v>0.025</v>
      </c>
      <c r="M40" s="852">
        <f t="shared" si="2"/>
        <v>1054911.0713599124</v>
      </c>
      <c r="N40" s="852">
        <v>657955.431631159</v>
      </c>
      <c r="O40" s="849">
        <f t="shared" si="4"/>
        <v>396955.63972875336</v>
      </c>
      <c r="P40" s="765" t="s">
        <v>795</v>
      </c>
    </row>
    <row r="41" spans="1:16" ht="15">
      <c r="A41" s="675"/>
      <c r="B41" s="834">
        <v>1850</v>
      </c>
      <c r="C41" s="776" t="s">
        <v>733</v>
      </c>
      <c r="D41" s="756">
        <v>219298964.43999997</v>
      </c>
      <c r="E41" s="756">
        <v>28347153.25</v>
      </c>
      <c r="F41" s="817">
        <f t="shared" si="0"/>
        <v>190951811.18999997</v>
      </c>
      <c r="G41" s="756">
        <v>11113103.14434446</v>
      </c>
      <c r="H41" s="756">
        <v>294773.5859264699</v>
      </c>
      <c r="I41" s="756">
        <v>-891000</v>
      </c>
      <c r="J41" s="756">
        <f t="shared" si="1"/>
        <v>196210249.55513543</v>
      </c>
      <c r="K41" s="757">
        <v>30</v>
      </c>
      <c r="L41" s="847">
        <f t="shared" si="3"/>
        <v>0.03333333333333333</v>
      </c>
      <c r="M41" s="852">
        <f t="shared" si="2"/>
        <v>6540341.651837847</v>
      </c>
      <c r="N41" s="852">
        <v>5607621.373098775</v>
      </c>
      <c r="O41" s="849">
        <f t="shared" si="4"/>
        <v>932720.2787390724</v>
      </c>
      <c r="P41" s="765" t="s">
        <v>795</v>
      </c>
    </row>
    <row r="42" spans="1:16" ht="15">
      <c r="A42" s="675"/>
      <c r="B42" s="834">
        <v>1855</v>
      </c>
      <c r="C42" s="776" t="s">
        <v>807</v>
      </c>
      <c r="D42" s="756">
        <v>14826918.44</v>
      </c>
      <c r="E42" s="756">
        <v>1265077.51</v>
      </c>
      <c r="F42" s="817">
        <f t="shared" si="0"/>
        <v>13561840.93</v>
      </c>
      <c r="G42" s="756">
        <v>1292793.4972054851</v>
      </c>
      <c r="H42" s="756"/>
      <c r="I42" s="756"/>
      <c r="J42" s="756">
        <f t="shared" si="1"/>
        <v>14208237.678602742</v>
      </c>
      <c r="K42" s="757">
        <v>40</v>
      </c>
      <c r="L42" s="847">
        <f t="shared" si="3"/>
        <v>0.025</v>
      </c>
      <c r="M42" s="852">
        <f t="shared" si="2"/>
        <v>355205.9419650686</v>
      </c>
      <c r="N42" s="852">
        <v>281000</v>
      </c>
      <c r="O42" s="849">
        <f t="shared" si="4"/>
        <v>74205.94196506857</v>
      </c>
      <c r="P42" s="765" t="s">
        <v>795</v>
      </c>
    </row>
    <row r="43" spans="1:16" ht="15">
      <c r="A43" s="675"/>
      <c r="B43" s="774">
        <v>1856</v>
      </c>
      <c r="C43" s="762" t="s">
        <v>735</v>
      </c>
      <c r="D43" s="756">
        <v>94446623.08</v>
      </c>
      <c r="E43" s="756">
        <v>17035497.61</v>
      </c>
      <c r="F43" s="817">
        <f t="shared" si="0"/>
        <v>77411125.47</v>
      </c>
      <c r="G43" s="756">
        <v>2403720.5681161163</v>
      </c>
      <c r="H43" s="756"/>
      <c r="I43" s="756"/>
      <c r="J43" s="756">
        <f t="shared" si="1"/>
        <v>78612985.75405806</v>
      </c>
      <c r="K43" s="757">
        <v>25</v>
      </c>
      <c r="L43" s="847">
        <f t="shared" si="3"/>
        <v>0.04</v>
      </c>
      <c r="M43" s="852">
        <f t="shared" si="2"/>
        <v>3144519.4301623227</v>
      </c>
      <c r="N43" s="852">
        <v>2952000</v>
      </c>
      <c r="O43" s="849">
        <f t="shared" si="4"/>
        <v>192519.4301623227</v>
      </c>
      <c r="P43" s="765" t="s">
        <v>721</v>
      </c>
    </row>
    <row r="44" spans="1:16" ht="15">
      <c r="A44" s="675"/>
      <c r="B44" s="834">
        <v>1860</v>
      </c>
      <c r="C44" s="776" t="s">
        <v>736</v>
      </c>
      <c r="D44" s="756">
        <v>8746755.979999956</v>
      </c>
      <c r="E44" s="756">
        <v>-1754605.15</v>
      </c>
      <c r="F44" s="817">
        <f t="shared" si="0"/>
        <v>10501361.129999956</v>
      </c>
      <c r="G44" s="756">
        <v>1066498.3013152306</v>
      </c>
      <c r="H44" s="756"/>
      <c r="I44" s="756">
        <v>-74000</v>
      </c>
      <c r="J44" s="756">
        <f t="shared" si="1"/>
        <v>10997610.28065757</v>
      </c>
      <c r="K44" s="757">
        <v>25</v>
      </c>
      <c r="L44" s="847">
        <f t="shared" si="3"/>
        <v>0.04</v>
      </c>
      <c r="M44" s="852">
        <f t="shared" si="2"/>
        <v>439904.41122630285</v>
      </c>
      <c r="N44" s="852">
        <v>419542.76</v>
      </c>
      <c r="O44" s="849">
        <f t="shared" si="4"/>
        <v>20361.65122630284</v>
      </c>
      <c r="P44" s="765" t="s">
        <v>721</v>
      </c>
    </row>
    <row r="45" spans="1:16" ht="15">
      <c r="A45" s="675"/>
      <c r="B45" s="834">
        <v>1861</v>
      </c>
      <c r="C45" s="807" t="s">
        <v>737</v>
      </c>
      <c r="D45" s="756">
        <v>10308959.29</v>
      </c>
      <c r="E45" s="756">
        <v>186865.9</v>
      </c>
      <c r="F45" s="817">
        <f t="shared" si="0"/>
        <v>10122093.389999999</v>
      </c>
      <c r="G45" s="756">
        <v>1991558.48</v>
      </c>
      <c r="H45" s="756">
        <v>-501655</v>
      </c>
      <c r="I45" s="756">
        <v>-11000</v>
      </c>
      <c r="J45" s="756">
        <f t="shared" si="1"/>
        <v>10861545.129999999</v>
      </c>
      <c r="K45" s="757">
        <v>15</v>
      </c>
      <c r="L45" s="847">
        <f t="shared" si="3"/>
        <v>0.06666666666666667</v>
      </c>
      <c r="M45" s="852">
        <f t="shared" si="2"/>
        <v>724103.0086666666</v>
      </c>
      <c r="N45" s="852">
        <v>739278.1666666666</v>
      </c>
      <c r="O45" s="849">
        <f t="shared" si="4"/>
        <v>-15175.158000000054</v>
      </c>
      <c r="P45" s="765" t="s">
        <v>795</v>
      </c>
    </row>
    <row r="46" spans="1:16" ht="15">
      <c r="A46" s="675"/>
      <c r="B46" s="774">
        <v>1862</v>
      </c>
      <c r="C46" s="773" t="s">
        <v>783</v>
      </c>
      <c r="D46" s="756">
        <v>51281426.09</v>
      </c>
      <c r="E46" s="756"/>
      <c r="F46" s="817">
        <f t="shared" si="0"/>
        <v>51281426.09</v>
      </c>
      <c r="G46" s="756">
        <v>759186.34</v>
      </c>
      <c r="H46" s="756"/>
      <c r="I46" s="756"/>
      <c r="J46" s="756">
        <f t="shared" si="1"/>
        <v>51661019.260000005</v>
      </c>
      <c r="K46" s="757">
        <v>15</v>
      </c>
      <c r="L46" s="847">
        <f t="shared" si="3"/>
        <v>0.06666666666666667</v>
      </c>
      <c r="M46" s="852">
        <f t="shared" si="2"/>
        <v>3444067.950666667</v>
      </c>
      <c r="N46" s="852">
        <v>3417000</v>
      </c>
      <c r="O46" s="849">
        <f t="shared" si="4"/>
        <v>27067.950666666962</v>
      </c>
      <c r="P46" s="765" t="s">
        <v>721</v>
      </c>
    </row>
    <row r="47" spans="1:16" ht="15">
      <c r="A47" s="675"/>
      <c r="B47" s="774">
        <v>1870</v>
      </c>
      <c r="C47" s="762" t="s">
        <v>739</v>
      </c>
      <c r="D47" s="756">
        <v>575421</v>
      </c>
      <c r="E47" s="756">
        <v>575421</v>
      </c>
      <c r="F47" s="817">
        <f t="shared" si="0"/>
        <v>0</v>
      </c>
      <c r="G47" s="756"/>
      <c r="H47" s="756"/>
      <c r="I47" s="756"/>
      <c r="J47" s="756">
        <f t="shared" si="1"/>
        <v>0</v>
      </c>
      <c r="K47" s="757">
        <v>10</v>
      </c>
      <c r="L47" s="847">
        <f t="shared" si="3"/>
        <v>0.1</v>
      </c>
      <c r="M47" s="852">
        <f t="shared" si="2"/>
        <v>0</v>
      </c>
      <c r="N47" s="852"/>
      <c r="O47" s="849">
        <f t="shared" si="4"/>
        <v>0</v>
      </c>
      <c r="P47" s="765"/>
    </row>
    <row r="48" spans="1:16" ht="15">
      <c r="A48" s="675"/>
      <c r="B48" s="834">
        <v>1908</v>
      </c>
      <c r="C48" s="776" t="s">
        <v>740</v>
      </c>
      <c r="D48" s="756">
        <v>22188011.27999997</v>
      </c>
      <c r="E48" s="756">
        <v>36850.35</v>
      </c>
      <c r="F48" s="817">
        <f t="shared" si="0"/>
        <v>22151160.92999997</v>
      </c>
      <c r="G48" s="756">
        <v>877400.568</v>
      </c>
      <c r="H48" s="756"/>
      <c r="I48" s="756"/>
      <c r="J48" s="756">
        <f t="shared" si="1"/>
        <v>22589861.21399997</v>
      </c>
      <c r="K48" s="757">
        <v>50</v>
      </c>
      <c r="L48" s="847">
        <f t="shared" si="3"/>
        <v>0.02</v>
      </c>
      <c r="M48" s="852">
        <f t="shared" si="2"/>
        <v>451797.22427999944</v>
      </c>
      <c r="N48" s="852"/>
      <c r="O48" s="849"/>
      <c r="P48" s="765" t="s">
        <v>721</v>
      </c>
    </row>
    <row r="49" spans="1:16" ht="15">
      <c r="A49" s="675"/>
      <c r="B49" s="834">
        <v>1908</v>
      </c>
      <c r="C49" s="776" t="s">
        <v>808</v>
      </c>
      <c r="D49" s="756">
        <v>21352103.63</v>
      </c>
      <c r="E49" s="756"/>
      <c r="F49" s="817">
        <f t="shared" si="0"/>
        <v>21352103.63</v>
      </c>
      <c r="G49" s="756">
        <v>484083.07200000004</v>
      </c>
      <c r="H49" s="756"/>
      <c r="I49" s="756"/>
      <c r="J49" s="756">
        <f t="shared" si="1"/>
        <v>21594145.165999997</v>
      </c>
      <c r="K49" s="757">
        <v>50</v>
      </c>
      <c r="L49" s="847">
        <f t="shared" si="3"/>
        <v>0.02</v>
      </c>
      <c r="M49" s="852">
        <f t="shared" si="2"/>
        <v>431882.9033199999</v>
      </c>
      <c r="N49" s="852"/>
      <c r="O49" s="849"/>
      <c r="P49" s="765" t="s">
        <v>721</v>
      </c>
    </row>
    <row r="50" spans="1:16" ht="15">
      <c r="A50" s="675"/>
      <c r="B50" s="834">
        <v>1908</v>
      </c>
      <c r="C50" s="775" t="s">
        <v>810</v>
      </c>
      <c r="D50" s="756">
        <v>2795693.45</v>
      </c>
      <c r="E50" s="756"/>
      <c r="F50" s="817">
        <f t="shared" si="0"/>
        <v>2795693.45</v>
      </c>
      <c r="G50" s="756">
        <v>151275.96</v>
      </c>
      <c r="H50" s="756"/>
      <c r="I50" s="756"/>
      <c r="J50" s="756">
        <f t="shared" si="1"/>
        <v>2871331.43</v>
      </c>
      <c r="K50" s="757">
        <v>30</v>
      </c>
      <c r="L50" s="847">
        <f t="shared" si="3"/>
        <v>0.03333333333333333</v>
      </c>
      <c r="M50" s="852">
        <f t="shared" si="2"/>
        <v>95711.04766666667</v>
      </c>
      <c r="N50" s="852"/>
      <c r="O50" s="849"/>
      <c r="P50" s="765" t="s">
        <v>795</v>
      </c>
    </row>
    <row r="51" spans="1:16" ht="15.75">
      <c r="A51" s="675"/>
      <c r="B51" s="862"/>
      <c r="C51" s="855"/>
      <c r="D51" s="856"/>
      <c r="E51" s="856"/>
      <c r="F51" s="857"/>
      <c r="G51" s="856"/>
      <c r="H51" s="856"/>
      <c r="I51" s="856"/>
      <c r="J51" s="855" t="s">
        <v>828</v>
      </c>
      <c r="K51" s="858"/>
      <c r="L51" s="863"/>
      <c r="M51" s="852">
        <f>SUM(M48:M50)</f>
        <v>979391.175266666</v>
      </c>
      <c r="N51" s="852">
        <v>939000</v>
      </c>
      <c r="O51" s="849">
        <f aca="true" t="shared" si="5" ref="O51:O69">+M51-N51</f>
        <v>40391.17526666599</v>
      </c>
      <c r="P51" s="765"/>
    </row>
    <row r="52" spans="1:16" ht="15">
      <c r="A52" s="675"/>
      <c r="B52" s="834">
        <v>1915</v>
      </c>
      <c r="C52" s="776" t="s">
        <v>771</v>
      </c>
      <c r="D52" s="756">
        <v>5828143.029999999</v>
      </c>
      <c r="E52" s="817">
        <v>1056629.43</v>
      </c>
      <c r="F52" s="817">
        <f t="shared" si="0"/>
        <v>4771513.6</v>
      </c>
      <c r="G52" s="756">
        <v>377630</v>
      </c>
      <c r="H52" s="756"/>
      <c r="I52" s="756"/>
      <c r="J52" s="756">
        <f t="shared" si="1"/>
        <v>4960328.6</v>
      </c>
      <c r="K52" s="757">
        <v>10</v>
      </c>
      <c r="L52" s="847">
        <f aca="true" t="shared" si="6" ref="L52:L76">IF(K52=0,"",1/K52)</f>
        <v>0.1</v>
      </c>
      <c r="M52" s="852">
        <f>IF(K52=0,"",J52/K52)</f>
        <v>496032.86</v>
      </c>
      <c r="N52" s="852">
        <v>494399.9</v>
      </c>
      <c r="O52" s="849">
        <f t="shared" si="5"/>
        <v>1632.9599999999627</v>
      </c>
      <c r="P52" s="765" t="s">
        <v>721</v>
      </c>
    </row>
    <row r="53" spans="1:16" ht="15">
      <c r="A53" s="675"/>
      <c r="B53" s="834">
        <v>1920</v>
      </c>
      <c r="C53" s="865" t="s">
        <v>744</v>
      </c>
      <c r="D53" s="756">
        <v>0.6600000038743019</v>
      </c>
      <c r="E53" s="756">
        <v>11673004.91</v>
      </c>
      <c r="F53" s="817">
        <f t="shared" si="0"/>
        <v>-11673004.249999996</v>
      </c>
      <c r="G53" s="756"/>
      <c r="H53" s="756"/>
      <c r="I53" s="756"/>
      <c r="J53" s="756">
        <f t="shared" si="1"/>
        <v>-11673004.249999996</v>
      </c>
      <c r="K53" s="757">
        <v>5</v>
      </c>
      <c r="L53" s="847">
        <f t="shared" si="6"/>
        <v>0.2</v>
      </c>
      <c r="M53" s="852">
        <f t="shared" si="2"/>
        <v>-2334600.849999999</v>
      </c>
      <c r="N53" s="852"/>
      <c r="O53" s="849"/>
      <c r="P53" s="765" t="s">
        <v>721</v>
      </c>
    </row>
    <row r="54" spans="1:16" ht="15">
      <c r="A54" s="675"/>
      <c r="B54" s="834">
        <v>1920</v>
      </c>
      <c r="C54" s="775" t="s">
        <v>811</v>
      </c>
      <c r="D54" s="756">
        <v>5185398.58</v>
      </c>
      <c r="E54" s="756">
        <v>501848.19</v>
      </c>
      <c r="F54" s="817">
        <f t="shared" si="0"/>
        <v>4683550.39</v>
      </c>
      <c r="G54" s="756">
        <v>833050.3962</v>
      </c>
      <c r="H54" s="756">
        <v>-28600</v>
      </c>
      <c r="I54" s="756"/>
      <c r="J54" s="756">
        <f t="shared" si="1"/>
        <v>5085775.588099999</v>
      </c>
      <c r="K54" s="757">
        <v>4</v>
      </c>
      <c r="L54" s="847">
        <f t="shared" si="6"/>
        <v>0.25</v>
      </c>
      <c r="M54" s="852">
        <f>IF(K54=0,"",J54/K54)</f>
        <v>1271443.8970249998</v>
      </c>
      <c r="N54" s="852"/>
      <c r="O54" s="849"/>
      <c r="P54" s="765" t="s">
        <v>795</v>
      </c>
    </row>
    <row r="55" spans="1:16" ht="15">
      <c r="A55" s="675"/>
      <c r="B55" s="834">
        <v>1920</v>
      </c>
      <c r="C55" s="776" t="s">
        <v>812</v>
      </c>
      <c r="D55" s="756">
        <v>8931149.370000001</v>
      </c>
      <c r="E55" s="756">
        <v>759996.67</v>
      </c>
      <c r="F55" s="817">
        <f t="shared" si="0"/>
        <v>8171152.700000001</v>
      </c>
      <c r="G55" s="756">
        <v>1931162.2821</v>
      </c>
      <c r="H55" s="756"/>
      <c r="I55" s="756"/>
      <c r="J55" s="756">
        <f t="shared" si="1"/>
        <v>9136733.84105</v>
      </c>
      <c r="K55" s="757">
        <v>5</v>
      </c>
      <c r="L55" s="847">
        <f t="shared" si="6"/>
        <v>0.2</v>
      </c>
      <c r="M55" s="852">
        <f>IF(K55=0,"",J55/K55)</f>
        <v>1827346.7682100001</v>
      </c>
      <c r="N55" s="852"/>
      <c r="O55" s="849"/>
      <c r="P55" s="765" t="s">
        <v>721</v>
      </c>
    </row>
    <row r="56" spans="1:16" ht="15">
      <c r="A56" s="675"/>
      <c r="B56" s="834">
        <v>1920</v>
      </c>
      <c r="C56" s="776" t="s">
        <v>813</v>
      </c>
      <c r="D56" s="756">
        <v>1291725.85</v>
      </c>
      <c r="E56" s="756">
        <v>81493.16</v>
      </c>
      <c r="F56" s="817">
        <f t="shared" si="0"/>
        <v>1210232.6900000002</v>
      </c>
      <c r="G56" s="756">
        <v>189329.6355</v>
      </c>
      <c r="H56" s="756"/>
      <c r="I56" s="756"/>
      <c r="J56" s="756">
        <f t="shared" si="1"/>
        <v>1304897.50775</v>
      </c>
      <c r="K56" s="757">
        <v>5</v>
      </c>
      <c r="L56" s="847">
        <f t="shared" si="6"/>
        <v>0.2</v>
      </c>
      <c r="M56" s="852">
        <f>IF(K56=0,"",J56/K56)</f>
        <v>260979.50155000002</v>
      </c>
      <c r="N56" s="852"/>
      <c r="O56" s="849"/>
      <c r="P56" s="765" t="s">
        <v>721</v>
      </c>
    </row>
    <row r="57" spans="1:16" ht="15">
      <c r="A57" s="675"/>
      <c r="B57" s="834">
        <v>1920</v>
      </c>
      <c r="C57" s="776" t="s">
        <v>814</v>
      </c>
      <c r="D57" s="756">
        <v>3973129.89</v>
      </c>
      <c r="E57" s="756">
        <v>316557.1</v>
      </c>
      <c r="F57" s="817">
        <f t="shared" si="0"/>
        <v>3656572.79</v>
      </c>
      <c r="G57" s="756">
        <v>833050.3962</v>
      </c>
      <c r="H57" s="756"/>
      <c r="I57" s="756"/>
      <c r="J57" s="756">
        <f t="shared" si="1"/>
        <v>4073097.9881</v>
      </c>
      <c r="K57" s="757">
        <v>6</v>
      </c>
      <c r="L57" s="847">
        <f t="shared" si="6"/>
        <v>0.16666666666666666</v>
      </c>
      <c r="M57" s="852">
        <f>IF(K57=0,"",J57/K57)</f>
        <v>678849.6646833334</v>
      </c>
      <c r="N57" s="852"/>
      <c r="O57" s="849"/>
      <c r="P57" s="765" t="s">
        <v>795</v>
      </c>
    </row>
    <row r="58" spans="1:16" ht="15.75">
      <c r="A58" s="675"/>
      <c r="B58" s="862"/>
      <c r="C58" s="866"/>
      <c r="D58" s="856"/>
      <c r="E58" s="856"/>
      <c r="F58" s="857"/>
      <c r="G58" s="856"/>
      <c r="H58" s="856"/>
      <c r="I58" s="856"/>
      <c r="J58" s="855" t="s">
        <v>829</v>
      </c>
      <c r="K58" s="858"/>
      <c r="L58" s="867"/>
      <c r="M58" s="852">
        <f>SUM(M53:M57)</f>
        <v>1704018.9814683343</v>
      </c>
      <c r="N58" s="852">
        <v>1679140</v>
      </c>
      <c r="O58" s="849">
        <f t="shared" si="5"/>
        <v>24878.98146833433</v>
      </c>
      <c r="P58" s="765"/>
    </row>
    <row r="59" spans="1:16" ht="15">
      <c r="A59" s="675"/>
      <c r="B59" s="834">
        <v>1925</v>
      </c>
      <c r="C59" s="773" t="s">
        <v>745</v>
      </c>
      <c r="D59" s="756">
        <v>24840606.44</v>
      </c>
      <c r="E59" s="756">
        <v>15695792.48</v>
      </c>
      <c r="F59" s="817">
        <f t="shared" si="0"/>
        <v>9144813.96</v>
      </c>
      <c r="G59" s="756">
        <v>13886944.69</v>
      </c>
      <c r="H59" s="756">
        <v>-12644000</v>
      </c>
      <c r="I59" s="756"/>
      <c r="J59" s="756">
        <f t="shared" si="1"/>
        <v>9766286.305</v>
      </c>
      <c r="K59" s="757">
        <v>4</v>
      </c>
      <c r="L59" s="847">
        <f t="shared" si="6"/>
        <v>0.25</v>
      </c>
      <c r="M59" s="852">
        <f>IF(K59=0,"",J59/K59)</f>
        <v>2441571.57625</v>
      </c>
      <c r="N59" s="852">
        <v>2626000</v>
      </c>
      <c r="O59" s="759">
        <f t="shared" si="5"/>
        <v>-184428.42375000007</v>
      </c>
      <c r="P59" s="765" t="s">
        <v>795</v>
      </c>
    </row>
    <row r="60" spans="1:16" ht="15">
      <c r="A60" s="675"/>
      <c r="B60" s="834">
        <v>1930</v>
      </c>
      <c r="C60" s="773" t="s">
        <v>815</v>
      </c>
      <c r="D60" s="756">
        <v>10400206.56</v>
      </c>
      <c r="E60" s="756">
        <v>6887060.24</v>
      </c>
      <c r="F60" s="817">
        <f t="shared" si="0"/>
        <v>3513146.3200000003</v>
      </c>
      <c r="G60" s="756">
        <v>858000.0011622906</v>
      </c>
      <c r="H60" s="756"/>
      <c r="I60" s="756">
        <v>-63000</v>
      </c>
      <c r="J60" s="756">
        <f t="shared" si="1"/>
        <v>3910646.3205811456</v>
      </c>
      <c r="K60" s="757">
        <v>7</v>
      </c>
      <c r="L60" s="847">
        <f t="shared" si="6"/>
        <v>0.14285714285714285</v>
      </c>
      <c r="M60" s="852">
        <f>IF(K60=0,"",J60/K60)</f>
        <v>558663.7600830208</v>
      </c>
      <c r="N60" s="852">
        <v>783713.2</v>
      </c>
      <c r="O60" s="759">
        <f t="shared" si="5"/>
        <v>-225049.43991697917</v>
      </c>
      <c r="P60" s="765" t="s">
        <v>795</v>
      </c>
    </row>
    <row r="61" spans="1:16" ht="15">
      <c r="A61" s="675"/>
      <c r="B61" s="834">
        <v>1930</v>
      </c>
      <c r="C61" s="762" t="s">
        <v>816</v>
      </c>
      <c r="D61" s="756">
        <v>13321534.22</v>
      </c>
      <c r="E61" s="756">
        <v>15826.69</v>
      </c>
      <c r="F61" s="817">
        <f t="shared" si="0"/>
        <v>13305707.530000001</v>
      </c>
      <c r="G61" s="756">
        <v>1100000.0014901161</v>
      </c>
      <c r="H61" s="756"/>
      <c r="I61" s="756"/>
      <c r="J61" s="756">
        <f t="shared" si="1"/>
        <v>13855707.53074506</v>
      </c>
      <c r="K61" s="757">
        <v>12</v>
      </c>
      <c r="L61" s="847">
        <f t="shared" si="6"/>
        <v>0.08333333333333333</v>
      </c>
      <c r="M61" s="852">
        <f aca="true" t="shared" si="7" ref="M61:M72">IF(K61=0,"",J61/K61)</f>
        <v>1154642.294228755</v>
      </c>
      <c r="N61" s="852">
        <v>613000</v>
      </c>
      <c r="O61" s="759">
        <f t="shared" si="5"/>
        <v>541642.2942287549</v>
      </c>
      <c r="P61" s="765" t="s">
        <v>795</v>
      </c>
    </row>
    <row r="62" spans="1:16" ht="15">
      <c r="A62" s="675"/>
      <c r="B62" s="834">
        <v>1930</v>
      </c>
      <c r="C62" s="762" t="s">
        <v>817</v>
      </c>
      <c r="D62" s="756">
        <v>180703</v>
      </c>
      <c r="E62" s="756"/>
      <c r="F62" s="817">
        <f t="shared" si="0"/>
        <v>180703</v>
      </c>
      <c r="G62" s="756"/>
      <c r="H62" s="756"/>
      <c r="I62" s="756"/>
      <c r="J62" s="756">
        <f t="shared" si="1"/>
        <v>180703</v>
      </c>
      <c r="K62" s="757">
        <v>22</v>
      </c>
      <c r="L62" s="847">
        <f t="shared" si="6"/>
        <v>0.045454545454545456</v>
      </c>
      <c r="M62" s="852">
        <f t="shared" si="7"/>
        <v>8213.772727272728</v>
      </c>
      <c r="N62" s="852">
        <v>6000</v>
      </c>
      <c r="O62" s="849">
        <f t="shared" si="5"/>
        <v>2213.772727272728</v>
      </c>
      <c r="P62" s="765" t="s">
        <v>795</v>
      </c>
    </row>
    <row r="63" spans="1:16" ht="15.75">
      <c r="A63" s="675"/>
      <c r="B63" s="862"/>
      <c r="C63" s="868"/>
      <c r="D63" s="856"/>
      <c r="E63" s="856"/>
      <c r="F63" s="857"/>
      <c r="G63" s="856"/>
      <c r="H63" s="856"/>
      <c r="I63" s="856"/>
      <c r="J63" s="855" t="s">
        <v>830</v>
      </c>
      <c r="K63" s="858"/>
      <c r="L63" s="863"/>
      <c r="M63" s="869">
        <f>SUM(M60:M62)</f>
        <v>1721519.8270390483</v>
      </c>
      <c r="N63" s="869">
        <f>SUM(N60:N62)</f>
        <v>1402713.2</v>
      </c>
      <c r="O63" s="759">
        <f t="shared" si="5"/>
        <v>318806.62703904836</v>
      </c>
      <c r="P63" s="765"/>
    </row>
    <row r="64" spans="1:16" ht="15">
      <c r="A64" s="675"/>
      <c r="B64" s="834">
        <v>1935</v>
      </c>
      <c r="C64" s="762" t="s">
        <v>747</v>
      </c>
      <c r="D64" s="756">
        <v>185317.3</v>
      </c>
      <c r="E64" s="756">
        <v>190894.9</v>
      </c>
      <c r="F64" s="817">
        <f t="shared" si="0"/>
        <v>-5577.600000000006</v>
      </c>
      <c r="G64" s="756">
        <v>6600.000008940697</v>
      </c>
      <c r="H64" s="756"/>
      <c r="I64" s="756"/>
      <c r="J64" s="756">
        <f t="shared" si="1"/>
        <v>-2277.5999955296575</v>
      </c>
      <c r="K64" s="757">
        <v>10</v>
      </c>
      <c r="L64" s="847">
        <f t="shared" si="6"/>
        <v>0.1</v>
      </c>
      <c r="M64" s="852">
        <f t="shared" si="7"/>
        <v>-227.75999955296575</v>
      </c>
      <c r="N64" s="852">
        <v>-357.8</v>
      </c>
      <c r="O64" s="849">
        <f t="shared" si="5"/>
        <v>130.04000044703426</v>
      </c>
      <c r="P64" s="765" t="s">
        <v>721</v>
      </c>
    </row>
    <row r="65" spans="1:16" ht="15">
      <c r="A65" s="675"/>
      <c r="B65" s="834">
        <v>1940</v>
      </c>
      <c r="C65" s="762" t="s">
        <v>748</v>
      </c>
      <c r="D65" s="756">
        <v>6939328.23</v>
      </c>
      <c r="E65" s="756">
        <v>3354108.44</v>
      </c>
      <c r="F65" s="817">
        <f t="shared" si="0"/>
        <v>3585219.7900000005</v>
      </c>
      <c r="G65" s="756">
        <v>711709.9010386006</v>
      </c>
      <c r="H65" s="756"/>
      <c r="I65" s="756"/>
      <c r="J65" s="756">
        <f t="shared" si="1"/>
        <v>3941074.740519301</v>
      </c>
      <c r="K65" s="757">
        <v>10</v>
      </c>
      <c r="L65" s="847">
        <f t="shared" si="6"/>
        <v>0.1</v>
      </c>
      <c r="M65" s="852">
        <f t="shared" si="7"/>
        <v>394107.4740519301</v>
      </c>
      <c r="N65" s="852">
        <v>421564.1</v>
      </c>
      <c r="O65" s="849">
        <f t="shared" si="5"/>
        <v>-27456.62594806985</v>
      </c>
      <c r="P65" s="765" t="s">
        <v>721</v>
      </c>
    </row>
    <row r="66" spans="1:16" ht="15">
      <c r="A66" s="675"/>
      <c r="B66" s="834">
        <v>1955</v>
      </c>
      <c r="C66" s="775" t="s">
        <v>749</v>
      </c>
      <c r="D66" s="756">
        <v>2308934.28</v>
      </c>
      <c r="E66" s="756">
        <v>318598.33</v>
      </c>
      <c r="F66" s="817">
        <f t="shared" si="0"/>
        <v>1990335.9499999997</v>
      </c>
      <c r="G66" s="756">
        <v>335500.0004544854</v>
      </c>
      <c r="H66" s="756"/>
      <c r="I66" s="756"/>
      <c r="J66" s="756">
        <f t="shared" si="1"/>
        <v>2158085.9502272424</v>
      </c>
      <c r="K66" s="757">
        <v>6</v>
      </c>
      <c r="L66" s="847">
        <f t="shared" si="6"/>
        <v>0.16666666666666666</v>
      </c>
      <c r="M66" s="852">
        <f t="shared" si="7"/>
        <v>359680.9917045404</v>
      </c>
      <c r="N66" s="852">
        <v>375000</v>
      </c>
      <c r="O66" s="849">
        <f t="shared" si="5"/>
        <v>-15319.008295459615</v>
      </c>
      <c r="P66" s="765" t="s">
        <v>795</v>
      </c>
    </row>
    <row r="67" spans="1:16" ht="15">
      <c r="A67" s="675"/>
      <c r="B67" s="834">
        <v>1955</v>
      </c>
      <c r="C67" s="776" t="s">
        <v>751</v>
      </c>
      <c r="D67" s="756">
        <v>97921.87</v>
      </c>
      <c r="E67" s="756">
        <v>42280</v>
      </c>
      <c r="F67" s="817">
        <f t="shared" si="0"/>
        <v>55641.869999999995</v>
      </c>
      <c r="G67" s="756"/>
      <c r="H67" s="756"/>
      <c r="I67" s="756"/>
      <c r="J67" s="756">
        <f t="shared" si="1"/>
        <v>55641.869999999995</v>
      </c>
      <c r="K67" s="757">
        <v>3</v>
      </c>
      <c r="L67" s="847">
        <f t="shared" si="6"/>
        <v>0.3333333333333333</v>
      </c>
      <c r="M67" s="852">
        <f t="shared" si="7"/>
        <v>18547.289999999997</v>
      </c>
      <c r="N67" s="852">
        <v>19000</v>
      </c>
      <c r="O67" s="849">
        <f t="shared" si="5"/>
        <v>-452.71000000000276</v>
      </c>
      <c r="P67" s="765" t="s">
        <v>721</v>
      </c>
    </row>
    <row r="68" spans="1:16" ht="15.75">
      <c r="A68" s="675"/>
      <c r="B68" s="834"/>
      <c r="C68" s="776"/>
      <c r="D68" s="756"/>
      <c r="E68" s="756"/>
      <c r="F68" s="817"/>
      <c r="G68" s="756"/>
      <c r="H68" s="756"/>
      <c r="I68" s="756"/>
      <c r="J68" s="855" t="s">
        <v>831</v>
      </c>
      <c r="K68" s="757"/>
      <c r="L68" s="847"/>
      <c r="M68" s="852">
        <f>SUM(M66:M67)</f>
        <v>378228.28170454036</v>
      </c>
      <c r="N68" s="852">
        <f>SUM(N66:N67)</f>
        <v>394000</v>
      </c>
      <c r="O68" s="849">
        <f t="shared" si="5"/>
        <v>-15771.718295459636</v>
      </c>
      <c r="P68" s="765"/>
    </row>
    <row r="69" spans="1:16" ht="15">
      <c r="A69" s="675"/>
      <c r="B69" s="834">
        <v>1960</v>
      </c>
      <c r="C69" s="776" t="s">
        <v>752</v>
      </c>
      <c r="D69" s="756"/>
      <c r="E69" s="756"/>
      <c r="F69" s="817">
        <f t="shared" si="0"/>
        <v>0</v>
      </c>
      <c r="G69" s="756"/>
      <c r="H69" s="756"/>
      <c r="I69" s="756"/>
      <c r="J69" s="756">
        <f t="shared" si="1"/>
        <v>0</v>
      </c>
      <c r="K69" s="757">
        <v>10</v>
      </c>
      <c r="L69" s="847">
        <f t="shared" si="6"/>
        <v>0.1</v>
      </c>
      <c r="M69" s="852">
        <f t="shared" si="7"/>
        <v>0</v>
      </c>
      <c r="N69" s="852"/>
      <c r="O69" s="849">
        <f t="shared" si="5"/>
        <v>0</v>
      </c>
      <c r="P69" s="765"/>
    </row>
    <row r="70" spans="1:16" ht="15">
      <c r="A70" s="675"/>
      <c r="B70" s="774">
        <v>1961</v>
      </c>
      <c r="C70" s="776" t="s">
        <v>753</v>
      </c>
      <c r="D70" s="756"/>
      <c r="E70" s="756"/>
      <c r="F70" s="817">
        <f t="shared" si="0"/>
        <v>0</v>
      </c>
      <c r="G70" s="756"/>
      <c r="H70" s="756"/>
      <c r="I70" s="756"/>
      <c r="J70" s="756">
        <f t="shared" si="1"/>
        <v>0</v>
      </c>
      <c r="K70" s="757">
        <v>0</v>
      </c>
      <c r="L70" s="847">
        <f t="shared" si="6"/>
      </c>
      <c r="M70" s="852">
        <f t="shared" si="7"/>
      </c>
      <c r="N70" s="852"/>
      <c r="O70" s="849">
        <v>0</v>
      </c>
      <c r="P70" s="765"/>
    </row>
    <row r="71" spans="1:16" ht="15">
      <c r="A71" s="675"/>
      <c r="B71" s="834">
        <v>1980</v>
      </c>
      <c r="C71" s="776" t="s">
        <v>755</v>
      </c>
      <c r="D71" s="756">
        <v>4070798.819999993</v>
      </c>
      <c r="E71" s="756">
        <v>7306416.79</v>
      </c>
      <c r="F71" s="817">
        <f t="shared" si="0"/>
        <v>-3235617.970000007</v>
      </c>
      <c r="G71" s="756">
        <v>115940.52840433909</v>
      </c>
      <c r="H71" s="756"/>
      <c r="I71" s="756">
        <v>-13000</v>
      </c>
      <c r="J71" s="756">
        <f t="shared" si="1"/>
        <v>-3184147.7057978376</v>
      </c>
      <c r="K71" s="757">
        <v>15</v>
      </c>
      <c r="L71" s="847">
        <f t="shared" si="6"/>
        <v>0.06666666666666667</v>
      </c>
      <c r="M71" s="852">
        <f t="shared" si="7"/>
        <v>-212276.51371985584</v>
      </c>
      <c r="N71" s="852"/>
      <c r="O71" s="849"/>
      <c r="P71" s="765" t="s">
        <v>721</v>
      </c>
    </row>
    <row r="72" spans="1:16" ht="15">
      <c r="A72" s="675"/>
      <c r="B72" s="834">
        <v>1980</v>
      </c>
      <c r="C72" s="776" t="s">
        <v>818</v>
      </c>
      <c r="D72" s="756">
        <v>14076998.41</v>
      </c>
      <c r="E72" s="756"/>
      <c r="F72" s="817">
        <f t="shared" si="0"/>
        <v>14076998.41</v>
      </c>
      <c r="G72" s="756">
        <v>423182.92867583764</v>
      </c>
      <c r="H72" s="756"/>
      <c r="I72" s="756"/>
      <c r="J72" s="756">
        <f t="shared" si="1"/>
        <v>14288589.874337919</v>
      </c>
      <c r="K72" s="757">
        <v>15</v>
      </c>
      <c r="L72" s="847">
        <f t="shared" si="6"/>
        <v>0.06666666666666667</v>
      </c>
      <c r="M72" s="852">
        <f t="shared" si="7"/>
        <v>952572.6582891946</v>
      </c>
      <c r="N72" s="852"/>
      <c r="O72" s="849"/>
      <c r="P72" s="765" t="s">
        <v>721</v>
      </c>
    </row>
    <row r="73" spans="1:16" ht="15">
      <c r="A73" s="675"/>
      <c r="B73" s="834">
        <v>1980</v>
      </c>
      <c r="C73" s="762" t="s">
        <v>819</v>
      </c>
      <c r="D73" s="756">
        <v>1343785.16</v>
      </c>
      <c r="E73" s="817"/>
      <c r="F73" s="817">
        <f t="shared" si="0"/>
        <v>1343785.16</v>
      </c>
      <c r="G73" s="756">
        <v>40579.18494151868</v>
      </c>
      <c r="H73" s="756"/>
      <c r="I73" s="756"/>
      <c r="J73" s="756">
        <f t="shared" si="1"/>
        <v>1364074.7524707592</v>
      </c>
      <c r="K73" s="757">
        <v>10</v>
      </c>
      <c r="L73" s="847">
        <f t="shared" si="6"/>
        <v>0.1</v>
      </c>
      <c r="M73" s="852">
        <f>IF(K73=0,"",J73/K73)</f>
        <v>136407.47524707593</v>
      </c>
      <c r="N73" s="852"/>
      <c r="O73" s="849"/>
      <c r="P73" s="765" t="s">
        <v>795</v>
      </c>
    </row>
    <row r="74" spans="1:16" ht="15.75">
      <c r="A74" s="675"/>
      <c r="B74" s="862"/>
      <c r="C74" s="868"/>
      <c r="D74" s="856"/>
      <c r="E74" s="857"/>
      <c r="F74" s="857"/>
      <c r="G74" s="856"/>
      <c r="H74" s="856"/>
      <c r="I74" s="856"/>
      <c r="J74" s="855" t="s">
        <v>832</v>
      </c>
      <c r="K74" s="858"/>
      <c r="L74" s="870"/>
      <c r="M74" s="852">
        <f>SUM(M71:M73)</f>
        <v>876703.6198164147</v>
      </c>
      <c r="N74" s="852">
        <v>962617.0666666667</v>
      </c>
      <c r="O74" s="849">
        <f>+M74-N74</f>
        <v>-85913.44685025199</v>
      </c>
      <c r="P74" s="765"/>
    </row>
    <row r="75" spans="1:16" ht="15">
      <c r="A75" s="675"/>
      <c r="B75" s="769">
        <v>1985</v>
      </c>
      <c r="C75" s="776" t="s">
        <v>756</v>
      </c>
      <c r="D75" s="756"/>
      <c r="E75" s="756"/>
      <c r="F75" s="817">
        <f t="shared" si="0"/>
        <v>0</v>
      </c>
      <c r="G75" s="756"/>
      <c r="H75" s="756"/>
      <c r="I75" s="756"/>
      <c r="J75" s="756">
        <f t="shared" si="1"/>
        <v>0</v>
      </c>
      <c r="K75" s="757">
        <v>0</v>
      </c>
      <c r="L75" s="847">
        <f t="shared" si="6"/>
      </c>
      <c r="M75" s="852">
        <f aca="true" t="shared" si="8" ref="M75:M80">IF(K75=0,"",J75/K75)</f>
      </c>
      <c r="N75" s="852"/>
      <c r="O75" s="849">
        <v>0</v>
      </c>
      <c r="P75" s="765"/>
    </row>
    <row r="76" spans="1:16" ht="15">
      <c r="A76" s="675"/>
      <c r="B76" s="834">
        <v>1995</v>
      </c>
      <c r="C76" s="762" t="s">
        <v>757</v>
      </c>
      <c r="D76" s="756">
        <v>-305458296.369825</v>
      </c>
      <c r="E76" s="756"/>
      <c r="F76" s="817">
        <f t="shared" si="0"/>
        <v>-305458296.369825</v>
      </c>
      <c r="G76" s="756">
        <v>-19575515</v>
      </c>
      <c r="H76" s="756">
        <v>4478000</v>
      </c>
      <c r="I76" s="756">
        <v>516000</v>
      </c>
      <c r="J76" s="756">
        <f t="shared" si="1"/>
        <v>-312749053.869825</v>
      </c>
      <c r="K76" s="757">
        <v>38</v>
      </c>
      <c r="L76" s="847">
        <f t="shared" si="6"/>
        <v>0.02631578947368421</v>
      </c>
      <c r="M76" s="852">
        <f t="shared" si="8"/>
        <v>-8230238.259732237</v>
      </c>
      <c r="N76" s="852">
        <v>-8003580.027368421</v>
      </c>
      <c r="O76" s="759">
        <f>+M76-N76</f>
        <v>-226658.23236381635</v>
      </c>
      <c r="P76" s="765" t="s">
        <v>795</v>
      </c>
    </row>
    <row r="77" spans="1:16" ht="15">
      <c r="A77" s="675"/>
      <c r="B77" s="834">
        <v>2005</v>
      </c>
      <c r="C77" s="802" t="s">
        <v>784</v>
      </c>
      <c r="D77" s="756">
        <v>18280294.05</v>
      </c>
      <c r="E77" s="756"/>
      <c r="F77" s="817">
        <f>D77-E77</f>
        <v>18280294.05</v>
      </c>
      <c r="G77" s="756"/>
      <c r="H77" s="756"/>
      <c r="I77" s="756"/>
      <c r="J77" s="756">
        <f t="shared" si="1"/>
        <v>18280294.05</v>
      </c>
      <c r="K77" s="757">
        <v>25</v>
      </c>
      <c r="L77" s="847">
        <f>IF(K77=0,"",1/K77)</f>
        <v>0.04</v>
      </c>
      <c r="M77" s="852">
        <f t="shared" si="8"/>
        <v>731211.762</v>
      </c>
      <c r="N77" s="852">
        <v>733000</v>
      </c>
      <c r="O77" s="849">
        <f>+M77-N77</f>
        <v>-1788.238000000012</v>
      </c>
      <c r="P77" s="765" t="s">
        <v>721</v>
      </c>
    </row>
    <row r="78" spans="1:16" ht="15">
      <c r="A78" s="675"/>
      <c r="B78" s="774">
        <v>1611</v>
      </c>
      <c r="C78" s="775" t="s">
        <v>785</v>
      </c>
      <c r="D78" s="756">
        <v>608442</v>
      </c>
      <c r="E78" s="756"/>
      <c r="F78" s="817">
        <f>D78-E78</f>
        <v>608442</v>
      </c>
      <c r="G78" s="756"/>
      <c r="H78" s="756"/>
      <c r="I78" s="756"/>
      <c r="J78" s="756">
        <f t="shared" si="1"/>
        <v>608442</v>
      </c>
      <c r="K78" s="757">
        <v>25</v>
      </c>
      <c r="L78" s="847">
        <f>IF(K78=0,"",1/K78)</f>
        <v>0.04</v>
      </c>
      <c r="M78" s="852">
        <f t="shared" si="8"/>
        <v>24337.68</v>
      </c>
      <c r="N78" s="852">
        <v>32000</v>
      </c>
      <c r="O78" s="849">
        <f>+M78-N78</f>
        <v>-7662.32</v>
      </c>
      <c r="P78" s="765" t="s">
        <v>721</v>
      </c>
    </row>
    <row r="79" spans="1:16" ht="15">
      <c r="A79" s="675"/>
      <c r="B79" s="834"/>
      <c r="C79" s="776"/>
      <c r="D79" s="756"/>
      <c r="E79" s="756"/>
      <c r="F79" s="817"/>
      <c r="G79" s="756"/>
      <c r="H79" s="756"/>
      <c r="I79" s="756"/>
      <c r="J79" s="756">
        <f>F79+0.5*G79</f>
        <v>0</v>
      </c>
      <c r="K79" s="871"/>
      <c r="L79" s="848">
        <f>IF(K79=0,"",1/K79)</f>
      </c>
      <c r="M79" s="848">
        <f t="shared" si="8"/>
      </c>
      <c r="N79" s="848"/>
      <c r="O79" s="849"/>
      <c r="P79" s="765"/>
    </row>
    <row r="80" spans="1:16" ht="15.75" thickBot="1">
      <c r="A80" s="675"/>
      <c r="B80" s="780"/>
      <c r="C80" s="781"/>
      <c r="D80" s="783"/>
      <c r="E80" s="783"/>
      <c r="F80" s="872"/>
      <c r="G80" s="783"/>
      <c r="H80" s="783"/>
      <c r="I80" s="783"/>
      <c r="J80" s="784">
        <f>F80+0.5*G80</f>
        <v>0</v>
      </c>
      <c r="K80" s="785"/>
      <c r="L80" s="873">
        <f>IF(K80=0,"",1/K80)</f>
      </c>
      <c r="M80" s="874">
        <f t="shared" si="8"/>
      </c>
      <c r="N80" s="874"/>
      <c r="O80" s="875"/>
      <c r="P80" s="788"/>
    </row>
    <row r="81" spans="1:16" ht="16.5" thickBot="1" thickTop="1">
      <c r="A81" s="675"/>
      <c r="B81" s="789"/>
      <c r="C81" s="790" t="s">
        <v>112</v>
      </c>
      <c r="D81" s="792">
        <f aca="true" t="shared" si="9" ref="D81:I81">SUM(D16:D80)</f>
        <v>1312365469.4401743</v>
      </c>
      <c r="E81" s="792">
        <f t="shared" si="9"/>
        <v>217560258.97999993</v>
      </c>
      <c r="F81" s="792">
        <f t="shared" si="9"/>
        <v>1094805210.4601748</v>
      </c>
      <c r="G81" s="792">
        <f t="shared" si="9"/>
        <v>76699973.47474349</v>
      </c>
      <c r="H81" s="792">
        <f t="shared" si="9"/>
        <v>-6406636.075260835</v>
      </c>
      <c r="I81" s="792">
        <f t="shared" si="9"/>
        <v>-1357000</v>
      </c>
      <c r="J81" s="792">
        <f>F81+0.5*G81</f>
        <v>1133155197.1975465</v>
      </c>
      <c r="K81" s="793"/>
      <c r="L81" s="792">
        <f>SUM(L16:L80)</f>
        <v>3.7824052555631513</v>
      </c>
      <c r="M81" s="876">
        <f>+M18+M29+M34+M36+M37+M38+M39+M40+M41+M42+M43+M44+M45+M46+M47+M51+M58+M59+M63+M64+M65+M68+M74+M76+M77+M78+M52</f>
        <v>38298256.941092275</v>
      </c>
      <c r="N81" s="876">
        <f>+N18+N29+N34+N36+N37+N38+N39+N40+N41+N42+N43+N44+N45+N46+N47+N51+N58+N59+N63+N64+N65+N68+N74+N76+N77+N78+N52</f>
        <v>33916459.91900021</v>
      </c>
      <c r="O81" s="877">
        <f>+O18+O29+O34+O36+O37+O38+O39+O40+O41+O42+O43+O44+O45+O46+O47+O51+O52+O58+O59+O63+O64+O65+O68+O74+O76+O77+O78</f>
        <v>4381797.022092081</v>
      </c>
      <c r="P81" s="796"/>
    </row>
    <row r="82" spans="1:16" ht="15">
      <c r="A82" s="675"/>
      <c r="B82" s="675"/>
      <c r="C82" s="675"/>
      <c r="D82" s="675"/>
      <c r="E82" s="878"/>
      <c r="F82" s="675"/>
      <c r="G82" s="675"/>
      <c r="H82" s="675"/>
      <c r="I82" s="675"/>
      <c r="J82" s="675"/>
      <c r="K82" s="675"/>
      <c r="L82" s="675"/>
      <c r="M82" s="675"/>
      <c r="N82" s="675"/>
      <c r="O82" s="840"/>
      <c r="P82" s="675"/>
    </row>
    <row r="83" spans="1:16" ht="15">
      <c r="A83" s="675"/>
      <c r="B83" s="698" t="s">
        <v>265</v>
      </c>
      <c r="C83" s="699"/>
      <c r="D83" s="699"/>
      <c r="E83" s="879"/>
      <c r="F83" s="797"/>
      <c r="G83" s="880"/>
      <c r="H83" s="699"/>
      <c r="I83" s="699"/>
      <c r="J83" s="699"/>
      <c r="K83" s="699"/>
      <c r="L83" s="699"/>
      <c r="M83" s="699"/>
      <c r="N83" s="699"/>
      <c r="O83" s="699"/>
      <c r="P83" s="675"/>
    </row>
    <row r="84" spans="1:16" ht="15">
      <c r="A84" s="675"/>
      <c r="B84" s="699"/>
      <c r="C84" s="699"/>
      <c r="D84" s="699"/>
      <c r="E84" s="699"/>
      <c r="F84" s="699"/>
      <c r="G84" s="699"/>
      <c r="H84" s="699"/>
      <c r="I84" s="699"/>
      <c r="J84" s="699"/>
      <c r="K84" s="699"/>
      <c r="L84" s="699"/>
      <c r="M84" s="699"/>
      <c r="N84" s="699"/>
      <c r="O84" s="699"/>
      <c r="P84" s="675"/>
    </row>
    <row r="85" spans="1:16" ht="15">
      <c r="A85" s="675"/>
      <c r="B85" s="968" t="s">
        <v>758</v>
      </c>
      <c r="C85" s="970"/>
      <c r="D85" s="970"/>
      <c r="E85" s="970"/>
      <c r="F85" s="970"/>
      <c r="G85" s="970"/>
      <c r="H85" s="970"/>
      <c r="I85" s="970"/>
      <c r="J85" s="970"/>
      <c r="K85" s="970"/>
      <c r="L85" s="970"/>
      <c r="M85" s="675"/>
      <c r="N85" s="675"/>
      <c r="O85" s="675"/>
      <c r="P85" s="675"/>
    </row>
    <row r="86" spans="1:16" ht="15">
      <c r="A86" s="675"/>
      <c r="B86" s="968" t="s">
        <v>833</v>
      </c>
      <c r="C86" s="970"/>
      <c r="D86" s="970"/>
      <c r="E86" s="970"/>
      <c r="F86" s="970"/>
      <c r="G86" s="970"/>
      <c r="H86" s="970"/>
      <c r="I86" s="970"/>
      <c r="J86" s="970"/>
      <c r="K86" s="970"/>
      <c r="L86" s="970"/>
      <c r="M86" s="675"/>
      <c r="N86" s="675"/>
      <c r="O86" s="675"/>
      <c r="P86" s="675"/>
    </row>
    <row r="87" spans="1:16" ht="15">
      <c r="A87" s="675"/>
      <c r="B87" s="979" t="s">
        <v>820</v>
      </c>
      <c r="C87" s="982"/>
      <c r="D87" s="982"/>
      <c r="E87" s="982"/>
      <c r="F87" s="982"/>
      <c r="G87" s="982"/>
      <c r="H87" s="982"/>
      <c r="I87" s="982"/>
      <c r="J87" s="982"/>
      <c r="K87" s="982"/>
      <c r="L87" s="982"/>
      <c r="M87" s="675"/>
      <c r="N87" s="675"/>
      <c r="O87" s="675"/>
      <c r="P87" s="675"/>
    </row>
    <row r="88" spans="1:16" ht="15">
      <c r="A88" s="675"/>
      <c r="B88" s="982"/>
      <c r="C88" s="982"/>
      <c r="D88" s="982"/>
      <c r="E88" s="982"/>
      <c r="F88" s="982"/>
      <c r="G88" s="982"/>
      <c r="H88" s="982"/>
      <c r="I88" s="982"/>
      <c r="J88" s="982"/>
      <c r="K88" s="982"/>
      <c r="L88" s="982"/>
      <c r="M88" s="675"/>
      <c r="N88" s="675"/>
      <c r="O88" s="675"/>
      <c r="P88" s="675"/>
    </row>
    <row r="89" spans="1:16" ht="15">
      <c r="A89" s="675"/>
      <c r="B89" s="968" t="s">
        <v>834</v>
      </c>
      <c r="C89" s="969"/>
      <c r="D89" s="969"/>
      <c r="E89" s="969"/>
      <c r="F89" s="969"/>
      <c r="G89" s="969"/>
      <c r="H89" s="969"/>
      <c r="I89" s="969"/>
      <c r="J89" s="969"/>
      <c r="K89" s="969"/>
      <c r="L89" s="969"/>
      <c r="M89" s="699"/>
      <c r="N89" s="699"/>
      <c r="O89" s="699"/>
      <c r="P89" s="675"/>
    </row>
    <row r="90" spans="1:16" ht="15" customHeight="1">
      <c r="A90" s="675"/>
      <c r="B90" s="897" t="s">
        <v>788</v>
      </c>
      <c r="C90" s="701"/>
      <c r="D90" s="701"/>
      <c r="E90" s="701"/>
      <c r="F90" s="701"/>
      <c r="G90" s="701"/>
      <c r="H90" s="701"/>
      <c r="I90" s="701"/>
      <c r="J90" s="701"/>
      <c r="K90" s="701"/>
      <c r="L90" s="701"/>
      <c r="M90" s="701"/>
      <c r="N90" s="701"/>
      <c r="O90" s="701"/>
      <c r="P90" s="675"/>
    </row>
  </sheetData>
  <mergeCells count="9">
    <mergeCell ref="B89:L89"/>
    <mergeCell ref="P14:P15"/>
    <mergeCell ref="B85:L85"/>
    <mergeCell ref="B86:L86"/>
    <mergeCell ref="B87:L88"/>
    <mergeCell ref="B9:M9"/>
    <mergeCell ref="B10:M10"/>
    <mergeCell ref="B14:B15"/>
    <mergeCell ref="C14:C15"/>
  </mergeCells>
  <dataValidations count="2">
    <dataValidation allowBlank="1" showInputMessage="1" showErrorMessage="1" promptTitle="Date Format" prompt="E.g:  &quot;August 1, 2011&quot;" sqref="M7:O7"/>
    <dataValidation type="list" allowBlank="1" showInputMessage="1" showErrorMessage="1" sqref="P16:P80">
      <formula1>"Yes, No"</formula1>
    </dataValidation>
  </dataValidations>
  <printOptions/>
  <pageMargins left="0.75" right="0.75" top="0.22" bottom="0.17" header="0.23" footer="0.16"/>
  <pageSetup fitToHeight="1" fitToWidth="1" horizontalDpi="600" verticalDpi="600" orientation="landscape" scale="42"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P90"/>
  <sheetViews>
    <sheetView zoomScale="85" zoomScaleNormal="85" workbookViewId="0" topLeftCell="A58">
      <selection activeCell="H95" sqref="H95"/>
    </sheetView>
  </sheetViews>
  <sheetFormatPr defaultColWidth="9.140625" defaultRowHeight="15"/>
  <cols>
    <col min="1" max="1" width="1.57421875" style="0" customWidth="1"/>
    <col min="2" max="2" width="8.421875" style="0" bestFit="1" customWidth="1"/>
    <col min="3" max="3" width="39.421875" style="0" bestFit="1" customWidth="1"/>
    <col min="4" max="4" width="15.140625" style="0" bestFit="1" customWidth="1"/>
    <col min="5" max="5" width="13.57421875" style="0" bestFit="1" customWidth="1"/>
    <col min="6" max="6" width="15.140625" style="0" bestFit="1" customWidth="1"/>
    <col min="7" max="7" width="13.7109375" style="0" bestFit="1" customWidth="1"/>
    <col min="8" max="8" width="13.421875" style="0" bestFit="1" customWidth="1"/>
    <col min="9" max="9" width="12.28125" style="0" bestFit="1" customWidth="1"/>
    <col min="10" max="10" width="17.7109375" style="0" customWidth="1"/>
    <col min="11" max="11" width="9.28125" style="0" bestFit="1" customWidth="1"/>
    <col min="12" max="12" width="12.8515625" style="0" customWidth="1"/>
    <col min="13" max="13" width="12.7109375" style="0" bestFit="1" customWidth="1"/>
    <col min="14" max="14" width="12.28125" style="0" bestFit="1" customWidth="1"/>
    <col min="15" max="15" width="11.28125" style="0" bestFit="1" customWidth="1"/>
    <col min="16" max="16" width="15.8515625" style="0" customWidth="1"/>
  </cols>
  <sheetData>
    <row r="1" spans="1:16" ht="15">
      <c r="A1" s="675"/>
      <c r="B1" s="675"/>
      <c r="C1" s="675"/>
      <c r="D1" s="675"/>
      <c r="E1" s="675"/>
      <c r="F1" s="675"/>
      <c r="G1" s="675"/>
      <c r="H1" s="675"/>
      <c r="I1" s="675"/>
      <c r="J1" s="675"/>
      <c r="K1" s="698" t="s">
        <v>10</v>
      </c>
      <c r="L1" s="675"/>
      <c r="M1" s="677" t="s">
        <v>11</v>
      </c>
      <c r="N1" s="677"/>
      <c r="O1" s="677"/>
      <c r="P1" s="675"/>
    </row>
    <row r="2" spans="1:16" ht="15">
      <c r="A2" s="675"/>
      <c r="B2" s="675"/>
      <c r="C2" s="675"/>
      <c r="D2" s="675"/>
      <c r="E2" s="675"/>
      <c r="F2" s="675"/>
      <c r="G2" s="675"/>
      <c r="H2" s="675"/>
      <c r="I2" s="675"/>
      <c r="J2" s="675"/>
      <c r="K2" s="698" t="s">
        <v>12</v>
      </c>
      <c r="L2" s="675"/>
      <c r="M2" s="677" t="s">
        <v>619</v>
      </c>
      <c r="N2" s="677"/>
      <c r="O2" s="677"/>
      <c r="P2" s="675"/>
    </row>
    <row r="3" spans="1:16" ht="15">
      <c r="A3" s="675"/>
      <c r="B3" s="675"/>
      <c r="C3" s="675"/>
      <c r="D3" s="675"/>
      <c r="E3" s="675"/>
      <c r="F3" s="675"/>
      <c r="G3" s="675"/>
      <c r="H3" s="675"/>
      <c r="I3" s="675"/>
      <c r="J3" s="675"/>
      <c r="K3" s="698" t="s">
        <v>14</v>
      </c>
      <c r="L3" s="675"/>
      <c r="M3" s="711" t="s">
        <v>620</v>
      </c>
      <c r="N3" s="677"/>
      <c r="O3" s="677"/>
      <c r="P3" s="675"/>
    </row>
    <row r="4" spans="1:16" ht="15">
      <c r="A4" s="675"/>
      <c r="B4" s="675"/>
      <c r="C4" s="675"/>
      <c r="D4" s="675"/>
      <c r="E4" s="675"/>
      <c r="F4" s="675"/>
      <c r="G4" s="675"/>
      <c r="H4" s="675"/>
      <c r="I4" s="675"/>
      <c r="J4" s="675"/>
      <c r="K4" s="698" t="s">
        <v>16</v>
      </c>
      <c r="L4" s="675"/>
      <c r="M4" s="677" t="s">
        <v>688</v>
      </c>
      <c r="N4" s="677"/>
      <c r="O4" s="677"/>
      <c r="P4" s="675"/>
    </row>
    <row r="5" spans="1:16" ht="15">
      <c r="A5" s="675"/>
      <c r="B5" s="675"/>
      <c r="C5" s="675"/>
      <c r="D5" s="675"/>
      <c r="E5" s="675"/>
      <c r="F5" s="675"/>
      <c r="G5" s="675"/>
      <c r="H5" s="675"/>
      <c r="I5" s="675"/>
      <c r="J5" s="675"/>
      <c r="K5" s="698" t="s">
        <v>18</v>
      </c>
      <c r="L5" s="675"/>
      <c r="M5" s="677" t="s">
        <v>777</v>
      </c>
      <c r="N5" s="677"/>
      <c r="O5" s="677"/>
      <c r="P5" s="675"/>
    </row>
    <row r="6" spans="1:16" ht="15">
      <c r="A6" s="675"/>
      <c r="B6" s="675"/>
      <c r="C6" s="675"/>
      <c r="D6" s="675"/>
      <c r="E6" s="675"/>
      <c r="F6" s="675"/>
      <c r="G6" s="675"/>
      <c r="H6" s="675"/>
      <c r="I6" s="675"/>
      <c r="J6" s="675"/>
      <c r="K6" s="698"/>
      <c r="L6" s="675"/>
      <c r="M6" s="675"/>
      <c r="N6" s="675"/>
      <c r="O6" s="675"/>
      <c r="P6" s="675"/>
    </row>
    <row r="7" spans="1:16" ht="15">
      <c r="A7" s="675"/>
      <c r="B7" s="675"/>
      <c r="C7" s="675"/>
      <c r="D7" s="675"/>
      <c r="E7" s="675"/>
      <c r="F7" s="675"/>
      <c r="G7" s="675"/>
      <c r="H7" s="675"/>
      <c r="I7" s="675"/>
      <c r="J7" s="675"/>
      <c r="K7" s="698" t="s">
        <v>19</v>
      </c>
      <c r="L7" s="675"/>
      <c r="M7" s="678" t="s">
        <v>690</v>
      </c>
      <c r="N7" s="678"/>
      <c r="O7" s="678"/>
      <c r="P7" s="675"/>
    </row>
    <row r="8" spans="1:16" ht="15">
      <c r="A8" s="675"/>
      <c r="B8" s="675"/>
      <c r="C8" s="675"/>
      <c r="D8" s="675"/>
      <c r="E8" s="675"/>
      <c r="F8" s="675"/>
      <c r="G8" s="675"/>
      <c r="H8" s="675"/>
      <c r="I8" s="675"/>
      <c r="J8" s="675"/>
      <c r="K8" s="675"/>
      <c r="L8" s="675"/>
      <c r="M8" s="675"/>
      <c r="N8" s="675"/>
      <c r="O8" s="675"/>
      <c r="P8" s="675"/>
    </row>
    <row r="9" spans="1:16" ht="18">
      <c r="A9" s="675"/>
      <c r="B9" s="918" t="s">
        <v>691</v>
      </c>
      <c r="C9" s="918"/>
      <c r="D9" s="918"/>
      <c r="E9" s="918"/>
      <c r="F9" s="918"/>
      <c r="G9" s="918"/>
      <c r="H9" s="918"/>
      <c r="I9" s="918"/>
      <c r="J9" s="918"/>
      <c r="K9" s="918"/>
      <c r="L9" s="918"/>
      <c r="M9" s="918"/>
      <c r="N9" s="679"/>
      <c r="O9" s="679"/>
      <c r="P9" s="675"/>
    </row>
    <row r="10" spans="1:16" ht="18">
      <c r="A10" s="675"/>
      <c r="B10" s="918" t="s">
        <v>692</v>
      </c>
      <c r="C10" s="918"/>
      <c r="D10" s="918"/>
      <c r="E10" s="918"/>
      <c r="F10" s="918"/>
      <c r="G10" s="918"/>
      <c r="H10" s="918"/>
      <c r="I10" s="918"/>
      <c r="J10" s="918"/>
      <c r="K10" s="918"/>
      <c r="L10" s="918"/>
      <c r="M10" s="918"/>
      <c r="N10" s="679"/>
      <c r="O10" s="679"/>
      <c r="P10" s="675"/>
    </row>
    <row r="11" spans="1:16" ht="18">
      <c r="A11" s="675"/>
      <c r="B11" s="679"/>
      <c r="C11" s="679"/>
      <c r="D11" s="679"/>
      <c r="E11" s="679"/>
      <c r="F11" s="679"/>
      <c r="G11" s="679"/>
      <c r="H11" s="679"/>
      <c r="I11" s="679"/>
      <c r="J11" s="679"/>
      <c r="K11" s="679"/>
      <c r="L11" s="679"/>
      <c r="M11" s="679"/>
      <c r="N11" s="679"/>
      <c r="O11" s="679"/>
      <c r="P11" s="675"/>
    </row>
    <row r="12" spans="1:16" ht="18">
      <c r="A12" s="675"/>
      <c r="B12" s="679"/>
      <c r="C12" s="679"/>
      <c r="D12" s="679"/>
      <c r="E12" s="740" t="s">
        <v>693</v>
      </c>
      <c r="F12" s="741">
        <v>2013</v>
      </c>
      <c r="G12" s="742" t="s">
        <v>789</v>
      </c>
      <c r="H12" s="742"/>
      <c r="I12" s="742"/>
      <c r="J12" s="679"/>
      <c r="K12" s="679"/>
      <c r="L12" s="679"/>
      <c r="M12" s="679"/>
      <c r="N12" s="679"/>
      <c r="O12" s="679"/>
      <c r="P12" s="675"/>
    </row>
    <row r="13" spans="1:16" ht="15.75" thickBot="1">
      <c r="A13" s="675"/>
      <c r="B13" s="675"/>
      <c r="C13" s="675"/>
      <c r="D13" s="675"/>
      <c r="E13" s="675"/>
      <c r="F13" s="675"/>
      <c r="G13" s="675"/>
      <c r="H13" s="675"/>
      <c r="I13" s="675"/>
      <c r="J13" s="675"/>
      <c r="K13" s="675"/>
      <c r="L13" s="675"/>
      <c r="M13" s="675"/>
      <c r="N13" s="675"/>
      <c r="O13" s="675"/>
      <c r="P13" s="675"/>
    </row>
    <row r="14" spans="1:16" ht="51">
      <c r="A14" s="675"/>
      <c r="B14" s="964" t="s">
        <v>145</v>
      </c>
      <c r="C14" s="966" t="s">
        <v>146</v>
      </c>
      <c r="D14" s="826" t="s">
        <v>822</v>
      </c>
      <c r="E14" s="745" t="s">
        <v>699</v>
      </c>
      <c r="F14" s="843" t="s">
        <v>700</v>
      </c>
      <c r="G14" s="843" t="s">
        <v>701</v>
      </c>
      <c r="H14" s="843" t="s">
        <v>823</v>
      </c>
      <c r="I14" s="843" t="s">
        <v>697</v>
      </c>
      <c r="J14" s="843" t="s">
        <v>791</v>
      </c>
      <c r="K14" s="843" t="s">
        <v>703</v>
      </c>
      <c r="L14" s="843" t="s">
        <v>704</v>
      </c>
      <c r="M14" s="843" t="s">
        <v>792</v>
      </c>
      <c r="N14" s="843" t="s">
        <v>779</v>
      </c>
      <c r="O14" s="844" t="s">
        <v>707</v>
      </c>
      <c r="P14" s="971" t="s">
        <v>708</v>
      </c>
    </row>
    <row r="15" spans="1:16" ht="38.25">
      <c r="A15" s="675"/>
      <c r="B15" s="965"/>
      <c r="C15" s="967"/>
      <c r="D15" s="749" t="s">
        <v>709</v>
      </c>
      <c r="E15" s="749" t="s">
        <v>710</v>
      </c>
      <c r="F15" s="827" t="s">
        <v>711</v>
      </c>
      <c r="G15" s="827" t="s">
        <v>712</v>
      </c>
      <c r="H15" s="845" t="s">
        <v>717</v>
      </c>
      <c r="I15" s="845" t="s">
        <v>715</v>
      </c>
      <c r="J15" s="846" t="s">
        <v>835</v>
      </c>
      <c r="K15" s="827" t="s">
        <v>715</v>
      </c>
      <c r="L15" s="827" t="s">
        <v>716</v>
      </c>
      <c r="M15" s="827" t="s">
        <v>781</v>
      </c>
      <c r="N15" s="827" t="s">
        <v>718</v>
      </c>
      <c r="O15" s="828" t="s">
        <v>825</v>
      </c>
      <c r="P15" s="972"/>
    </row>
    <row r="16" spans="1:16" ht="15">
      <c r="A16" s="675"/>
      <c r="B16" s="719">
        <v>1805</v>
      </c>
      <c r="C16" s="754" t="s">
        <v>720</v>
      </c>
      <c r="D16" s="756">
        <v>10966831.83074506</v>
      </c>
      <c r="E16" s="756"/>
      <c r="F16" s="817">
        <f aca="true" t="shared" si="0" ref="F16:F28">D16-E16</f>
        <v>10966831.83074506</v>
      </c>
      <c r="G16" s="756">
        <v>2200000.0029802322</v>
      </c>
      <c r="H16" s="756">
        <v>-2200000</v>
      </c>
      <c r="I16" s="756"/>
      <c r="J16" s="756">
        <f>F16+0.5*G16+0.5*H16+0.5*I16</f>
        <v>10966831.832235176</v>
      </c>
      <c r="K16" s="881">
        <v>0</v>
      </c>
      <c r="L16" s="847">
        <f>IF(K16=0,"",1/K16)</f>
      </c>
      <c r="M16" s="848">
        <f aca="true" t="shared" si="1" ref="M16:M47">IF(K16=0,"",J16/K16)</f>
      </c>
      <c r="N16" s="848"/>
      <c r="O16" s="849"/>
      <c r="P16" s="765"/>
    </row>
    <row r="17" spans="1:16" ht="15">
      <c r="A17" s="675"/>
      <c r="B17" s="761">
        <v>1806</v>
      </c>
      <c r="C17" s="762" t="s">
        <v>722</v>
      </c>
      <c r="D17" s="756">
        <v>804718.369880743</v>
      </c>
      <c r="E17" s="756"/>
      <c r="F17" s="817">
        <f t="shared" si="0"/>
        <v>804718.369880743</v>
      </c>
      <c r="G17" s="756">
        <v>41158.25987403482</v>
      </c>
      <c r="H17" s="756"/>
      <c r="I17" s="756"/>
      <c r="J17" s="756">
        <f aca="true" t="shared" si="2" ref="J17:J28">F17+0.5*G17+0.5*H17+0.5*I17</f>
        <v>825297.4998177604</v>
      </c>
      <c r="K17" s="881">
        <v>0</v>
      </c>
      <c r="L17" s="847"/>
      <c r="M17" s="848">
        <f t="shared" si="1"/>
      </c>
      <c r="N17" s="848"/>
      <c r="O17" s="849"/>
      <c r="P17" s="765"/>
    </row>
    <row r="18" spans="1:16" ht="15">
      <c r="A18" s="675"/>
      <c r="B18" s="829">
        <v>1808</v>
      </c>
      <c r="C18" s="802" t="s">
        <v>723</v>
      </c>
      <c r="D18" s="756">
        <v>7364250.240053349</v>
      </c>
      <c r="E18" s="756">
        <v>103323.29</v>
      </c>
      <c r="F18" s="817">
        <f t="shared" si="0"/>
        <v>7260926.950053349</v>
      </c>
      <c r="G18" s="756">
        <v>14985.960075795057</v>
      </c>
      <c r="H18" s="756"/>
      <c r="I18" s="756"/>
      <c r="J18" s="756">
        <f t="shared" si="2"/>
        <v>7268419.930091247</v>
      </c>
      <c r="K18" s="881">
        <v>40</v>
      </c>
      <c r="L18" s="847">
        <f aca="true" t="shared" si="3" ref="L18:L76">IF(K18=0,"",1/K18)</f>
        <v>0.025</v>
      </c>
      <c r="M18" s="848">
        <f t="shared" si="1"/>
        <v>181710.49825228116</v>
      </c>
      <c r="N18" s="848">
        <v>196187.5</v>
      </c>
      <c r="O18" s="849">
        <f>+M18-N18</f>
        <v>-14477.001747718838</v>
      </c>
      <c r="P18" s="760" t="s">
        <v>795</v>
      </c>
    </row>
    <row r="19" spans="1:16" ht="15">
      <c r="A19" s="675"/>
      <c r="B19" s="761">
        <v>1810</v>
      </c>
      <c r="C19" s="762" t="s">
        <v>782</v>
      </c>
      <c r="D19" s="756">
        <v>9183888.920000002</v>
      </c>
      <c r="E19" s="756">
        <v>0</v>
      </c>
      <c r="F19" s="817">
        <f t="shared" si="0"/>
        <v>9183888.920000002</v>
      </c>
      <c r="G19" s="756"/>
      <c r="H19" s="756"/>
      <c r="I19" s="756"/>
      <c r="J19" s="756">
        <f t="shared" si="2"/>
        <v>9183888.920000002</v>
      </c>
      <c r="K19" s="881">
        <v>0</v>
      </c>
      <c r="L19" s="847">
        <f t="shared" si="3"/>
      </c>
      <c r="M19" s="848">
        <f t="shared" si="1"/>
      </c>
      <c r="N19" s="848"/>
      <c r="O19" s="849"/>
      <c r="P19" s="765"/>
    </row>
    <row r="20" spans="1:16" ht="15">
      <c r="A20" s="675"/>
      <c r="B20" s="829">
        <v>1815</v>
      </c>
      <c r="C20" s="802" t="s">
        <v>725</v>
      </c>
      <c r="D20" s="756">
        <v>-66884.34</v>
      </c>
      <c r="E20" s="756">
        <v>1906099.57</v>
      </c>
      <c r="F20" s="817">
        <f t="shared" si="0"/>
        <v>-1972983.9100000001</v>
      </c>
      <c r="G20" s="756"/>
      <c r="H20" s="756"/>
      <c r="I20" s="756"/>
      <c r="J20" s="756">
        <f t="shared" si="2"/>
        <v>-1972983.9100000001</v>
      </c>
      <c r="K20" s="881">
        <v>40</v>
      </c>
      <c r="L20" s="847">
        <f t="shared" si="3"/>
        <v>0.025</v>
      </c>
      <c r="M20" s="848">
        <f t="shared" si="1"/>
        <v>-49324.59775</v>
      </c>
      <c r="N20" s="848"/>
      <c r="O20" s="849"/>
      <c r="P20" s="765" t="s">
        <v>721</v>
      </c>
    </row>
    <row r="21" spans="1:16" ht="15">
      <c r="A21" s="699"/>
      <c r="B21" s="829">
        <v>1815</v>
      </c>
      <c r="C21" s="762" t="s">
        <v>796</v>
      </c>
      <c r="D21" s="756">
        <v>12249231.274152275</v>
      </c>
      <c r="E21" s="817"/>
      <c r="F21" s="817">
        <f t="shared" si="0"/>
        <v>12249231.274152275</v>
      </c>
      <c r="G21" s="817">
        <v>406292.890711726</v>
      </c>
      <c r="H21" s="756">
        <v>-3988091</v>
      </c>
      <c r="I21" s="817"/>
      <c r="J21" s="756">
        <f t="shared" si="2"/>
        <v>10458332.219508138</v>
      </c>
      <c r="K21" s="882">
        <v>40</v>
      </c>
      <c r="L21" s="851">
        <f t="shared" si="3"/>
        <v>0.025</v>
      </c>
      <c r="M21" s="852">
        <f t="shared" si="1"/>
        <v>261458.30548770344</v>
      </c>
      <c r="N21" s="852"/>
      <c r="O21" s="883"/>
      <c r="P21" s="832" t="s">
        <v>721</v>
      </c>
    </row>
    <row r="22" spans="1:16" ht="15">
      <c r="A22" s="675"/>
      <c r="B22" s="829">
        <v>1815</v>
      </c>
      <c r="C22" s="833" t="s">
        <v>797</v>
      </c>
      <c r="D22" s="756">
        <v>12949197.936999999</v>
      </c>
      <c r="E22" s="756"/>
      <c r="F22" s="817">
        <f t="shared" si="0"/>
        <v>12949197.936999999</v>
      </c>
      <c r="G22" s="756">
        <v>406292.890711726</v>
      </c>
      <c r="H22" s="756"/>
      <c r="I22" s="756"/>
      <c r="J22" s="756">
        <f t="shared" si="2"/>
        <v>13152344.382355861</v>
      </c>
      <c r="K22" s="884">
        <v>25</v>
      </c>
      <c r="L22" s="847">
        <f t="shared" si="3"/>
        <v>0.04</v>
      </c>
      <c r="M22" s="852">
        <f t="shared" si="1"/>
        <v>526093.7752942345</v>
      </c>
      <c r="N22" s="852"/>
      <c r="O22" s="883"/>
      <c r="P22" s="765" t="s">
        <v>795</v>
      </c>
    </row>
    <row r="23" spans="1:16" ht="15">
      <c r="A23" s="675"/>
      <c r="B23" s="829">
        <v>1815</v>
      </c>
      <c r="C23" s="833" t="s">
        <v>798</v>
      </c>
      <c r="D23" s="756">
        <v>53091711.5727</v>
      </c>
      <c r="E23" s="756"/>
      <c r="F23" s="817">
        <f t="shared" si="0"/>
        <v>53091711.5727</v>
      </c>
      <c r="G23" s="756">
        <v>1665800.8519180764</v>
      </c>
      <c r="H23" s="756"/>
      <c r="I23" s="756"/>
      <c r="J23" s="756">
        <f t="shared" si="2"/>
        <v>53924611.99865904</v>
      </c>
      <c r="K23" s="881">
        <v>40</v>
      </c>
      <c r="L23" s="847">
        <f t="shared" si="3"/>
        <v>0.025</v>
      </c>
      <c r="M23" s="852">
        <f t="shared" si="1"/>
        <v>1348115.299966476</v>
      </c>
      <c r="N23" s="852"/>
      <c r="O23" s="883"/>
      <c r="P23" s="765" t="s">
        <v>721</v>
      </c>
    </row>
    <row r="24" spans="1:16" ht="15">
      <c r="A24" s="675"/>
      <c r="B24" s="829">
        <v>1815</v>
      </c>
      <c r="C24" s="833" t="s">
        <v>799</v>
      </c>
      <c r="D24" s="756">
        <v>9064438.562900001</v>
      </c>
      <c r="E24" s="756"/>
      <c r="F24" s="817">
        <f t="shared" si="0"/>
        <v>9064438.562900001</v>
      </c>
      <c r="G24" s="756">
        <v>284405.0234982082</v>
      </c>
      <c r="H24" s="756"/>
      <c r="I24" s="756"/>
      <c r="J24" s="756">
        <f t="shared" si="2"/>
        <v>9206641.074649105</v>
      </c>
      <c r="K24" s="881">
        <v>40</v>
      </c>
      <c r="L24" s="847">
        <f t="shared" si="3"/>
        <v>0.025</v>
      </c>
      <c r="M24" s="852">
        <f t="shared" si="1"/>
        <v>230166.02686622762</v>
      </c>
      <c r="N24" s="852"/>
      <c r="O24" s="883"/>
      <c r="P24" s="765" t="s">
        <v>721</v>
      </c>
    </row>
    <row r="25" spans="1:16" ht="15">
      <c r="A25" s="675"/>
      <c r="B25" s="829">
        <v>1815</v>
      </c>
      <c r="C25" s="833" t="s">
        <v>800</v>
      </c>
      <c r="D25" s="756">
        <v>6447691.263499999</v>
      </c>
      <c r="E25" s="756"/>
      <c r="F25" s="817">
        <f t="shared" si="0"/>
        <v>6447691.263499999</v>
      </c>
      <c r="G25" s="756">
        <v>203146.445355863</v>
      </c>
      <c r="H25" s="756"/>
      <c r="I25" s="756"/>
      <c r="J25" s="756">
        <f t="shared" si="2"/>
        <v>6549264.486177931</v>
      </c>
      <c r="K25" s="881">
        <v>40</v>
      </c>
      <c r="L25" s="847">
        <f t="shared" si="3"/>
        <v>0.025</v>
      </c>
      <c r="M25" s="852">
        <f t="shared" si="1"/>
        <v>163731.61215444826</v>
      </c>
      <c r="N25" s="852"/>
      <c r="O25" s="883"/>
      <c r="P25" s="765" t="s">
        <v>721</v>
      </c>
    </row>
    <row r="26" spans="1:16" ht="15">
      <c r="A26" s="675"/>
      <c r="B26" s="829">
        <v>1815</v>
      </c>
      <c r="C26" s="833" t="s">
        <v>801</v>
      </c>
      <c r="D26" s="756">
        <v>6474598.983499999</v>
      </c>
      <c r="E26" s="756"/>
      <c r="F26" s="817">
        <f t="shared" si="0"/>
        <v>6474598.983499999</v>
      </c>
      <c r="G26" s="756">
        <v>203146.445355863</v>
      </c>
      <c r="H26" s="756"/>
      <c r="I26" s="756"/>
      <c r="J26" s="756">
        <f t="shared" si="2"/>
        <v>6576172.20617793</v>
      </c>
      <c r="K26" s="881">
        <v>20</v>
      </c>
      <c r="L26" s="847">
        <f t="shared" si="3"/>
        <v>0.05</v>
      </c>
      <c r="M26" s="852">
        <f t="shared" si="1"/>
        <v>328808.6103088965</v>
      </c>
      <c r="N26" s="852"/>
      <c r="O26" s="883"/>
      <c r="P26" s="765" t="s">
        <v>795</v>
      </c>
    </row>
    <row r="27" spans="1:16" ht="15">
      <c r="A27" s="675"/>
      <c r="B27" s="829">
        <v>1815</v>
      </c>
      <c r="C27" s="833" t="s">
        <v>802</v>
      </c>
      <c r="D27" s="756">
        <v>23308556.3446</v>
      </c>
      <c r="E27" s="756"/>
      <c r="F27" s="817">
        <f t="shared" si="0"/>
        <v>23308556.3446</v>
      </c>
      <c r="G27" s="756">
        <v>731327.2032811067</v>
      </c>
      <c r="H27" s="756"/>
      <c r="I27" s="756"/>
      <c r="J27" s="756">
        <f t="shared" si="2"/>
        <v>23674219.94624055</v>
      </c>
      <c r="K27" s="881">
        <v>30</v>
      </c>
      <c r="L27" s="847">
        <f t="shared" si="3"/>
        <v>0.03333333333333333</v>
      </c>
      <c r="M27" s="852">
        <f t="shared" si="1"/>
        <v>789140.6648746851</v>
      </c>
      <c r="N27" s="852"/>
      <c r="O27" s="883"/>
      <c r="P27" s="765" t="s">
        <v>795</v>
      </c>
    </row>
    <row r="28" spans="1:16" ht="15">
      <c r="A28" s="675"/>
      <c r="B28" s="829">
        <v>1815</v>
      </c>
      <c r="C28" s="833" t="s">
        <v>803</v>
      </c>
      <c r="D28" s="756">
        <v>5179679.1888</v>
      </c>
      <c r="E28" s="756"/>
      <c r="F28" s="817">
        <f t="shared" si="0"/>
        <v>5179679.1888</v>
      </c>
      <c r="G28" s="756">
        <v>162517.1562846904</v>
      </c>
      <c r="H28" s="756"/>
      <c r="I28" s="756"/>
      <c r="J28" s="756">
        <f t="shared" si="2"/>
        <v>5260937.766942345</v>
      </c>
      <c r="K28" s="881">
        <v>30</v>
      </c>
      <c r="L28" s="847">
        <f t="shared" si="3"/>
        <v>0.03333333333333333</v>
      </c>
      <c r="M28" s="852">
        <f t="shared" si="1"/>
        <v>175364.5922314115</v>
      </c>
      <c r="N28" s="852"/>
      <c r="O28" s="883"/>
      <c r="P28" s="765" t="s">
        <v>795</v>
      </c>
    </row>
    <row r="29" spans="1:16" ht="15.75">
      <c r="A29" s="675"/>
      <c r="B29" s="854"/>
      <c r="C29" s="885"/>
      <c r="D29" s="856"/>
      <c r="E29" s="856"/>
      <c r="F29" s="857"/>
      <c r="G29" s="856"/>
      <c r="H29" s="856"/>
      <c r="I29" s="856"/>
      <c r="J29" s="896" t="s">
        <v>826</v>
      </c>
      <c r="K29" s="886"/>
      <c r="L29" s="863"/>
      <c r="M29" s="817">
        <f>SUM(M20:M28)</f>
        <v>3773554.289434083</v>
      </c>
      <c r="N29" s="852">
        <v>4179220.595833333</v>
      </c>
      <c r="O29" s="849">
        <f>+M29-N29</f>
        <v>-405666.3063992504</v>
      </c>
      <c r="P29" s="765"/>
    </row>
    <row r="30" spans="1:16" ht="15">
      <c r="A30" s="675"/>
      <c r="B30" s="769">
        <v>1820</v>
      </c>
      <c r="C30" s="770" t="s">
        <v>726</v>
      </c>
      <c r="D30" s="756">
        <v>-500725.14000000467</v>
      </c>
      <c r="E30" s="756">
        <v>6710620.54</v>
      </c>
      <c r="F30" s="817">
        <f>D30-E30</f>
        <v>-7211345.680000004</v>
      </c>
      <c r="G30" s="756"/>
      <c r="H30" s="756"/>
      <c r="I30" s="756"/>
      <c r="J30" s="756">
        <f>F30+0.5*G30+0.5*H30+0.5*I30</f>
        <v>-7211345.680000004</v>
      </c>
      <c r="K30" s="881">
        <v>30</v>
      </c>
      <c r="L30" s="861">
        <f t="shared" si="3"/>
        <v>0.03333333333333333</v>
      </c>
      <c r="M30" s="852">
        <f t="shared" si="1"/>
        <v>-240378.1893333335</v>
      </c>
      <c r="N30" s="852"/>
      <c r="O30" s="883"/>
      <c r="P30" s="765" t="s">
        <v>721</v>
      </c>
    </row>
    <row r="31" spans="1:16" ht="15">
      <c r="A31" s="675"/>
      <c r="B31" s="834">
        <v>1820</v>
      </c>
      <c r="C31" s="833" t="s">
        <v>804</v>
      </c>
      <c r="D31" s="756">
        <v>17055355.859601095</v>
      </c>
      <c r="E31" s="756"/>
      <c r="F31" s="817">
        <f>D31-E31</f>
        <v>17055355.859601095</v>
      </c>
      <c r="G31" s="756">
        <v>1858270.7823661843</v>
      </c>
      <c r="H31" s="756">
        <v>-107620</v>
      </c>
      <c r="I31" s="756"/>
      <c r="J31" s="756">
        <f>F31+0.5*G31+0.5*H31+0.5*I31</f>
        <v>17930681.25078419</v>
      </c>
      <c r="K31" s="881">
        <v>40</v>
      </c>
      <c r="L31" s="861">
        <f t="shared" si="3"/>
        <v>0.025</v>
      </c>
      <c r="M31" s="852">
        <f t="shared" si="1"/>
        <v>448267.0312696047</v>
      </c>
      <c r="N31" s="852"/>
      <c r="O31" s="883"/>
      <c r="P31" s="765" t="s">
        <v>795</v>
      </c>
    </row>
    <row r="32" spans="1:16" ht="15">
      <c r="A32" s="675"/>
      <c r="B32" s="834">
        <v>1820</v>
      </c>
      <c r="C32" s="833" t="s">
        <v>805</v>
      </c>
      <c r="D32" s="756">
        <v>16802314.199601095</v>
      </c>
      <c r="E32" s="756"/>
      <c r="F32" s="817">
        <f>D32-E32</f>
        <v>16802314.199601095</v>
      </c>
      <c r="G32" s="756">
        <v>1858270.7823661843</v>
      </c>
      <c r="H32" s="756"/>
      <c r="I32" s="756"/>
      <c r="J32" s="756">
        <f>F32+0.5*G32+0.5*H32+0.5*I32</f>
        <v>17731449.59078419</v>
      </c>
      <c r="K32" s="881">
        <v>20</v>
      </c>
      <c r="L32" s="861">
        <f t="shared" si="3"/>
        <v>0.05</v>
      </c>
      <c r="M32" s="852">
        <f t="shared" si="1"/>
        <v>886572.4795392094</v>
      </c>
      <c r="N32" s="852"/>
      <c r="O32" s="883"/>
      <c r="P32" s="765" t="s">
        <v>795</v>
      </c>
    </row>
    <row r="33" spans="1:16" ht="15">
      <c r="A33" s="675"/>
      <c r="B33" s="834">
        <v>1820</v>
      </c>
      <c r="C33" s="833" t="s">
        <v>806</v>
      </c>
      <c r="D33" s="756">
        <v>3733848.4343557986</v>
      </c>
      <c r="E33" s="756"/>
      <c r="F33" s="817">
        <f>D33-E33</f>
        <v>3733848.4343557986</v>
      </c>
      <c r="G33" s="756">
        <v>412949.062748041</v>
      </c>
      <c r="H33" s="756"/>
      <c r="I33" s="756"/>
      <c r="J33" s="756">
        <f>F33+0.5*G33+0.5*H33+0.5*I33</f>
        <v>3940322.965729819</v>
      </c>
      <c r="K33" s="881">
        <v>30</v>
      </c>
      <c r="L33" s="861">
        <f t="shared" si="3"/>
        <v>0.03333333333333333</v>
      </c>
      <c r="M33" s="852">
        <f t="shared" si="1"/>
        <v>131344.09885766063</v>
      </c>
      <c r="N33" s="852"/>
      <c r="O33" s="883"/>
      <c r="P33" s="765" t="s">
        <v>795</v>
      </c>
    </row>
    <row r="34" spans="1:16" ht="15.75">
      <c r="A34" s="675"/>
      <c r="B34" s="854"/>
      <c r="C34" s="885"/>
      <c r="D34" s="856"/>
      <c r="E34" s="856"/>
      <c r="F34" s="857"/>
      <c r="G34" s="856"/>
      <c r="H34" s="856"/>
      <c r="I34" s="856"/>
      <c r="J34" s="896" t="s">
        <v>827</v>
      </c>
      <c r="K34" s="886"/>
      <c r="L34" s="863"/>
      <c r="M34" s="817">
        <f>SUM(M30:M33)</f>
        <v>1225805.4203331412</v>
      </c>
      <c r="N34" s="852">
        <v>1279023</v>
      </c>
      <c r="O34" s="849">
        <f>+M34-N34</f>
        <v>-53217.57966685877</v>
      </c>
      <c r="P34" s="765"/>
    </row>
    <row r="35" spans="1:16" ht="15">
      <c r="A35" s="675"/>
      <c r="B35" s="834">
        <v>1825</v>
      </c>
      <c r="C35" s="776" t="s">
        <v>727</v>
      </c>
      <c r="D35" s="756">
        <v>0</v>
      </c>
      <c r="E35" s="756"/>
      <c r="F35" s="817">
        <f aca="true" t="shared" si="4" ref="F35:F50">D35-E35</f>
        <v>0</v>
      </c>
      <c r="G35" s="756"/>
      <c r="H35" s="756"/>
      <c r="I35" s="756"/>
      <c r="J35" s="756">
        <f>F35+G35+0.5*H35+0.5*I35</f>
        <v>0</v>
      </c>
      <c r="K35" s="881">
        <v>0</v>
      </c>
      <c r="L35" s="861">
        <f t="shared" si="3"/>
      </c>
      <c r="M35" s="852">
        <f t="shared" si="1"/>
      </c>
      <c r="N35" s="852"/>
      <c r="O35" s="883"/>
      <c r="P35" s="765" t="s">
        <v>721</v>
      </c>
    </row>
    <row r="36" spans="1:16" ht="15">
      <c r="A36" s="675"/>
      <c r="B36" s="834">
        <v>1830</v>
      </c>
      <c r="C36" s="776" t="s">
        <v>728</v>
      </c>
      <c r="D36" s="756">
        <v>163591736.33800292</v>
      </c>
      <c r="E36" s="756">
        <v>16252897.489999998</v>
      </c>
      <c r="F36" s="817">
        <f t="shared" si="4"/>
        <v>147338838.8480029</v>
      </c>
      <c r="G36" s="756">
        <v>11971579.8287755</v>
      </c>
      <c r="H36" s="756">
        <v>-2111005</v>
      </c>
      <c r="I36" s="756"/>
      <c r="J36" s="756">
        <f aca="true" t="shared" si="5" ref="J36:J78">F36+0.5*G36+0.5*H36+0.5*I36</f>
        <v>152269126.26239067</v>
      </c>
      <c r="K36" s="884">
        <v>45</v>
      </c>
      <c r="L36" s="861">
        <f t="shared" si="3"/>
        <v>0.022222222222222223</v>
      </c>
      <c r="M36" s="852">
        <f t="shared" si="1"/>
        <v>3383758.3613864593</v>
      </c>
      <c r="N36" s="852">
        <v>3038262.4375</v>
      </c>
      <c r="O36" s="849">
        <f aca="true" t="shared" si="6" ref="O36:O46">+M36-N36</f>
        <v>345495.9238864593</v>
      </c>
      <c r="P36" s="765" t="s">
        <v>795</v>
      </c>
    </row>
    <row r="37" spans="1:16" ht="15">
      <c r="A37" s="675"/>
      <c r="B37" s="834">
        <v>1835</v>
      </c>
      <c r="C37" s="776" t="s">
        <v>729</v>
      </c>
      <c r="D37" s="756">
        <v>189047867.38046077</v>
      </c>
      <c r="E37" s="756">
        <v>25739537.55</v>
      </c>
      <c r="F37" s="817">
        <f t="shared" si="4"/>
        <v>163308329.83046076</v>
      </c>
      <c r="G37" s="756">
        <v>18841566.862464402</v>
      </c>
      <c r="H37" s="756">
        <v>-901516</v>
      </c>
      <c r="I37" s="756">
        <v>-26000</v>
      </c>
      <c r="J37" s="756">
        <f t="shared" si="5"/>
        <v>172265355.26169297</v>
      </c>
      <c r="K37" s="887">
        <v>40</v>
      </c>
      <c r="L37" s="861">
        <f t="shared" si="3"/>
        <v>0.025</v>
      </c>
      <c r="M37" s="852">
        <f t="shared" si="1"/>
        <v>4306633.881542324</v>
      </c>
      <c r="N37" s="852">
        <v>3668586.13</v>
      </c>
      <c r="O37" s="849">
        <f t="shared" si="6"/>
        <v>638047.7515423242</v>
      </c>
      <c r="P37" s="765" t="s">
        <v>795</v>
      </c>
    </row>
    <row r="38" spans="1:16" ht="15">
      <c r="A38" s="675"/>
      <c r="B38" s="834">
        <v>1840</v>
      </c>
      <c r="C38" s="776" t="s">
        <v>730</v>
      </c>
      <c r="D38" s="756">
        <v>127231394.9037754</v>
      </c>
      <c r="E38" s="756">
        <v>19952614.91</v>
      </c>
      <c r="F38" s="817">
        <f t="shared" si="4"/>
        <v>107278779.9937754</v>
      </c>
      <c r="G38" s="756">
        <v>3949350.41622426</v>
      </c>
      <c r="H38" s="756">
        <v>-991618</v>
      </c>
      <c r="I38" s="756">
        <v>-155000</v>
      </c>
      <c r="J38" s="756">
        <f t="shared" si="5"/>
        <v>108680146.20188753</v>
      </c>
      <c r="K38" s="884">
        <v>60</v>
      </c>
      <c r="L38" s="861">
        <f t="shared" si="3"/>
        <v>0.016666666666666666</v>
      </c>
      <c r="M38" s="852">
        <f t="shared" si="1"/>
        <v>1811335.770031459</v>
      </c>
      <c r="N38" s="852">
        <v>1342967.275</v>
      </c>
      <c r="O38" s="849">
        <f t="shared" si="6"/>
        <v>468368.495031459</v>
      </c>
      <c r="P38" s="765" t="s">
        <v>795</v>
      </c>
    </row>
    <row r="39" spans="1:16" ht="15">
      <c r="A39" s="675"/>
      <c r="B39" s="834">
        <v>1845</v>
      </c>
      <c r="C39" s="776" t="s">
        <v>731</v>
      </c>
      <c r="D39" s="756">
        <v>375073590.263977</v>
      </c>
      <c r="E39" s="756">
        <v>48351739.059999995</v>
      </c>
      <c r="F39" s="817">
        <f t="shared" si="4"/>
        <v>326721851.203977</v>
      </c>
      <c r="G39" s="756">
        <v>39863056.46671499</v>
      </c>
      <c r="H39" s="756">
        <v>-2572908</v>
      </c>
      <c r="I39" s="756">
        <v>-700000</v>
      </c>
      <c r="J39" s="756">
        <f t="shared" si="5"/>
        <v>345016925.4373345</v>
      </c>
      <c r="K39" s="887">
        <v>45</v>
      </c>
      <c r="L39" s="861">
        <f t="shared" si="3"/>
        <v>0.022222222222222223</v>
      </c>
      <c r="M39" s="852">
        <f t="shared" si="1"/>
        <v>7667042.787496322</v>
      </c>
      <c r="N39" s="852">
        <v>6569527.0355555555</v>
      </c>
      <c r="O39" s="849">
        <f t="shared" si="6"/>
        <v>1097515.7519407663</v>
      </c>
      <c r="P39" s="765" t="s">
        <v>795</v>
      </c>
    </row>
    <row r="40" spans="1:16" ht="15">
      <c r="A40" s="675"/>
      <c r="B40" s="774">
        <v>1849</v>
      </c>
      <c r="C40" s="762" t="s">
        <v>732</v>
      </c>
      <c r="D40" s="756">
        <v>56752212.95879297</v>
      </c>
      <c r="E40" s="756">
        <v>13629450.79</v>
      </c>
      <c r="F40" s="817">
        <f t="shared" si="4"/>
        <v>43122762.16879297</v>
      </c>
      <c r="G40" s="756">
        <v>2163045.9841981395</v>
      </c>
      <c r="H40" s="756">
        <v>-166466</v>
      </c>
      <c r="I40" s="756">
        <v>-571000</v>
      </c>
      <c r="J40" s="756">
        <f t="shared" si="5"/>
        <v>43835552.16089204</v>
      </c>
      <c r="K40" s="881">
        <v>40</v>
      </c>
      <c r="L40" s="861">
        <f t="shared" si="3"/>
        <v>0.025</v>
      </c>
      <c r="M40" s="852">
        <f t="shared" si="1"/>
        <v>1095888.804022301</v>
      </c>
      <c r="N40" s="852">
        <v>736735.4750000001</v>
      </c>
      <c r="O40" s="849">
        <f t="shared" si="6"/>
        <v>359153.3290223009</v>
      </c>
      <c r="P40" s="765" t="s">
        <v>795</v>
      </c>
    </row>
    <row r="41" spans="1:16" ht="15">
      <c r="A41" s="675"/>
      <c r="B41" s="834">
        <v>1850</v>
      </c>
      <c r="C41" s="776" t="s">
        <v>733</v>
      </c>
      <c r="D41" s="756">
        <v>229815833.1702709</v>
      </c>
      <c r="E41" s="756">
        <v>32891772.84</v>
      </c>
      <c r="F41" s="817">
        <f t="shared" si="4"/>
        <v>196924060.3302709</v>
      </c>
      <c r="G41" s="756">
        <v>10480869.0715252</v>
      </c>
      <c r="H41" s="756">
        <v>-795034</v>
      </c>
      <c r="I41" s="756">
        <v>-1234000</v>
      </c>
      <c r="J41" s="756">
        <f t="shared" si="5"/>
        <v>201149977.8660335</v>
      </c>
      <c r="K41" s="881">
        <v>30</v>
      </c>
      <c r="L41" s="861">
        <f t="shared" si="3"/>
        <v>0.03333333333333333</v>
      </c>
      <c r="M41" s="852">
        <f t="shared" si="1"/>
        <v>6704999.262201116</v>
      </c>
      <c r="N41" s="852">
        <v>6072141.246666667</v>
      </c>
      <c r="O41" s="849">
        <f t="shared" si="6"/>
        <v>632858.0155344494</v>
      </c>
      <c r="P41" s="765" t="s">
        <v>795</v>
      </c>
    </row>
    <row r="42" spans="1:16" ht="15">
      <c r="A42" s="675"/>
      <c r="B42" s="834">
        <v>1855</v>
      </c>
      <c r="C42" s="776" t="s">
        <v>836</v>
      </c>
      <c r="D42" s="756">
        <v>16119711.937205484</v>
      </c>
      <c r="E42" s="756">
        <v>1442500.23</v>
      </c>
      <c r="F42" s="817">
        <f t="shared" si="4"/>
        <v>14677211.707205484</v>
      </c>
      <c r="G42" s="756">
        <v>1153681.3309462003</v>
      </c>
      <c r="H42" s="756"/>
      <c r="I42" s="756"/>
      <c r="J42" s="756">
        <f t="shared" si="5"/>
        <v>15254052.372678583</v>
      </c>
      <c r="K42" s="881">
        <v>40</v>
      </c>
      <c r="L42" s="861">
        <f t="shared" si="3"/>
        <v>0.025</v>
      </c>
      <c r="M42" s="852">
        <f t="shared" si="1"/>
        <v>381351.3093169646</v>
      </c>
      <c r="N42" s="852">
        <v>325425</v>
      </c>
      <c r="O42" s="849">
        <f t="shared" si="6"/>
        <v>55926.30931696459</v>
      </c>
      <c r="P42" s="765" t="s">
        <v>795</v>
      </c>
    </row>
    <row r="43" spans="1:16" ht="15">
      <c r="A43" s="675"/>
      <c r="B43" s="774">
        <v>1856</v>
      </c>
      <c r="C43" s="762" t="s">
        <v>735</v>
      </c>
      <c r="D43" s="756">
        <v>96850343.64811611</v>
      </c>
      <c r="E43" s="756">
        <v>19224808.669999998</v>
      </c>
      <c r="F43" s="817">
        <f t="shared" si="4"/>
        <v>77625534.97811611</v>
      </c>
      <c r="G43" s="756">
        <v>2635028.3583518597</v>
      </c>
      <c r="H43" s="756"/>
      <c r="I43" s="756"/>
      <c r="J43" s="756">
        <f t="shared" si="5"/>
        <v>78943049.15729204</v>
      </c>
      <c r="K43" s="881">
        <v>25</v>
      </c>
      <c r="L43" s="861">
        <f t="shared" si="3"/>
        <v>0.04</v>
      </c>
      <c r="M43" s="852">
        <f t="shared" si="1"/>
        <v>3157721.9662916814</v>
      </c>
      <c r="N43" s="852">
        <v>3013700</v>
      </c>
      <c r="O43" s="849">
        <f t="shared" si="6"/>
        <v>144021.9662916814</v>
      </c>
      <c r="P43" s="765" t="s">
        <v>721</v>
      </c>
    </row>
    <row r="44" spans="1:16" ht="15">
      <c r="A44" s="675"/>
      <c r="B44" s="834">
        <v>1860</v>
      </c>
      <c r="C44" s="776" t="s">
        <v>736</v>
      </c>
      <c r="D44" s="756">
        <v>9739254.281315187</v>
      </c>
      <c r="E44" s="756">
        <v>-1754605.15</v>
      </c>
      <c r="F44" s="817">
        <f t="shared" si="4"/>
        <v>11493859.431315187</v>
      </c>
      <c r="G44" s="756">
        <v>1117785.3553985732</v>
      </c>
      <c r="H44" s="756"/>
      <c r="I44" s="756"/>
      <c r="J44" s="756">
        <f t="shared" si="5"/>
        <v>12052752.109014474</v>
      </c>
      <c r="K44" s="881">
        <v>25</v>
      </c>
      <c r="L44" s="861">
        <f t="shared" si="3"/>
        <v>0.04</v>
      </c>
      <c r="M44" s="852">
        <f t="shared" si="1"/>
        <v>482110.08436057897</v>
      </c>
      <c r="N44" s="852">
        <v>481902.76</v>
      </c>
      <c r="O44" s="849">
        <f t="shared" si="6"/>
        <v>207.3243605789612</v>
      </c>
      <c r="P44" s="765" t="s">
        <v>721</v>
      </c>
    </row>
    <row r="45" spans="1:16" ht="15">
      <c r="A45" s="675"/>
      <c r="B45" s="834">
        <v>1861</v>
      </c>
      <c r="C45" s="807" t="s">
        <v>737</v>
      </c>
      <c r="D45" s="756">
        <v>11787862.77</v>
      </c>
      <c r="E45" s="756">
        <v>186865.9</v>
      </c>
      <c r="F45" s="817">
        <f t="shared" si="4"/>
        <v>11600996.87</v>
      </c>
      <c r="G45" s="756">
        <v>1575049.3035057888</v>
      </c>
      <c r="H45" s="756">
        <v>501655</v>
      </c>
      <c r="I45" s="756"/>
      <c r="J45" s="756">
        <f t="shared" si="5"/>
        <v>12639349.021752894</v>
      </c>
      <c r="K45" s="881">
        <v>15</v>
      </c>
      <c r="L45" s="861">
        <f t="shared" si="3"/>
        <v>0.06666666666666667</v>
      </c>
      <c r="M45" s="852">
        <f t="shared" si="1"/>
        <v>842623.2681168596</v>
      </c>
      <c r="N45" s="852">
        <v>942221.8333333334</v>
      </c>
      <c r="O45" s="849">
        <f t="shared" si="6"/>
        <v>-99598.56521647377</v>
      </c>
      <c r="P45" s="765" t="s">
        <v>795</v>
      </c>
    </row>
    <row r="46" spans="1:16" ht="15">
      <c r="A46" s="675"/>
      <c r="B46" s="774">
        <v>1862</v>
      </c>
      <c r="C46" s="773" t="s">
        <v>783</v>
      </c>
      <c r="D46" s="756">
        <v>52040612.43000001</v>
      </c>
      <c r="E46" s="756"/>
      <c r="F46" s="817">
        <f t="shared" si="4"/>
        <v>52040612.43000001</v>
      </c>
      <c r="G46" s="756">
        <v>717142.2528453693</v>
      </c>
      <c r="H46" s="756"/>
      <c r="I46" s="756"/>
      <c r="J46" s="756">
        <f t="shared" si="5"/>
        <v>52399183.556422696</v>
      </c>
      <c r="K46" s="881">
        <v>15</v>
      </c>
      <c r="L46" s="861">
        <f t="shared" si="3"/>
        <v>0.06666666666666667</v>
      </c>
      <c r="M46" s="852">
        <f t="shared" si="1"/>
        <v>3493278.903761513</v>
      </c>
      <c r="N46" s="852">
        <v>3480900</v>
      </c>
      <c r="O46" s="849">
        <f t="shared" si="6"/>
        <v>12378.903761513066</v>
      </c>
      <c r="P46" s="765" t="s">
        <v>721</v>
      </c>
    </row>
    <row r="47" spans="1:16" ht="15">
      <c r="A47" s="675"/>
      <c r="B47" s="774">
        <v>1870</v>
      </c>
      <c r="C47" s="762" t="s">
        <v>739</v>
      </c>
      <c r="D47" s="756">
        <v>575421</v>
      </c>
      <c r="E47" s="756">
        <v>575421</v>
      </c>
      <c r="F47" s="817">
        <f t="shared" si="4"/>
        <v>0</v>
      </c>
      <c r="G47" s="756"/>
      <c r="H47" s="756"/>
      <c r="I47" s="756"/>
      <c r="J47" s="756">
        <f t="shared" si="5"/>
        <v>0</v>
      </c>
      <c r="K47" s="881">
        <v>0</v>
      </c>
      <c r="L47" s="861">
        <f t="shared" si="3"/>
      </c>
      <c r="M47" s="852">
        <f t="shared" si="1"/>
      </c>
      <c r="N47" s="852"/>
      <c r="O47" s="849"/>
      <c r="P47" s="765"/>
    </row>
    <row r="48" spans="1:16" ht="15">
      <c r="A48" s="675"/>
      <c r="B48" s="834">
        <v>1908</v>
      </c>
      <c r="C48" s="776" t="s">
        <v>740</v>
      </c>
      <c r="D48" s="756">
        <v>23065411.84799997</v>
      </c>
      <c r="E48" s="817">
        <v>36850.35</v>
      </c>
      <c r="F48" s="817">
        <f t="shared" si="4"/>
        <v>23028561.49799997</v>
      </c>
      <c r="G48" s="756">
        <v>164604.00022298098</v>
      </c>
      <c r="H48" s="756"/>
      <c r="I48" s="756"/>
      <c r="J48" s="756">
        <f t="shared" si="5"/>
        <v>23110863.49811146</v>
      </c>
      <c r="K48" s="881">
        <v>50</v>
      </c>
      <c r="L48" s="861">
        <f t="shared" si="3"/>
        <v>0.02</v>
      </c>
      <c r="M48" s="852">
        <f>IF(K48=0,"",J48/K48)</f>
        <v>462217.2699622292</v>
      </c>
      <c r="N48" s="852"/>
      <c r="O48" s="883"/>
      <c r="P48" s="765" t="s">
        <v>721</v>
      </c>
    </row>
    <row r="49" spans="1:16" ht="15">
      <c r="A49" s="675"/>
      <c r="B49" s="834">
        <v>1908</v>
      </c>
      <c r="C49" s="776" t="s">
        <v>808</v>
      </c>
      <c r="D49" s="756">
        <v>21836186.702</v>
      </c>
      <c r="E49" s="756"/>
      <c r="F49" s="817">
        <f t="shared" si="4"/>
        <v>21836186.702</v>
      </c>
      <c r="G49" s="756">
        <v>90816.00012302399</v>
      </c>
      <c r="H49" s="756"/>
      <c r="I49" s="756"/>
      <c r="J49" s="756">
        <f t="shared" si="5"/>
        <v>21881594.70206151</v>
      </c>
      <c r="K49" s="881">
        <v>50</v>
      </c>
      <c r="L49" s="861">
        <f t="shared" si="3"/>
        <v>0.02</v>
      </c>
      <c r="M49" s="852">
        <f>IF(K49=0,"",J49/K49)</f>
        <v>437631.8940412302</v>
      </c>
      <c r="N49" s="852"/>
      <c r="O49" s="883"/>
      <c r="P49" s="765" t="s">
        <v>721</v>
      </c>
    </row>
    <row r="50" spans="1:16" ht="15">
      <c r="A50" s="675"/>
      <c r="B50" s="834">
        <v>1908</v>
      </c>
      <c r="C50" s="775" t="s">
        <v>810</v>
      </c>
      <c r="D50" s="756">
        <v>2946969.41</v>
      </c>
      <c r="E50" s="756"/>
      <c r="F50" s="817">
        <f t="shared" si="4"/>
        <v>2946969.41</v>
      </c>
      <c r="G50" s="756">
        <v>28380.000038444996</v>
      </c>
      <c r="H50" s="756"/>
      <c r="I50" s="756"/>
      <c r="J50" s="756">
        <f t="shared" si="5"/>
        <v>2961159.4100192226</v>
      </c>
      <c r="K50" s="881">
        <v>30</v>
      </c>
      <c r="L50" s="861">
        <f t="shared" si="3"/>
        <v>0.03333333333333333</v>
      </c>
      <c r="M50" s="852">
        <f>IF(K50=0,"",J50/K50)</f>
        <v>98705.31366730742</v>
      </c>
      <c r="N50" s="852"/>
      <c r="O50" s="883"/>
      <c r="P50" s="765" t="s">
        <v>795</v>
      </c>
    </row>
    <row r="51" spans="1:16" ht="15.75">
      <c r="A51" s="675"/>
      <c r="B51" s="854"/>
      <c r="C51" s="885"/>
      <c r="D51" s="856"/>
      <c r="E51" s="856"/>
      <c r="F51" s="857"/>
      <c r="G51" s="856"/>
      <c r="H51" s="856"/>
      <c r="I51" s="856"/>
      <c r="J51" s="896" t="s">
        <v>828</v>
      </c>
      <c r="K51" s="886"/>
      <c r="L51" s="863"/>
      <c r="M51" s="817">
        <f>SUM(M48:M50)</f>
        <v>998554.4776707668</v>
      </c>
      <c r="N51" s="852">
        <v>957840</v>
      </c>
      <c r="O51" s="849">
        <f>+M51-N51</f>
        <v>40714.47767076676</v>
      </c>
      <c r="P51" s="765"/>
    </row>
    <row r="52" spans="1:16" ht="15">
      <c r="A52" s="675"/>
      <c r="B52" s="834">
        <v>1915</v>
      </c>
      <c r="C52" s="776" t="s">
        <v>771</v>
      </c>
      <c r="D52" s="756">
        <v>6205773.029999999</v>
      </c>
      <c r="E52" s="756">
        <v>1117856.23</v>
      </c>
      <c r="F52" s="817">
        <f aca="true" t="shared" si="7" ref="F52:F57">D52-E52</f>
        <v>5087916.799999999</v>
      </c>
      <c r="G52" s="756">
        <v>28600.00003874302</v>
      </c>
      <c r="H52" s="756"/>
      <c r="I52" s="756"/>
      <c r="J52" s="756">
        <f t="shared" si="5"/>
        <v>5102216.80001937</v>
      </c>
      <c r="K52" s="881">
        <v>10</v>
      </c>
      <c r="L52" s="861">
        <f t="shared" si="3"/>
        <v>0.1</v>
      </c>
      <c r="M52" s="852">
        <f>IF(K52=0,"",J52/K52)</f>
        <v>510221.680001937</v>
      </c>
      <c r="N52" s="852">
        <v>509849.9</v>
      </c>
      <c r="O52" s="849">
        <f>+M52-N52</f>
        <v>371.7800019370043</v>
      </c>
      <c r="P52" s="765" t="s">
        <v>721</v>
      </c>
    </row>
    <row r="53" spans="1:16" ht="15">
      <c r="A53" s="675"/>
      <c r="B53" s="834">
        <v>1920</v>
      </c>
      <c r="C53" s="776" t="s">
        <v>744</v>
      </c>
      <c r="D53" s="756">
        <v>0.6600000038743019</v>
      </c>
      <c r="E53" s="756">
        <v>11673004.91</v>
      </c>
      <c r="F53" s="817">
        <f t="shared" si="7"/>
        <v>-11673004.249999996</v>
      </c>
      <c r="G53" s="756"/>
      <c r="H53" s="756"/>
      <c r="I53" s="756"/>
      <c r="J53" s="756">
        <f t="shared" si="5"/>
        <v>-11673004.249999996</v>
      </c>
      <c r="K53" s="881">
        <v>5</v>
      </c>
      <c r="L53" s="861">
        <f t="shared" si="3"/>
        <v>0.2</v>
      </c>
      <c r="M53" s="852">
        <f>IF(K53=0,"",J53/K53)</f>
        <v>-2334600.849999999</v>
      </c>
      <c r="N53" s="852"/>
      <c r="O53" s="883"/>
      <c r="P53" s="765" t="s">
        <v>721</v>
      </c>
    </row>
    <row r="54" spans="1:16" ht="15">
      <c r="A54" s="675"/>
      <c r="B54" s="834">
        <v>1920</v>
      </c>
      <c r="C54" s="762" t="s">
        <v>811</v>
      </c>
      <c r="D54" s="756">
        <v>5989848.9762</v>
      </c>
      <c r="E54" s="756">
        <v>1003696.38</v>
      </c>
      <c r="F54" s="817">
        <f t="shared" si="7"/>
        <v>4986152.5962000005</v>
      </c>
      <c r="G54" s="756">
        <v>436607.15619755466</v>
      </c>
      <c r="H54" s="756">
        <v>28600</v>
      </c>
      <c r="I54" s="756"/>
      <c r="J54" s="756">
        <f t="shared" si="5"/>
        <v>5218756.174298778</v>
      </c>
      <c r="K54" s="881">
        <v>4</v>
      </c>
      <c r="L54" s="861">
        <f t="shared" si="3"/>
        <v>0.25</v>
      </c>
      <c r="M54" s="852">
        <f aca="true" t="shared" si="8" ref="M54:M66">IF(K54=0,"",J54/K54)</f>
        <v>1304689.0435746945</v>
      </c>
      <c r="N54" s="852"/>
      <c r="O54" s="883"/>
      <c r="P54" s="765" t="s">
        <v>795</v>
      </c>
    </row>
    <row r="55" spans="1:16" ht="15">
      <c r="A55" s="675"/>
      <c r="B55" s="834">
        <v>1920</v>
      </c>
      <c r="C55" s="762" t="s">
        <v>812</v>
      </c>
      <c r="D55" s="756">
        <v>10862311.6521</v>
      </c>
      <c r="E55" s="756">
        <v>1519993.34</v>
      </c>
      <c r="F55" s="817">
        <f t="shared" si="7"/>
        <v>9342318.3121</v>
      </c>
      <c r="G55" s="756">
        <v>1012134.7711852404</v>
      </c>
      <c r="H55" s="756"/>
      <c r="I55" s="756"/>
      <c r="J55" s="756">
        <f t="shared" si="5"/>
        <v>9848385.697692621</v>
      </c>
      <c r="K55" s="881">
        <v>5</v>
      </c>
      <c r="L55" s="861">
        <f t="shared" si="3"/>
        <v>0.2</v>
      </c>
      <c r="M55" s="852">
        <f t="shared" si="8"/>
        <v>1969677.1395385242</v>
      </c>
      <c r="N55" s="852"/>
      <c r="O55" s="883"/>
      <c r="P55" s="765" t="s">
        <v>721</v>
      </c>
    </row>
    <row r="56" spans="1:16" ht="15">
      <c r="A56" s="675"/>
      <c r="B56" s="834">
        <v>1920</v>
      </c>
      <c r="C56" s="762" t="s">
        <v>813</v>
      </c>
      <c r="D56" s="756">
        <v>1481055.4855000002</v>
      </c>
      <c r="E56" s="756">
        <v>162986.32</v>
      </c>
      <c r="F56" s="817">
        <f t="shared" si="7"/>
        <v>1318069.1655000001</v>
      </c>
      <c r="G56" s="756">
        <v>99228.89913580788</v>
      </c>
      <c r="H56" s="756"/>
      <c r="I56" s="756"/>
      <c r="J56" s="756">
        <f t="shared" si="5"/>
        <v>1367683.6150679041</v>
      </c>
      <c r="K56" s="881">
        <v>5</v>
      </c>
      <c r="L56" s="861">
        <f t="shared" si="3"/>
        <v>0.2</v>
      </c>
      <c r="M56" s="852">
        <f t="shared" si="8"/>
        <v>273536.72301358083</v>
      </c>
      <c r="N56" s="852"/>
      <c r="O56" s="883"/>
      <c r="P56" s="765" t="s">
        <v>721</v>
      </c>
    </row>
    <row r="57" spans="1:16" ht="15">
      <c r="A57" s="675"/>
      <c r="B57" s="834">
        <v>1920</v>
      </c>
      <c r="C57" s="762" t="s">
        <v>814</v>
      </c>
      <c r="D57" s="756">
        <v>4806180.2862</v>
      </c>
      <c r="E57" s="756">
        <v>633114.2</v>
      </c>
      <c r="F57" s="817">
        <f t="shared" si="7"/>
        <v>4173066.0862</v>
      </c>
      <c r="G57" s="756">
        <v>436607.15619755466</v>
      </c>
      <c r="H57" s="756"/>
      <c r="I57" s="756"/>
      <c r="J57" s="756">
        <f t="shared" si="5"/>
        <v>4391369.6642987775</v>
      </c>
      <c r="K57" s="881">
        <v>6</v>
      </c>
      <c r="L57" s="861">
        <f t="shared" si="3"/>
        <v>0.16666666666666666</v>
      </c>
      <c r="M57" s="852">
        <f t="shared" si="8"/>
        <v>731894.9440497962</v>
      </c>
      <c r="N57" s="852"/>
      <c r="O57" s="883"/>
      <c r="P57" s="765" t="s">
        <v>795</v>
      </c>
    </row>
    <row r="58" spans="1:16" ht="15.75">
      <c r="A58" s="675"/>
      <c r="B58" s="854"/>
      <c r="C58" s="885"/>
      <c r="D58" s="856"/>
      <c r="E58" s="856"/>
      <c r="F58" s="857"/>
      <c r="G58" s="856"/>
      <c r="H58" s="856"/>
      <c r="I58" s="856"/>
      <c r="J58" s="896" t="s">
        <v>829</v>
      </c>
      <c r="K58" s="886"/>
      <c r="L58" s="863"/>
      <c r="M58" s="817">
        <f>SUM(M53:M57)</f>
        <v>1945197.0001765965</v>
      </c>
      <c r="N58" s="852">
        <v>2114360</v>
      </c>
      <c r="O58" s="849">
        <f>+M58-N58</f>
        <v>-169162.99982340354</v>
      </c>
      <c r="P58" s="765"/>
    </row>
    <row r="59" spans="1:16" ht="15">
      <c r="A59" s="675"/>
      <c r="B59" s="834">
        <v>1925</v>
      </c>
      <c r="C59" s="776" t="s">
        <v>745</v>
      </c>
      <c r="D59" s="756">
        <v>26083551.130000003</v>
      </c>
      <c r="E59" s="756">
        <v>18098422.21</v>
      </c>
      <c r="F59" s="817">
        <f>D59-E59</f>
        <v>7985128.920000002</v>
      </c>
      <c r="G59" s="756">
        <v>20045473</v>
      </c>
      <c r="H59" s="756">
        <v>-15640000</v>
      </c>
      <c r="I59" s="756"/>
      <c r="J59" s="756">
        <f>F59+0.5*G59+0.5*H59+0.5*I59</f>
        <v>10187865.420000002</v>
      </c>
      <c r="K59" s="881">
        <v>4</v>
      </c>
      <c r="L59" s="861">
        <f t="shared" si="3"/>
        <v>0.25</v>
      </c>
      <c r="M59" s="852">
        <f t="shared" si="8"/>
        <v>2546966.3550000004</v>
      </c>
      <c r="N59" s="852">
        <v>2737000</v>
      </c>
      <c r="O59" s="759">
        <f>+M59-N59</f>
        <v>-190033.64499999955</v>
      </c>
      <c r="P59" s="765" t="s">
        <v>795</v>
      </c>
    </row>
    <row r="60" spans="1:16" ht="15">
      <c r="A60" s="675"/>
      <c r="B60" s="834">
        <v>1930</v>
      </c>
      <c r="C60" s="818" t="s">
        <v>815</v>
      </c>
      <c r="D60" s="756">
        <v>11195206.561162291</v>
      </c>
      <c r="E60" s="756">
        <v>6827970.33</v>
      </c>
      <c r="F60" s="817">
        <f>D60-E60</f>
        <v>4367236.231162291</v>
      </c>
      <c r="G60" s="756">
        <v>1738000.002354383</v>
      </c>
      <c r="H60" s="756"/>
      <c r="I60" s="756">
        <v>-131000</v>
      </c>
      <c r="J60" s="756">
        <f t="shared" si="5"/>
        <v>5170736.232339483</v>
      </c>
      <c r="K60" s="881">
        <v>7</v>
      </c>
      <c r="L60" s="861">
        <f t="shared" si="3"/>
        <v>0.14285714285714285</v>
      </c>
      <c r="M60" s="852">
        <f t="shared" si="8"/>
        <v>738676.6046199261</v>
      </c>
      <c r="N60" s="852">
        <v>1046856.057142857</v>
      </c>
      <c r="O60" s="883"/>
      <c r="P60" s="765" t="s">
        <v>795</v>
      </c>
    </row>
    <row r="61" spans="1:16" ht="15">
      <c r="A61" s="675"/>
      <c r="B61" s="834">
        <v>1930</v>
      </c>
      <c r="C61" s="775" t="s">
        <v>816</v>
      </c>
      <c r="D61" s="756">
        <v>14421534.221490117</v>
      </c>
      <c r="E61" s="756">
        <v>31653.38</v>
      </c>
      <c r="F61" s="817">
        <f>D61-E61</f>
        <v>14389880.841490116</v>
      </c>
      <c r="G61" s="756">
        <v>1155000.001564622</v>
      </c>
      <c r="H61" s="756"/>
      <c r="I61" s="756"/>
      <c r="J61" s="756">
        <f t="shared" si="5"/>
        <v>14967380.842272427</v>
      </c>
      <c r="K61" s="881">
        <v>12</v>
      </c>
      <c r="L61" s="861">
        <f t="shared" si="3"/>
        <v>0.08333333333333333</v>
      </c>
      <c r="M61" s="852">
        <f t="shared" si="8"/>
        <v>1247281.7368560357</v>
      </c>
      <c r="N61" s="852">
        <v>753125</v>
      </c>
      <c r="O61" s="883"/>
      <c r="P61" s="765" t="s">
        <v>795</v>
      </c>
    </row>
    <row r="62" spans="1:16" ht="15">
      <c r="A62" s="675"/>
      <c r="B62" s="834">
        <v>1930</v>
      </c>
      <c r="C62" s="775" t="s">
        <v>817</v>
      </c>
      <c r="D62" s="756">
        <v>180703</v>
      </c>
      <c r="E62" s="756">
        <v>0</v>
      </c>
      <c r="F62" s="817">
        <f>D62-E62</f>
        <v>180703</v>
      </c>
      <c r="G62" s="756"/>
      <c r="H62" s="756"/>
      <c r="I62" s="756"/>
      <c r="J62" s="756">
        <f t="shared" si="5"/>
        <v>180703</v>
      </c>
      <c r="K62" s="881">
        <v>22</v>
      </c>
      <c r="L62" s="861">
        <f t="shared" si="3"/>
        <v>0.045454545454545456</v>
      </c>
      <c r="M62" s="852">
        <f t="shared" si="8"/>
        <v>8213.772727272728</v>
      </c>
      <c r="N62" s="852">
        <v>6000</v>
      </c>
      <c r="O62" s="883"/>
      <c r="P62" s="765" t="s">
        <v>795</v>
      </c>
    </row>
    <row r="63" spans="1:16" ht="15.75">
      <c r="A63" s="675"/>
      <c r="B63" s="854"/>
      <c r="C63" s="885"/>
      <c r="D63" s="856"/>
      <c r="E63" s="856"/>
      <c r="F63" s="857"/>
      <c r="G63" s="856"/>
      <c r="H63" s="856"/>
      <c r="I63" s="856"/>
      <c r="J63" s="896" t="s">
        <v>830</v>
      </c>
      <c r="K63" s="886"/>
      <c r="L63" s="863"/>
      <c r="M63" s="817">
        <f>SUM(M60:M62)</f>
        <v>1994172.1142032344</v>
      </c>
      <c r="N63" s="817">
        <f>SUM(N60:N62)</f>
        <v>1805981.057142857</v>
      </c>
      <c r="O63" s="759">
        <f>+M63-N63</f>
        <v>188191.05706037744</v>
      </c>
      <c r="P63" s="765"/>
    </row>
    <row r="64" spans="1:16" ht="15">
      <c r="A64" s="675"/>
      <c r="B64" s="834">
        <v>1935</v>
      </c>
      <c r="C64" s="776" t="s">
        <v>747</v>
      </c>
      <c r="D64" s="756">
        <v>191917.30000894069</v>
      </c>
      <c r="E64" s="756">
        <v>190894.9</v>
      </c>
      <c r="F64" s="817">
        <f>D64-E64</f>
        <v>1022.4000089406909</v>
      </c>
      <c r="G64" s="756"/>
      <c r="H64" s="756"/>
      <c r="I64" s="756"/>
      <c r="J64" s="756">
        <f t="shared" si="5"/>
        <v>1022.4000089406909</v>
      </c>
      <c r="K64" s="881">
        <v>10</v>
      </c>
      <c r="L64" s="861">
        <f t="shared" si="3"/>
        <v>0.1</v>
      </c>
      <c r="M64" s="852">
        <f t="shared" si="8"/>
        <v>102.24000089406908</v>
      </c>
      <c r="N64" s="852">
        <v>642.2</v>
      </c>
      <c r="O64" s="849">
        <f>+M64-N64</f>
        <v>-539.9599991059309</v>
      </c>
      <c r="P64" s="765" t="s">
        <v>721</v>
      </c>
    </row>
    <row r="65" spans="1:16" ht="15">
      <c r="A65" s="675"/>
      <c r="B65" s="834">
        <v>1940</v>
      </c>
      <c r="C65" s="776" t="s">
        <v>748</v>
      </c>
      <c r="D65" s="756">
        <v>7651038.131038601</v>
      </c>
      <c r="E65" s="756">
        <v>3646804.67</v>
      </c>
      <c r="F65" s="817">
        <f>D65-E65</f>
        <v>4004233.4610386007</v>
      </c>
      <c r="G65" s="756">
        <v>537577.040733055</v>
      </c>
      <c r="H65" s="756"/>
      <c r="I65" s="756"/>
      <c r="J65" s="756">
        <f t="shared" si="5"/>
        <v>4273021.981405128</v>
      </c>
      <c r="K65" s="881">
        <v>10</v>
      </c>
      <c r="L65" s="861">
        <f t="shared" si="3"/>
        <v>0.1</v>
      </c>
      <c r="M65" s="852">
        <f t="shared" si="8"/>
        <v>427302.1981405128</v>
      </c>
      <c r="N65" s="852">
        <v>472464.1</v>
      </c>
      <c r="O65" s="849">
        <f>+M65-N65</f>
        <v>-45161.901859487174</v>
      </c>
      <c r="P65" s="765" t="s">
        <v>721</v>
      </c>
    </row>
    <row r="66" spans="1:16" ht="15">
      <c r="A66" s="675"/>
      <c r="B66" s="834">
        <v>1955</v>
      </c>
      <c r="C66" s="776" t="s">
        <v>749</v>
      </c>
      <c r="D66" s="756">
        <v>2644434.280454485</v>
      </c>
      <c r="E66" s="756">
        <v>336156.92</v>
      </c>
      <c r="F66" s="817">
        <f>D66-E66</f>
        <v>2308277.3604544853</v>
      </c>
      <c r="G66" s="756">
        <v>64900.00008791685</v>
      </c>
      <c r="H66" s="756"/>
      <c r="I66" s="756"/>
      <c r="J66" s="756">
        <f t="shared" si="5"/>
        <v>2340727.3604984437</v>
      </c>
      <c r="K66" s="881">
        <v>6</v>
      </c>
      <c r="L66" s="861">
        <f t="shared" si="3"/>
        <v>0.16666666666666666</v>
      </c>
      <c r="M66" s="852">
        <f t="shared" si="8"/>
        <v>390121.2267497406</v>
      </c>
      <c r="N66" s="852">
        <v>412416.6666666667</v>
      </c>
      <c r="O66" s="849"/>
      <c r="P66" s="765" t="s">
        <v>795</v>
      </c>
    </row>
    <row r="67" spans="1:16" ht="15">
      <c r="A67" s="675"/>
      <c r="B67" s="834">
        <v>1955</v>
      </c>
      <c r="C67" s="762" t="s">
        <v>751</v>
      </c>
      <c r="D67" s="756">
        <v>97921.87</v>
      </c>
      <c r="E67" s="817">
        <v>68952.11</v>
      </c>
      <c r="F67" s="817">
        <f>D67-E67</f>
        <v>28969.759999999995</v>
      </c>
      <c r="G67" s="756"/>
      <c r="H67" s="756"/>
      <c r="I67" s="756"/>
      <c r="J67" s="756">
        <f t="shared" si="5"/>
        <v>28969.759999999995</v>
      </c>
      <c r="K67" s="881">
        <v>3</v>
      </c>
      <c r="L67" s="861">
        <f t="shared" si="3"/>
        <v>0.3333333333333333</v>
      </c>
      <c r="M67" s="852">
        <f>IF(K67=0,"",J67/K67)</f>
        <v>9656.586666666664</v>
      </c>
      <c r="N67" s="852">
        <v>8000</v>
      </c>
      <c r="O67" s="849"/>
      <c r="P67" s="765" t="s">
        <v>721</v>
      </c>
    </row>
    <row r="68" spans="1:16" ht="15.75">
      <c r="A68" s="675"/>
      <c r="B68" s="854"/>
      <c r="C68" s="885"/>
      <c r="D68" s="856"/>
      <c r="E68" s="856"/>
      <c r="F68" s="857"/>
      <c r="G68" s="856"/>
      <c r="H68" s="856"/>
      <c r="I68" s="856"/>
      <c r="J68" s="896" t="s">
        <v>831</v>
      </c>
      <c r="K68" s="886"/>
      <c r="L68" s="863"/>
      <c r="M68" s="817">
        <f>SUM(M66:M67)</f>
        <v>399777.81341640727</v>
      </c>
      <c r="N68" s="817">
        <f>SUM(N66:N67)</f>
        <v>420416.6666666667</v>
      </c>
      <c r="O68" s="849">
        <f>+M68-N68</f>
        <v>-20638.853250259417</v>
      </c>
      <c r="P68" s="765"/>
    </row>
    <row r="69" spans="1:16" ht="15">
      <c r="A69" s="675"/>
      <c r="B69" s="834">
        <v>1960</v>
      </c>
      <c r="C69" s="776" t="s">
        <v>752</v>
      </c>
      <c r="D69" s="756">
        <v>0</v>
      </c>
      <c r="E69" s="756"/>
      <c r="F69" s="817">
        <f>D69-E69</f>
        <v>0</v>
      </c>
      <c r="G69" s="756"/>
      <c r="H69" s="756"/>
      <c r="I69" s="756"/>
      <c r="J69" s="756">
        <f t="shared" si="5"/>
        <v>0</v>
      </c>
      <c r="K69" s="881">
        <v>0</v>
      </c>
      <c r="L69" s="861">
        <f t="shared" si="3"/>
      </c>
      <c r="M69" s="852">
        <f>IF(K69=0,"",J69/K69)</f>
      </c>
      <c r="N69" s="852"/>
      <c r="O69" s="883"/>
      <c r="P69" s="765"/>
    </row>
    <row r="70" spans="1:16" ht="15">
      <c r="A70" s="675"/>
      <c r="B70" s="774">
        <v>1961</v>
      </c>
      <c r="C70" s="762" t="s">
        <v>753</v>
      </c>
      <c r="D70" s="756">
        <v>0</v>
      </c>
      <c r="E70" s="756"/>
      <c r="F70" s="817">
        <f>D70-E70</f>
        <v>0</v>
      </c>
      <c r="G70" s="756"/>
      <c r="H70" s="756"/>
      <c r="I70" s="756"/>
      <c r="J70" s="756">
        <f t="shared" si="5"/>
        <v>0</v>
      </c>
      <c r="K70" s="881">
        <v>0</v>
      </c>
      <c r="L70" s="861">
        <f t="shared" si="3"/>
      </c>
      <c r="M70" s="852">
        <v>0</v>
      </c>
      <c r="N70" s="852"/>
      <c r="O70" s="883"/>
      <c r="P70" s="765"/>
    </row>
    <row r="71" spans="1:16" ht="15">
      <c r="A71" s="675"/>
      <c r="B71" s="834">
        <v>1980</v>
      </c>
      <c r="C71" s="776" t="s">
        <v>755</v>
      </c>
      <c r="D71" s="756">
        <v>4173739.348404332</v>
      </c>
      <c r="E71" s="756">
        <v>7306416.79</v>
      </c>
      <c r="F71" s="817">
        <f>D71-E71</f>
        <v>-3132677.441595668</v>
      </c>
      <c r="G71" s="756">
        <v>124762.52830732061</v>
      </c>
      <c r="H71" s="756"/>
      <c r="I71" s="756"/>
      <c r="J71" s="756">
        <f t="shared" si="5"/>
        <v>-3070296.1774420077</v>
      </c>
      <c r="K71" s="881">
        <v>15</v>
      </c>
      <c r="L71" s="861">
        <f t="shared" si="3"/>
        <v>0.06666666666666667</v>
      </c>
      <c r="M71" s="852">
        <f>IF(K71=0,"",J71/K71)</f>
        <v>-204686.4118294672</v>
      </c>
      <c r="N71" s="852"/>
      <c r="O71" s="883"/>
      <c r="P71" s="765" t="s">
        <v>721</v>
      </c>
    </row>
    <row r="72" spans="1:16" ht="15">
      <c r="A72" s="675"/>
      <c r="B72" s="774">
        <v>1980</v>
      </c>
      <c r="C72" s="762" t="s">
        <v>818</v>
      </c>
      <c r="D72" s="756">
        <v>14500181.338675838</v>
      </c>
      <c r="E72" s="756"/>
      <c r="F72" s="817">
        <f>D72-E72</f>
        <v>14500181.338675838</v>
      </c>
      <c r="G72" s="756">
        <v>455383.22832172015</v>
      </c>
      <c r="H72" s="756"/>
      <c r="I72" s="756"/>
      <c r="J72" s="756">
        <f t="shared" si="5"/>
        <v>14727872.952836698</v>
      </c>
      <c r="K72" s="881">
        <v>15</v>
      </c>
      <c r="L72" s="861">
        <f t="shared" si="3"/>
        <v>0.06666666666666667</v>
      </c>
      <c r="M72" s="852">
        <f>IF(K72=0,"",J72/K72)</f>
        <v>981858.1968557799</v>
      </c>
      <c r="N72" s="852"/>
      <c r="O72" s="883"/>
      <c r="P72" s="765" t="s">
        <v>721</v>
      </c>
    </row>
    <row r="73" spans="1:16" ht="15">
      <c r="A73" s="675"/>
      <c r="B73" s="774">
        <v>1980</v>
      </c>
      <c r="C73" s="762" t="s">
        <v>819</v>
      </c>
      <c r="D73" s="756">
        <v>1384364.3449415185</v>
      </c>
      <c r="E73" s="756"/>
      <c r="F73" s="817">
        <f>D73-E73</f>
        <v>1384364.3449415185</v>
      </c>
      <c r="G73" s="756">
        <v>43666.88490756221</v>
      </c>
      <c r="H73" s="756"/>
      <c r="I73" s="756"/>
      <c r="J73" s="756">
        <f t="shared" si="5"/>
        <v>1406197.7873952996</v>
      </c>
      <c r="K73" s="881">
        <v>10</v>
      </c>
      <c r="L73" s="861">
        <f t="shared" si="3"/>
        <v>0.1</v>
      </c>
      <c r="M73" s="852">
        <f>IF(K73=0,"",J73/K73)</f>
        <v>140619.77873952995</v>
      </c>
      <c r="N73" s="852"/>
      <c r="O73" s="883"/>
      <c r="P73" s="765" t="s">
        <v>795</v>
      </c>
    </row>
    <row r="74" spans="1:16" ht="15.75">
      <c r="A74" s="675"/>
      <c r="B74" s="854"/>
      <c r="C74" s="885"/>
      <c r="D74" s="856"/>
      <c r="E74" s="856"/>
      <c r="F74" s="857"/>
      <c r="G74" s="856"/>
      <c r="H74" s="856"/>
      <c r="I74" s="856"/>
      <c r="J74" s="896" t="s">
        <v>837</v>
      </c>
      <c r="K74" s="886"/>
      <c r="L74" s="863"/>
      <c r="M74" s="817">
        <f>SUM(M71:M73)</f>
        <v>917791.5637658427</v>
      </c>
      <c r="N74" s="852">
        <v>975417.0666666667</v>
      </c>
      <c r="O74" s="849">
        <f>+M74-N74</f>
        <v>-57625.50290082395</v>
      </c>
      <c r="P74" s="765"/>
    </row>
    <row r="75" spans="1:16" ht="15">
      <c r="A75" s="675"/>
      <c r="B75" s="834">
        <v>1985</v>
      </c>
      <c r="C75" s="818" t="s">
        <v>756</v>
      </c>
      <c r="D75" s="756">
        <v>0</v>
      </c>
      <c r="E75" s="756"/>
      <c r="F75" s="817">
        <f aca="true" t="shared" si="9" ref="F75:F80">D75-E75</f>
        <v>0</v>
      </c>
      <c r="G75" s="756"/>
      <c r="H75" s="756"/>
      <c r="I75" s="756"/>
      <c r="J75" s="756">
        <f t="shared" si="5"/>
        <v>0</v>
      </c>
      <c r="K75" s="881">
        <v>0</v>
      </c>
      <c r="L75" s="861">
        <f t="shared" si="3"/>
      </c>
      <c r="M75" s="852">
        <v>0</v>
      </c>
      <c r="N75" s="852"/>
      <c r="O75" s="883"/>
      <c r="P75" s="765"/>
    </row>
    <row r="76" spans="1:16" ht="15">
      <c r="A76" s="675"/>
      <c r="B76" s="834">
        <v>1995</v>
      </c>
      <c r="C76" s="776" t="s">
        <v>757</v>
      </c>
      <c r="D76" s="756">
        <v>-320039811.369825</v>
      </c>
      <c r="E76" s="756"/>
      <c r="F76" s="817">
        <f t="shared" si="9"/>
        <v>-320039811.369825</v>
      </c>
      <c r="G76" s="756">
        <v>-17099684</v>
      </c>
      <c r="H76" s="756">
        <v>-634494</v>
      </c>
      <c r="I76" s="756">
        <v>525000</v>
      </c>
      <c r="J76" s="756">
        <f t="shared" si="5"/>
        <v>-328644400.369825</v>
      </c>
      <c r="K76" s="881">
        <v>38</v>
      </c>
      <c r="L76" s="861">
        <f t="shared" si="3"/>
        <v>0.02631578947368421</v>
      </c>
      <c r="M76" s="852">
        <f>IF(K76=0,"",J76/K76)</f>
        <v>-8648536.8518375</v>
      </c>
      <c r="N76" s="852">
        <v>-8762688.970977444</v>
      </c>
      <c r="O76" s="759">
        <f>+M76-N76</f>
        <v>114152.11913994327</v>
      </c>
      <c r="P76" s="765" t="s">
        <v>795</v>
      </c>
    </row>
    <row r="77" spans="1:16" ht="15">
      <c r="A77" s="675"/>
      <c r="B77" s="834">
        <v>2005</v>
      </c>
      <c r="C77" s="802" t="s">
        <v>784</v>
      </c>
      <c r="D77" s="756">
        <v>18280294.05</v>
      </c>
      <c r="E77" s="756"/>
      <c r="F77" s="817">
        <f t="shared" si="9"/>
        <v>18280294.05</v>
      </c>
      <c r="G77" s="756"/>
      <c r="H77" s="756"/>
      <c r="I77" s="756"/>
      <c r="J77" s="756">
        <f t="shared" si="5"/>
        <v>18280294.05</v>
      </c>
      <c r="K77" s="881">
        <v>25</v>
      </c>
      <c r="L77" s="861">
        <f>IF(K77=0,"",1/K77)</f>
        <v>0.04</v>
      </c>
      <c r="M77" s="852">
        <f>IF(K77=0,"",J77/K77)</f>
        <v>731211.762</v>
      </c>
      <c r="N77" s="852">
        <v>731000</v>
      </c>
      <c r="O77" s="849">
        <f>+M77-N77</f>
        <v>211.7619999999879</v>
      </c>
      <c r="P77" s="765" t="s">
        <v>721</v>
      </c>
    </row>
    <row r="78" spans="1:16" ht="15">
      <c r="A78" s="675"/>
      <c r="B78" s="774">
        <v>1611</v>
      </c>
      <c r="C78" s="775" t="s">
        <v>785</v>
      </c>
      <c r="D78" s="756">
        <v>608442</v>
      </c>
      <c r="E78" s="756"/>
      <c r="F78" s="817">
        <f t="shared" si="9"/>
        <v>608442</v>
      </c>
      <c r="G78" s="756"/>
      <c r="H78" s="756"/>
      <c r="I78" s="756"/>
      <c r="J78" s="756">
        <f t="shared" si="5"/>
        <v>608442</v>
      </c>
      <c r="K78" s="881">
        <v>25</v>
      </c>
      <c r="L78" s="861">
        <f>IF(K78=0,"",1/K78)</f>
        <v>0.04</v>
      </c>
      <c r="M78" s="852">
        <f>IF(K78=0,"",J78/K78)</f>
        <v>24337.68</v>
      </c>
      <c r="N78" s="852">
        <v>32000</v>
      </c>
      <c r="O78" s="849">
        <f>+M78-N78</f>
        <v>-7662.32</v>
      </c>
      <c r="P78" s="765" t="s">
        <v>721</v>
      </c>
    </row>
    <row r="79" spans="1:16" ht="15">
      <c r="A79" s="675"/>
      <c r="B79" s="834"/>
      <c r="C79" s="776"/>
      <c r="D79" s="756"/>
      <c r="E79" s="756"/>
      <c r="F79" s="817">
        <f t="shared" si="9"/>
        <v>0</v>
      </c>
      <c r="G79" s="756"/>
      <c r="H79" s="756"/>
      <c r="I79" s="756"/>
      <c r="J79" s="756">
        <f>F79+G79+0.5*H79+0.5*I79</f>
        <v>0</v>
      </c>
      <c r="K79" s="881"/>
      <c r="L79" s="861">
        <f>IF(K79=0,"",1/K79)</f>
      </c>
      <c r="M79" s="848">
        <f>IF(K79=0,"",J79/K79)</f>
      </c>
      <c r="N79" s="848"/>
      <c r="O79" s="849"/>
      <c r="P79" s="765"/>
    </row>
    <row r="80" spans="1:16" ht="15.75" thickBot="1">
      <c r="A80" s="675"/>
      <c r="B80" s="780"/>
      <c r="C80" s="781"/>
      <c r="D80" s="783"/>
      <c r="E80" s="783"/>
      <c r="F80" s="872">
        <f t="shared" si="9"/>
        <v>0</v>
      </c>
      <c r="G80" s="783">
        <v>0</v>
      </c>
      <c r="H80" s="783"/>
      <c r="I80" s="783"/>
      <c r="J80" s="784">
        <f>F80+0.5*G80</f>
        <v>0</v>
      </c>
      <c r="K80" s="888"/>
      <c r="L80" s="889">
        <f>IF(K80=0,"",1/K80)</f>
      </c>
      <c r="M80" s="890">
        <f>IF(K80=0,"",J80/K80)</f>
      </c>
      <c r="N80" s="890"/>
      <c r="O80" s="891"/>
      <c r="P80" s="788"/>
    </row>
    <row r="81" spans="1:16" ht="16.5" thickBot="1" thickTop="1">
      <c r="A81" s="675"/>
      <c r="B81" s="789"/>
      <c r="C81" s="790" t="s">
        <v>112</v>
      </c>
      <c r="D81" s="792">
        <f aca="true" t="shared" si="10" ref="D81:J81">SUM(D16:D80)</f>
        <v>1381301798.8396575</v>
      </c>
      <c r="E81" s="792">
        <f t="shared" si="10"/>
        <v>237867819.72999993</v>
      </c>
      <c r="F81" s="792">
        <f t="shared" si="10"/>
        <v>1143433979.109657</v>
      </c>
      <c r="G81" s="792">
        <f t="shared" si="10"/>
        <v>114278775.65789394</v>
      </c>
      <c r="H81" s="792">
        <f t="shared" si="10"/>
        <v>-29578497</v>
      </c>
      <c r="I81" s="792">
        <f t="shared" si="10"/>
        <v>-2292000</v>
      </c>
      <c r="J81" s="792">
        <f t="shared" si="10"/>
        <v>1184638118.4386036</v>
      </c>
      <c r="K81" s="892"/>
      <c r="L81" s="893"/>
      <c r="M81" s="894">
        <f>+M18+M29+M34+M36+M37+M38+M39+M40+M41+M42+M43+M44+M45+M46+M51+M52+M58+M59+M63+M64+M65+M68+M74+M76+M77+M78</f>
        <v>40354912.639085785</v>
      </c>
      <c r="N81" s="894">
        <f>+N18+N29+N34+N36+N37+N38+N39+N40+N41+N42+N43+N44+N45+N46+N51+N52+N58+N59+N63+N64+N65+N68+N74+N76+N77+N78</f>
        <v>37321082.30838764</v>
      </c>
      <c r="O81" s="895">
        <f>+O18+O29+O34+O36+O37+O38+O39+O40+O41+O42+O43+O44+O45+O46+O51+O52+O58+O59+O63+O64+O65+O68+O74+O76+O77+O78</f>
        <v>3033830.3306981404</v>
      </c>
      <c r="P81" s="796"/>
    </row>
    <row r="82" spans="1:16" ht="15">
      <c r="A82" s="675"/>
      <c r="B82" s="675"/>
      <c r="C82" s="675"/>
      <c r="D82" s="675"/>
      <c r="E82" s="675"/>
      <c r="F82" s="675"/>
      <c r="G82" s="675"/>
      <c r="H82" s="675"/>
      <c r="I82" s="675"/>
      <c r="J82" s="675"/>
      <c r="K82" s="675"/>
      <c r="L82" s="675"/>
      <c r="M82" s="675"/>
      <c r="N82" s="675"/>
      <c r="O82" s="840"/>
      <c r="P82" s="675"/>
    </row>
    <row r="83" spans="1:16" ht="15">
      <c r="A83" s="675"/>
      <c r="B83" s="698" t="s">
        <v>265</v>
      </c>
      <c r="C83" s="699"/>
      <c r="D83" s="699"/>
      <c r="E83" s="705"/>
      <c r="F83" s="797"/>
      <c r="G83" s="699"/>
      <c r="H83" s="699"/>
      <c r="I83" s="699"/>
      <c r="J83" s="699"/>
      <c r="K83" s="699"/>
      <c r="L83" s="699"/>
      <c r="M83" s="699"/>
      <c r="N83" s="699"/>
      <c r="O83" s="699"/>
      <c r="P83" s="675"/>
    </row>
    <row r="84" spans="1:16" ht="15">
      <c r="A84" s="675"/>
      <c r="B84" s="699"/>
      <c r="C84" s="699"/>
      <c r="D84" s="699"/>
      <c r="E84" s="699"/>
      <c r="F84" s="699"/>
      <c r="G84" s="699"/>
      <c r="H84" s="699"/>
      <c r="I84" s="699"/>
      <c r="J84" s="699"/>
      <c r="K84" s="699"/>
      <c r="L84" s="699"/>
      <c r="M84" s="699"/>
      <c r="N84" s="699"/>
      <c r="O84" s="699"/>
      <c r="P84" s="675"/>
    </row>
    <row r="85" spans="1:16" ht="15">
      <c r="A85" s="675"/>
      <c r="B85" s="968" t="s">
        <v>758</v>
      </c>
      <c r="C85" s="970"/>
      <c r="D85" s="970"/>
      <c r="E85" s="970"/>
      <c r="F85" s="970"/>
      <c r="G85" s="970"/>
      <c r="H85" s="970"/>
      <c r="I85" s="970"/>
      <c r="J85" s="970"/>
      <c r="K85" s="970"/>
      <c r="L85" s="970"/>
      <c r="M85" s="675"/>
      <c r="N85" s="675"/>
      <c r="O85" s="675"/>
      <c r="P85" s="675"/>
    </row>
    <row r="86" spans="1:16" ht="15">
      <c r="A86" s="675"/>
      <c r="B86" s="968" t="s">
        <v>833</v>
      </c>
      <c r="C86" s="970"/>
      <c r="D86" s="970"/>
      <c r="E86" s="970"/>
      <c r="F86" s="970"/>
      <c r="G86" s="970"/>
      <c r="H86" s="970"/>
      <c r="I86" s="970"/>
      <c r="J86" s="970"/>
      <c r="K86" s="970"/>
      <c r="L86" s="970"/>
      <c r="M86" s="675"/>
      <c r="N86" s="675"/>
      <c r="O86" s="675"/>
      <c r="P86" s="675"/>
    </row>
    <row r="87" spans="1:16" ht="15">
      <c r="A87" s="675"/>
      <c r="B87" s="979" t="s">
        <v>775</v>
      </c>
      <c r="C87" s="982"/>
      <c r="D87" s="982"/>
      <c r="E87" s="982"/>
      <c r="F87" s="982"/>
      <c r="G87" s="982"/>
      <c r="H87" s="982"/>
      <c r="I87" s="982"/>
      <c r="J87" s="982"/>
      <c r="K87" s="982"/>
      <c r="L87" s="982"/>
      <c r="M87" s="675"/>
      <c r="N87" s="675"/>
      <c r="O87" s="675"/>
      <c r="P87" s="675"/>
    </row>
    <row r="88" spans="1:16" ht="15">
      <c r="A88" s="675"/>
      <c r="B88" s="982"/>
      <c r="C88" s="982"/>
      <c r="D88" s="982"/>
      <c r="E88" s="982"/>
      <c r="F88" s="982"/>
      <c r="G88" s="982"/>
      <c r="H88" s="982"/>
      <c r="I88" s="982"/>
      <c r="J88" s="982"/>
      <c r="K88" s="982"/>
      <c r="L88" s="982"/>
      <c r="M88" s="675"/>
      <c r="N88" s="675"/>
      <c r="O88" s="675"/>
      <c r="P88" s="675"/>
    </row>
    <row r="89" spans="1:16" ht="15">
      <c r="A89" s="675"/>
      <c r="B89" s="968" t="s">
        <v>838</v>
      </c>
      <c r="C89" s="969"/>
      <c r="D89" s="969"/>
      <c r="E89" s="969"/>
      <c r="F89" s="969"/>
      <c r="G89" s="969"/>
      <c r="H89" s="969"/>
      <c r="I89" s="969"/>
      <c r="J89" s="969"/>
      <c r="K89" s="969"/>
      <c r="L89" s="969"/>
      <c r="M89" s="699"/>
      <c r="N89" s="699"/>
      <c r="O89" s="699"/>
      <c r="P89" s="675"/>
    </row>
    <row r="90" spans="1:16" ht="15">
      <c r="A90" s="675"/>
      <c r="B90" s="968" t="s">
        <v>839</v>
      </c>
      <c r="C90" s="970"/>
      <c r="D90" s="970"/>
      <c r="E90" s="970"/>
      <c r="F90" s="970"/>
      <c r="G90" s="970"/>
      <c r="H90" s="970"/>
      <c r="I90" s="970"/>
      <c r="J90" s="970"/>
      <c r="K90" s="970"/>
      <c r="L90" s="970"/>
      <c r="M90" s="970"/>
      <c r="N90" s="970"/>
      <c r="O90" s="970"/>
      <c r="P90" s="675"/>
    </row>
  </sheetData>
  <mergeCells count="10">
    <mergeCell ref="B89:L89"/>
    <mergeCell ref="B90:O90"/>
    <mergeCell ref="P14:P15"/>
    <mergeCell ref="B85:L85"/>
    <mergeCell ref="B86:L86"/>
    <mergeCell ref="B87:L88"/>
    <mergeCell ref="B9:M9"/>
    <mergeCell ref="B10:M10"/>
    <mergeCell ref="B14:B15"/>
    <mergeCell ref="C14:C15"/>
  </mergeCells>
  <dataValidations count="2">
    <dataValidation allowBlank="1" showInputMessage="1" showErrorMessage="1" promptTitle="Date Format" prompt="E.g:  &quot;August 1, 2011&quot;" sqref="M7:O7"/>
    <dataValidation type="list" allowBlank="1" showInputMessage="1" showErrorMessage="1" sqref="P16:P80">
      <formula1>"Yes, No"</formula1>
    </dataValidation>
  </dataValidations>
  <printOptions/>
  <pageMargins left="0.75" right="0.75" top="0.35" bottom="0.16" header="0.37" footer="0.16"/>
  <pageSetup fitToHeight="1" fitToWidth="1" horizontalDpi="600" verticalDpi="600" orientation="landscape" scale="42" r:id="rId3"/>
  <legacyDrawing r:id="rId2"/>
</worksheet>
</file>

<file path=xl/worksheets/sheet19.xml><?xml version="1.0" encoding="utf-8"?>
<worksheet xmlns="http://schemas.openxmlformats.org/spreadsheetml/2006/main" xmlns:r="http://schemas.openxmlformats.org/officeDocument/2006/relationships">
  <dimension ref="A1:Q128"/>
  <sheetViews>
    <sheetView showGridLines="0" view="pageBreakPreview" zoomScale="60" zoomScalePageLayoutView="0" workbookViewId="0" topLeftCell="A59">
      <selection activeCell="V19" sqref="V19"/>
    </sheetView>
  </sheetViews>
  <sheetFormatPr defaultColWidth="9.140625" defaultRowHeight="15"/>
  <cols>
    <col min="1" max="1" width="2.8515625" style="1" customWidth="1"/>
    <col min="2" max="2" width="6.421875" style="1" customWidth="1"/>
    <col min="3" max="3" width="3.8515625" style="1" customWidth="1"/>
    <col min="4" max="4" width="16.7109375" style="1" customWidth="1"/>
    <col min="5" max="5" width="3.00390625" style="1" customWidth="1"/>
    <col min="6" max="6" width="11.140625" style="1" customWidth="1"/>
    <col min="7" max="7" width="1.421875" style="1" customWidth="1"/>
    <col min="8" max="8" width="8.7109375" style="1" customWidth="1"/>
    <col min="9" max="9" width="1.421875" style="1" customWidth="1"/>
    <col min="10" max="10" width="12.57421875" style="1" customWidth="1"/>
    <col min="11" max="11" width="3.28125" style="1" customWidth="1"/>
    <col min="12" max="12" width="12.8515625" style="1" customWidth="1"/>
    <col min="13" max="13" width="1.421875" style="1" customWidth="1"/>
    <col min="14" max="14" width="3.57421875" style="1" customWidth="1"/>
    <col min="15" max="15" width="1.7109375" style="1" customWidth="1"/>
    <col min="16" max="16" width="14.00390625" style="1" customWidth="1"/>
    <col min="17" max="17" width="2.140625" style="1" customWidth="1"/>
    <col min="18" max="16384" width="9.140625" style="1" customWidth="1"/>
  </cols>
  <sheetData>
    <row r="1" spans="1:16" ht="12.75">
      <c r="A1" s="55"/>
      <c r="L1" s="1" t="s">
        <v>10</v>
      </c>
      <c r="P1" s="1" t="s">
        <v>11</v>
      </c>
    </row>
    <row r="2" spans="12:16" ht="12.75">
      <c r="L2" s="1" t="s">
        <v>12</v>
      </c>
      <c r="P2" s="1" t="s">
        <v>11</v>
      </c>
    </row>
    <row r="3" spans="12:16" ht="12.75">
      <c r="L3" s="1" t="s">
        <v>14</v>
      </c>
      <c r="P3" s="1">
        <v>1</v>
      </c>
    </row>
    <row r="4" spans="12:16" ht="12.75">
      <c r="L4" s="1" t="s">
        <v>16</v>
      </c>
      <c r="P4" s="1">
        <v>1</v>
      </c>
    </row>
    <row r="5" ht="12.75">
      <c r="L5" s="1" t="s">
        <v>18</v>
      </c>
    </row>
    <row r="7" spans="12:16" ht="12.75">
      <c r="L7" s="1" t="s">
        <v>19</v>
      </c>
      <c r="P7" s="394">
        <v>41033</v>
      </c>
    </row>
    <row r="10" spans="2:16" ht="15.75">
      <c r="B10" s="395"/>
      <c r="C10" s="395"/>
      <c r="D10" s="991" t="s">
        <v>402</v>
      </c>
      <c r="E10" s="991"/>
      <c r="F10" s="991"/>
      <c r="G10" s="991"/>
      <c r="H10" s="991"/>
      <c r="I10" s="991"/>
      <c r="J10" s="991"/>
      <c r="K10" s="991"/>
      <c r="L10" s="991"/>
      <c r="M10" s="991"/>
      <c r="N10" s="991"/>
      <c r="O10" s="991"/>
      <c r="P10" s="991"/>
    </row>
    <row r="11" spans="2:16" ht="12.75">
      <c r="B11" s="988" t="s">
        <v>403</v>
      </c>
      <c r="C11" s="396"/>
      <c r="D11" s="396"/>
      <c r="E11" s="396"/>
      <c r="F11" s="396"/>
      <c r="G11" s="396"/>
      <c r="H11" s="396"/>
      <c r="I11" s="396"/>
      <c r="J11" s="396"/>
      <c r="K11" s="396"/>
      <c r="L11" s="396"/>
      <c r="M11" s="396"/>
      <c r="N11" s="396"/>
      <c r="O11" s="396"/>
      <c r="P11" s="396"/>
    </row>
    <row r="12" spans="2:16" ht="12.75">
      <c r="B12" s="989"/>
      <c r="C12" s="396"/>
      <c r="D12" s="397" t="s">
        <v>404</v>
      </c>
      <c r="E12" s="396"/>
      <c r="F12" s="990" t="s">
        <v>405</v>
      </c>
      <c r="G12" s="990"/>
      <c r="H12" s="990"/>
      <c r="I12" s="990"/>
      <c r="J12" s="990"/>
      <c r="K12" s="398"/>
      <c r="L12" s="397" t="s">
        <v>406</v>
      </c>
      <c r="M12" s="399"/>
      <c r="N12" s="396"/>
      <c r="O12" s="396"/>
      <c r="P12" s="397" t="s">
        <v>407</v>
      </c>
    </row>
    <row r="13" spans="2:16" ht="12.75">
      <c r="B13" s="400"/>
      <c r="C13" s="396"/>
      <c r="D13" s="396"/>
      <c r="E13" s="396"/>
      <c r="F13" s="396"/>
      <c r="G13" s="396"/>
      <c r="H13" s="396"/>
      <c r="I13" s="396"/>
      <c r="J13" s="401"/>
      <c r="K13" s="401"/>
      <c r="L13" s="396"/>
      <c r="M13" s="396"/>
      <c r="N13" s="396"/>
      <c r="O13" s="396"/>
      <c r="P13" s="396"/>
    </row>
    <row r="14" spans="2:17" ht="12.75">
      <c r="B14" s="402"/>
      <c r="C14" s="403"/>
      <c r="D14" s="403"/>
      <c r="E14" s="403"/>
      <c r="F14" s="403"/>
      <c r="G14" s="403"/>
      <c r="H14" s="403"/>
      <c r="I14" s="403"/>
      <c r="J14" s="404"/>
      <c r="K14" s="404"/>
      <c r="L14" s="403"/>
      <c r="M14" s="403"/>
      <c r="N14" s="403"/>
      <c r="O14" s="403"/>
      <c r="P14" s="403"/>
      <c r="Q14" s="405"/>
    </row>
    <row r="15" spans="2:17" ht="12.75">
      <c r="B15" s="406"/>
      <c r="C15" s="407"/>
      <c r="D15" s="985" t="s">
        <v>408</v>
      </c>
      <c r="E15" s="986"/>
      <c r="F15" s="986"/>
      <c r="G15" s="986"/>
      <c r="H15" s="986"/>
      <c r="I15" s="986"/>
      <c r="J15" s="986"/>
      <c r="K15" s="986"/>
      <c r="L15" s="986"/>
      <c r="M15" s="986"/>
      <c r="N15" s="986"/>
      <c r="O15" s="986"/>
      <c r="P15" s="987"/>
      <c r="Q15" s="173"/>
    </row>
    <row r="16" spans="2:17" ht="12.75">
      <c r="B16" s="406"/>
      <c r="C16" s="396"/>
      <c r="D16" s="396"/>
      <c r="E16" s="396"/>
      <c r="F16" s="408" t="s">
        <v>409</v>
      </c>
      <c r="G16" s="409"/>
      <c r="H16" s="409"/>
      <c r="I16" s="409"/>
      <c r="J16" s="408" t="s">
        <v>410</v>
      </c>
      <c r="K16" s="396"/>
      <c r="L16" s="408" t="s">
        <v>409</v>
      </c>
      <c r="M16" s="409"/>
      <c r="N16" s="396"/>
      <c r="O16" s="396"/>
      <c r="P16" s="401" t="s">
        <v>410</v>
      </c>
      <c r="Q16" s="173"/>
    </row>
    <row r="17" spans="2:17" ht="12.75">
      <c r="B17" s="406"/>
      <c r="C17" s="396"/>
      <c r="D17" s="410" t="s">
        <v>411</v>
      </c>
      <c r="E17" s="396"/>
      <c r="F17" s="396"/>
      <c r="G17" s="396"/>
      <c r="H17" s="396"/>
      <c r="I17" s="396"/>
      <c r="J17" s="396"/>
      <c r="K17" s="396"/>
      <c r="L17" s="396"/>
      <c r="M17" s="396"/>
      <c r="N17" s="396"/>
      <c r="O17" s="396"/>
      <c r="P17" s="396"/>
      <c r="Q17" s="173"/>
    </row>
    <row r="18" spans="2:17" ht="12.75">
      <c r="B18" s="406">
        <v>1</v>
      </c>
      <c r="C18" s="396"/>
      <c r="D18" s="411" t="s">
        <v>412</v>
      </c>
      <c r="E18" s="396"/>
      <c r="F18" s="412">
        <v>0.56</v>
      </c>
      <c r="G18" s="413"/>
      <c r="H18" s="414"/>
      <c r="I18" s="415"/>
      <c r="J18" s="416">
        <f>$J$27*F18</f>
        <v>325249.39272</v>
      </c>
      <c r="K18" s="396"/>
      <c r="L18" s="417">
        <v>0.05892590289149484</v>
      </c>
      <c r="M18" s="413"/>
      <c r="N18" s="414"/>
      <c r="O18" s="415"/>
      <c r="P18" s="416">
        <f>L18*J18</f>
        <v>19165.61413093639</v>
      </c>
      <c r="Q18" s="173"/>
    </row>
    <row r="19" spans="2:17" ht="12.75">
      <c r="B19" s="406">
        <v>2</v>
      </c>
      <c r="C19" s="396"/>
      <c r="D19" s="411" t="s">
        <v>413</v>
      </c>
      <c r="E19" s="396"/>
      <c r="F19" s="418">
        <v>0.039999999999999925</v>
      </c>
      <c r="G19" s="413"/>
      <c r="H19" s="419" t="s">
        <v>340</v>
      </c>
      <c r="I19" s="419"/>
      <c r="J19" s="420">
        <f>$J$27*F19</f>
        <v>23232.099479999953</v>
      </c>
      <c r="K19" s="396"/>
      <c r="L19" s="421">
        <v>0.0133</v>
      </c>
      <c r="M19" s="413"/>
      <c r="N19" s="414"/>
      <c r="O19" s="415"/>
      <c r="P19" s="420">
        <f>L19*J19</f>
        <v>308.9869230839994</v>
      </c>
      <c r="Q19" s="173"/>
    </row>
    <row r="20" spans="2:17" ht="13.5" thickBot="1">
      <c r="B20" s="406">
        <v>3</v>
      </c>
      <c r="C20" s="396"/>
      <c r="D20" s="422" t="s">
        <v>414</v>
      </c>
      <c r="E20" s="396"/>
      <c r="F20" s="423">
        <f>SUM(F18:F19)</f>
        <v>0.6</v>
      </c>
      <c r="G20" s="424"/>
      <c r="H20" s="423"/>
      <c r="I20" s="424"/>
      <c r="J20" s="425">
        <f>SUM(J18:J19)</f>
        <v>348481.4922</v>
      </c>
      <c r="K20" s="396"/>
      <c r="L20" s="426">
        <f>IF(F20=0,0,SUMPRODUCT(F18:F19,L18:L19)/F20)</f>
        <v>0.05588417603206185</v>
      </c>
      <c r="M20" s="413"/>
      <c r="N20" s="259"/>
      <c r="O20" s="259"/>
      <c r="P20" s="425">
        <f>SUM(P18:P19)</f>
        <v>19474.601054020386</v>
      </c>
      <c r="Q20" s="173"/>
    </row>
    <row r="21" spans="2:17" ht="13.5" thickTop="1">
      <c r="B21" s="406"/>
      <c r="C21" s="396"/>
      <c r="D21" s="396"/>
      <c r="E21" s="396"/>
      <c r="F21" s="427"/>
      <c r="G21" s="428"/>
      <c r="H21" s="427"/>
      <c r="I21" s="428"/>
      <c r="J21" s="429"/>
      <c r="K21" s="396"/>
      <c r="L21" s="430"/>
      <c r="M21" s="413"/>
      <c r="N21" s="259"/>
      <c r="O21" s="259"/>
      <c r="P21" s="429"/>
      <c r="Q21" s="173"/>
    </row>
    <row r="22" spans="2:17" ht="12.75">
      <c r="B22" s="406"/>
      <c r="C22" s="396"/>
      <c r="D22" s="410" t="s">
        <v>415</v>
      </c>
      <c r="E22" s="396"/>
      <c r="F22" s="427"/>
      <c r="G22" s="428"/>
      <c r="H22" s="427"/>
      <c r="I22" s="428"/>
      <c r="J22" s="429"/>
      <c r="K22" s="396"/>
      <c r="L22" s="430"/>
      <c r="M22" s="413"/>
      <c r="N22" s="259"/>
      <c r="O22" s="259"/>
      <c r="P22" s="429"/>
      <c r="Q22" s="173"/>
    </row>
    <row r="23" spans="2:17" ht="12.75">
      <c r="B23" s="431">
        <v>4</v>
      </c>
      <c r="C23" s="432"/>
      <c r="D23" s="433" t="s">
        <v>416</v>
      </c>
      <c r="E23" s="432"/>
      <c r="F23" s="434">
        <f>100%-F20</f>
        <v>0.4</v>
      </c>
      <c r="G23" s="435"/>
      <c r="H23" s="414"/>
      <c r="I23" s="415"/>
      <c r="J23" s="436">
        <f>$J$27*F23</f>
        <v>232320.9948</v>
      </c>
      <c r="K23" s="432"/>
      <c r="L23" s="437">
        <v>0.0801</v>
      </c>
      <c r="M23" s="435"/>
      <c r="N23" s="414"/>
      <c r="O23" s="415"/>
      <c r="P23" s="436">
        <f>L23*J23</f>
        <v>18608.91168348</v>
      </c>
      <c r="Q23" s="173"/>
    </row>
    <row r="24" spans="2:17" ht="12.75">
      <c r="B24" s="431">
        <v>5</v>
      </c>
      <c r="C24" s="432"/>
      <c r="D24" s="433" t="s">
        <v>417</v>
      </c>
      <c r="E24" s="432"/>
      <c r="F24" s="438">
        <v>0</v>
      </c>
      <c r="G24" s="435"/>
      <c r="H24" s="414"/>
      <c r="I24" s="415"/>
      <c r="J24" s="439">
        <f>$J$27*F24</f>
        <v>0</v>
      </c>
      <c r="K24" s="432"/>
      <c r="L24" s="440"/>
      <c r="M24" s="435"/>
      <c r="N24" s="414"/>
      <c r="O24" s="415"/>
      <c r="P24" s="439">
        <f>L24*J24</f>
        <v>0</v>
      </c>
      <c r="Q24" s="173"/>
    </row>
    <row r="25" spans="2:17" ht="13.5" thickBot="1">
      <c r="B25" s="406">
        <v>6</v>
      </c>
      <c r="C25" s="396"/>
      <c r="D25" s="422" t="s">
        <v>418</v>
      </c>
      <c r="E25" s="396"/>
      <c r="F25" s="423">
        <f>SUM(F23:F24)</f>
        <v>0.4</v>
      </c>
      <c r="G25" s="423"/>
      <c r="H25" s="423"/>
      <c r="I25" s="424"/>
      <c r="J25" s="425">
        <f>SUM(J23:J24)</f>
        <v>232320.9948</v>
      </c>
      <c r="K25" s="396"/>
      <c r="L25" s="426">
        <f>IF(F25=0,0,SUMPRODUCT(F23:F24,L23:L24)/F25)</f>
        <v>0.0801</v>
      </c>
      <c r="M25" s="413"/>
      <c r="N25" s="259"/>
      <c r="O25" s="259"/>
      <c r="P25" s="425">
        <f>SUM(P23:P24)</f>
        <v>18608.91168348</v>
      </c>
      <c r="Q25" s="173"/>
    </row>
    <row r="26" spans="2:17" ht="13.5" thickTop="1">
      <c r="B26" s="406"/>
      <c r="C26" s="396"/>
      <c r="D26" s="396"/>
      <c r="E26" s="396"/>
      <c r="F26" s="396"/>
      <c r="G26" s="396"/>
      <c r="H26" s="396"/>
      <c r="I26" s="396"/>
      <c r="J26" s="429"/>
      <c r="K26" s="396"/>
      <c r="L26" s="430"/>
      <c r="M26" s="430"/>
      <c r="N26" s="259"/>
      <c r="O26" s="259"/>
      <c r="P26" s="429"/>
      <c r="Q26" s="173"/>
    </row>
    <row r="27" spans="2:17" ht="13.5" thickBot="1">
      <c r="B27" s="406">
        <v>7</v>
      </c>
      <c r="C27" s="396"/>
      <c r="D27" s="410" t="s">
        <v>112</v>
      </c>
      <c r="E27" s="396"/>
      <c r="F27" s="441">
        <f>F20+F25</f>
        <v>1</v>
      </c>
      <c r="G27" s="441"/>
      <c r="H27" s="442"/>
      <c r="I27" s="442"/>
      <c r="J27" s="443">
        <v>580802.487</v>
      </c>
      <c r="K27" s="396"/>
      <c r="L27" s="444">
        <f>(L20*F20)+(L25*F25)</f>
        <v>0.06557050561923711</v>
      </c>
      <c r="M27" s="430"/>
      <c r="N27" s="396"/>
      <c r="O27" s="396"/>
      <c r="P27" s="445">
        <f>P20+P25</f>
        <v>38083.51273750039</v>
      </c>
      <c r="Q27" s="173"/>
    </row>
    <row r="28" spans="2:17" ht="13.5" thickTop="1">
      <c r="B28" s="446"/>
      <c r="C28" s="447"/>
      <c r="D28" s="447"/>
      <c r="E28" s="447"/>
      <c r="F28" s="447"/>
      <c r="G28" s="447"/>
      <c r="H28" s="447"/>
      <c r="I28" s="447"/>
      <c r="J28" s="447"/>
      <c r="K28" s="447"/>
      <c r="L28" s="447"/>
      <c r="M28" s="447"/>
      <c r="N28" s="447"/>
      <c r="O28" s="447"/>
      <c r="P28" s="447"/>
      <c r="Q28" s="168"/>
    </row>
    <row r="29" spans="2:17" ht="12.75">
      <c r="B29" s="448"/>
      <c r="C29" s="396"/>
      <c r="D29" s="396"/>
      <c r="E29" s="396"/>
      <c r="F29" s="396"/>
      <c r="G29" s="396"/>
      <c r="H29" s="396"/>
      <c r="I29" s="396"/>
      <c r="J29" s="396"/>
      <c r="K29" s="396"/>
      <c r="L29" s="396"/>
      <c r="M29" s="396"/>
      <c r="N29" s="396"/>
      <c r="O29" s="396"/>
      <c r="P29" s="396"/>
      <c r="Q29" s="449"/>
    </row>
    <row r="30" spans="2:16" ht="15.75">
      <c r="B30" s="395"/>
      <c r="C30" s="395"/>
      <c r="D30" s="991"/>
      <c r="E30" s="991"/>
      <c r="F30" s="991"/>
      <c r="G30" s="991"/>
      <c r="H30" s="991"/>
      <c r="I30" s="991"/>
      <c r="J30" s="991"/>
      <c r="K30" s="991"/>
      <c r="L30" s="991"/>
      <c r="M30" s="991"/>
      <c r="N30" s="991"/>
      <c r="O30" s="991"/>
      <c r="P30" s="991"/>
    </row>
    <row r="31" spans="2:16" ht="12.75">
      <c r="B31" s="988" t="s">
        <v>403</v>
      </c>
      <c r="C31" s="396"/>
      <c r="D31" s="396"/>
      <c r="E31" s="396"/>
      <c r="F31" s="396"/>
      <c r="G31" s="396"/>
      <c r="H31" s="396"/>
      <c r="I31" s="396"/>
      <c r="J31" s="396"/>
      <c r="K31" s="396"/>
      <c r="L31" s="396"/>
      <c r="M31" s="396"/>
      <c r="N31" s="396"/>
      <c r="O31" s="396"/>
      <c r="P31" s="396"/>
    </row>
    <row r="32" spans="2:16" ht="12.75">
      <c r="B32" s="989"/>
      <c r="C32" s="396"/>
      <c r="D32" s="397" t="s">
        <v>404</v>
      </c>
      <c r="E32" s="396"/>
      <c r="F32" s="990" t="s">
        <v>405</v>
      </c>
      <c r="G32" s="990"/>
      <c r="H32" s="990"/>
      <c r="I32" s="990"/>
      <c r="J32" s="990"/>
      <c r="K32" s="398"/>
      <c r="L32" s="397" t="s">
        <v>406</v>
      </c>
      <c r="M32" s="399"/>
      <c r="N32" s="396"/>
      <c r="O32" s="396"/>
      <c r="P32" s="397" t="s">
        <v>407</v>
      </c>
    </row>
    <row r="33" spans="2:16" ht="12.75">
      <c r="B33" s="400"/>
      <c r="C33" s="396"/>
      <c r="D33" s="396"/>
      <c r="E33" s="396"/>
      <c r="F33" s="396"/>
      <c r="G33" s="396"/>
      <c r="H33" s="396"/>
      <c r="I33" s="396"/>
      <c r="J33" s="401"/>
      <c r="K33" s="401"/>
      <c r="L33" s="396"/>
      <c r="M33" s="396"/>
      <c r="N33" s="396"/>
      <c r="O33" s="396"/>
      <c r="P33" s="396"/>
    </row>
    <row r="34" spans="2:17" ht="12.75">
      <c r="B34" s="402"/>
      <c r="C34" s="403"/>
      <c r="D34" s="403"/>
      <c r="E34" s="403"/>
      <c r="F34" s="403"/>
      <c r="G34" s="403"/>
      <c r="H34" s="403"/>
      <c r="I34" s="403"/>
      <c r="J34" s="404"/>
      <c r="K34" s="404"/>
      <c r="L34" s="403"/>
      <c r="M34" s="403"/>
      <c r="N34" s="403"/>
      <c r="O34" s="403"/>
      <c r="P34" s="403"/>
      <c r="Q34" s="405"/>
    </row>
    <row r="35" spans="2:17" ht="12.75">
      <c r="B35" s="406"/>
      <c r="C35" s="407"/>
      <c r="D35" s="985" t="s">
        <v>419</v>
      </c>
      <c r="E35" s="986"/>
      <c r="F35" s="986"/>
      <c r="G35" s="986"/>
      <c r="H35" s="986"/>
      <c r="I35" s="986"/>
      <c r="J35" s="986"/>
      <c r="K35" s="986"/>
      <c r="L35" s="986"/>
      <c r="M35" s="986"/>
      <c r="N35" s="986"/>
      <c r="O35" s="986"/>
      <c r="P35" s="987"/>
      <c r="Q35" s="173"/>
    </row>
    <row r="36" spans="2:17" ht="12.75">
      <c r="B36" s="406"/>
      <c r="C36" s="396"/>
      <c r="D36" s="396"/>
      <c r="E36" s="396"/>
      <c r="F36" s="408" t="s">
        <v>409</v>
      </c>
      <c r="G36" s="409"/>
      <c r="H36" s="409"/>
      <c r="I36" s="409"/>
      <c r="J36" s="408" t="s">
        <v>410</v>
      </c>
      <c r="K36" s="396"/>
      <c r="L36" s="408" t="s">
        <v>409</v>
      </c>
      <c r="M36" s="409"/>
      <c r="N36" s="396"/>
      <c r="O36" s="396"/>
      <c r="P36" s="401" t="s">
        <v>410</v>
      </c>
      <c r="Q36" s="173"/>
    </row>
    <row r="37" spans="2:17" ht="12.75">
      <c r="B37" s="406"/>
      <c r="C37" s="396"/>
      <c r="D37" s="410" t="s">
        <v>411</v>
      </c>
      <c r="E37" s="396"/>
      <c r="F37" s="396"/>
      <c r="G37" s="396"/>
      <c r="H37" s="396"/>
      <c r="I37" s="396"/>
      <c r="J37" s="396"/>
      <c r="K37" s="396"/>
      <c r="L37" s="396"/>
      <c r="M37" s="396"/>
      <c r="N37" s="396"/>
      <c r="O37" s="396"/>
      <c r="P37" s="396"/>
      <c r="Q37" s="173"/>
    </row>
    <row r="38" spans="2:17" ht="12.75">
      <c r="B38" s="406">
        <v>1</v>
      </c>
      <c r="C38" s="396"/>
      <c r="D38" s="411" t="s">
        <v>412</v>
      </c>
      <c r="E38" s="396"/>
      <c r="F38" s="412">
        <v>0.536941186688286</v>
      </c>
      <c r="G38" s="413"/>
      <c r="H38" s="414"/>
      <c r="I38" s="415"/>
      <c r="J38" s="416">
        <f>$J47*F38</f>
        <v>357429.86021707556</v>
      </c>
      <c r="K38" s="396"/>
      <c r="L38" s="417">
        <v>0.060616329556110654</v>
      </c>
      <c r="M38" s="413"/>
      <c r="N38" s="414"/>
      <c r="O38" s="415"/>
      <c r="P38" s="416">
        <f>L38*J38</f>
        <v>21666.086200112815</v>
      </c>
      <c r="Q38" s="173"/>
    </row>
    <row r="39" spans="2:17" ht="12.75">
      <c r="B39" s="406">
        <v>2</v>
      </c>
      <c r="C39" s="396"/>
      <c r="D39" s="411" t="s">
        <v>413</v>
      </c>
      <c r="E39" s="396"/>
      <c r="F39" s="412">
        <v>0.06008912477118605</v>
      </c>
      <c r="G39" s="413"/>
      <c r="H39" s="419" t="s">
        <v>340</v>
      </c>
      <c r="I39" s="419"/>
      <c r="J39" s="420">
        <f>$J47*F39</f>
        <v>40000</v>
      </c>
      <c r="K39" s="396"/>
      <c r="L39" s="417">
        <v>0.0133</v>
      </c>
      <c r="M39" s="413"/>
      <c r="N39" s="414"/>
      <c r="O39" s="415"/>
      <c r="P39" s="420">
        <f>L39*J39</f>
        <v>532</v>
      </c>
      <c r="Q39" s="173"/>
    </row>
    <row r="40" spans="2:17" ht="13.5" thickBot="1">
      <c r="B40" s="406">
        <v>3</v>
      </c>
      <c r="C40" s="396"/>
      <c r="D40" s="422" t="s">
        <v>414</v>
      </c>
      <c r="E40" s="396"/>
      <c r="F40" s="423">
        <f>SUM(F38:F39)</f>
        <v>0.5970303114594722</v>
      </c>
      <c r="G40" s="424"/>
      <c r="H40" s="423"/>
      <c r="I40" s="424"/>
      <c r="J40" s="425">
        <f>SUM(J38:J39)</f>
        <v>397429.86021707556</v>
      </c>
      <c r="K40" s="396"/>
      <c r="L40" s="426">
        <f>IF(F40=0,0,SUMPRODUCT(F38:F39,L38:L39)/F40)</f>
        <v>0.055854097595958836</v>
      </c>
      <c r="M40" s="413"/>
      <c r="N40" s="259"/>
      <c r="O40" s="259"/>
      <c r="P40" s="425">
        <f>SUM(P38:P39)</f>
        <v>22198.086200112815</v>
      </c>
      <c r="Q40" s="173"/>
    </row>
    <row r="41" spans="2:17" ht="13.5" thickTop="1">
      <c r="B41" s="406"/>
      <c r="C41" s="396"/>
      <c r="D41" s="396"/>
      <c r="E41" s="396"/>
      <c r="F41" s="427"/>
      <c r="G41" s="428"/>
      <c r="H41" s="427"/>
      <c r="I41" s="428"/>
      <c r="J41" s="429"/>
      <c r="K41" s="396"/>
      <c r="L41" s="430"/>
      <c r="M41" s="413"/>
      <c r="N41" s="259"/>
      <c r="O41" s="259"/>
      <c r="P41" s="429"/>
      <c r="Q41" s="173"/>
    </row>
    <row r="42" spans="2:17" ht="12.75">
      <c r="B42" s="406"/>
      <c r="C42" s="396"/>
      <c r="D42" s="410" t="s">
        <v>415</v>
      </c>
      <c r="E42" s="396"/>
      <c r="F42" s="427"/>
      <c r="G42" s="428"/>
      <c r="H42" s="427"/>
      <c r="I42" s="428"/>
      <c r="J42" s="429"/>
      <c r="K42" s="396"/>
      <c r="L42" s="430"/>
      <c r="M42" s="413"/>
      <c r="N42" s="259"/>
      <c r="O42" s="259"/>
      <c r="P42" s="429"/>
      <c r="Q42" s="173"/>
    </row>
    <row r="43" spans="2:17" ht="12.75">
      <c r="B43" s="431">
        <v>4</v>
      </c>
      <c r="C43" s="432"/>
      <c r="D43" s="433" t="s">
        <v>416</v>
      </c>
      <c r="E43" s="432"/>
      <c r="F43" s="434">
        <v>0.4029696885405279</v>
      </c>
      <c r="G43" s="435"/>
      <c r="H43" s="414"/>
      <c r="I43" s="415"/>
      <c r="J43" s="436">
        <f>$J47*F43</f>
        <v>268248</v>
      </c>
      <c r="K43" s="432"/>
      <c r="L43" s="437">
        <v>0.0801</v>
      </c>
      <c r="M43" s="435"/>
      <c r="N43" s="414"/>
      <c r="O43" s="415"/>
      <c r="P43" s="436">
        <f>L43*J43</f>
        <v>21486.664800000002</v>
      </c>
      <c r="Q43" s="173"/>
    </row>
    <row r="44" spans="2:17" ht="12.75">
      <c r="B44" s="431">
        <v>5</v>
      </c>
      <c r="C44" s="432"/>
      <c r="D44" s="433" t="s">
        <v>417</v>
      </c>
      <c r="E44" s="432"/>
      <c r="F44" s="434">
        <v>0</v>
      </c>
      <c r="G44" s="435"/>
      <c r="H44" s="414"/>
      <c r="I44" s="415"/>
      <c r="J44" s="439">
        <f>$J$27*F44</f>
        <v>0</v>
      </c>
      <c r="K44" s="432"/>
      <c r="L44" s="440"/>
      <c r="M44" s="435"/>
      <c r="N44" s="414"/>
      <c r="O44" s="415"/>
      <c r="P44" s="439">
        <f>L44*J44</f>
        <v>0</v>
      </c>
      <c r="Q44" s="173"/>
    </row>
    <row r="45" spans="2:17" ht="13.5" thickBot="1">
      <c r="B45" s="406">
        <v>6</v>
      </c>
      <c r="C45" s="396"/>
      <c r="D45" s="422" t="s">
        <v>418</v>
      </c>
      <c r="E45" s="396"/>
      <c r="F45" s="423">
        <f>SUM(F43:F44)</f>
        <v>0.4029696885405279</v>
      </c>
      <c r="G45" s="423"/>
      <c r="H45" s="423"/>
      <c r="I45" s="424"/>
      <c r="J45" s="425">
        <f>SUM(J43:J44)</f>
        <v>268248</v>
      </c>
      <c r="K45" s="396"/>
      <c r="L45" s="426">
        <f>IF(F45=0,0,SUMPRODUCT(F43:F44,L43:L44)/F45)</f>
        <v>0.0801</v>
      </c>
      <c r="M45" s="413"/>
      <c r="N45" s="259"/>
      <c r="O45" s="259"/>
      <c r="P45" s="425">
        <f>SUM(P43:P44)</f>
        <v>21486.664800000002</v>
      </c>
      <c r="Q45" s="173"/>
    </row>
    <row r="46" spans="2:17" ht="13.5" thickTop="1">
      <c r="B46" s="406"/>
      <c r="C46" s="396"/>
      <c r="D46" s="396"/>
      <c r="E46" s="396"/>
      <c r="F46" s="396"/>
      <c r="G46" s="396"/>
      <c r="H46" s="396"/>
      <c r="I46" s="396"/>
      <c r="J46" s="429"/>
      <c r="K46" s="396"/>
      <c r="L46" s="430"/>
      <c r="M46" s="430"/>
      <c r="N46" s="259"/>
      <c r="O46" s="259"/>
      <c r="P46" s="429"/>
      <c r="Q46" s="173"/>
    </row>
    <row r="47" spans="2:17" ht="13.5" thickBot="1">
      <c r="B47" s="406">
        <v>7</v>
      </c>
      <c r="C47" s="396"/>
      <c r="D47" s="410" t="s">
        <v>112</v>
      </c>
      <c r="E47" s="396"/>
      <c r="F47" s="441">
        <f>F40+F45</f>
        <v>1</v>
      </c>
      <c r="G47" s="441"/>
      <c r="H47" s="442"/>
      <c r="I47" s="442"/>
      <c r="J47" s="443">
        <v>665677.8602170756</v>
      </c>
      <c r="K47" s="396"/>
      <c r="L47" s="444">
        <f>(L40*F40)+(L45*F45)</f>
        <v>0.06562446133609934</v>
      </c>
      <c r="M47" s="430"/>
      <c r="N47" s="396"/>
      <c r="O47" s="396"/>
      <c r="P47" s="445">
        <f>P40+P45</f>
        <v>43684.75100011282</v>
      </c>
      <c r="Q47" s="173"/>
    </row>
    <row r="48" spans="2:17" ht="15.75" thickTop="1">
      <c r="B48" s="446"/>
      <c r="C48" s="447"/>
      <c r="D48" s="447"/>
      <c r="E48" s="447"/>
      <c r="F48" s="447"/>
      <c r="G48" s="447"/>
      <c r="H48" s="447"/>
      <c r="I48" s="447"/>
      <c r="J48" s="450">
        <f>J40+J45-J47</f>
        <v>0</v>
      </c>
      <c r="K48" s="447"/>
      <c r="L48" s="447"/>
      <c r="M48" s="447"/>
      <c r="N48" s="447"/>
      <c r="O48" s="447"/>
      <c r="P48" s="447"/>
      <c r="Q48" s="168"/>
    </row>
    <row r="50" spans="2:16" ht="15.75">
      <c r="B50" s="395"/>
      <c r="C50" s="395"/>
      <c r="D50" s="991"/>
      <c r="E50" s="991"/>
      <c r="F50" s="991"/>
      <c r="G50" s="991"/>
      <c r="H50" s="991"/>
      <c r="I50" s="991"/>
      <c r="J50" s="991"/>
      <c r="K50" s="991"/>
      <c r="L50" s="991"/>
      <c r="M50" s="991"/>
      <c r="N50" s="991"/>
      <c r="O50" s="991"/>
      <c r="P50" s="991"/>
    </row>
    <row r="51" spans="2:16" ht="12.75">
      <c r="B51" s="988" t="s">
        <v>403</v>
      </c>
      <c r="C51" s="396"/>
      <c r="D51" s="396"/>
      <c r="E51" s="396"/>
      <c r="F51" s="396"/>
      <c r="G51" s="396"/>
      <c r="H51" s="396"/>
      <c r="I51" s="396"/>
      <c r="J51" s="396"/>
      <c r="K51" s="396"/>
      <c r="L51" s="396"/>
      <c r="M51" s="396"/>
      <c r="N51" s="396"/>
      <c r="O51" s="396"/>
      <c r="P51" s="396"/>
    </row>
    <row r="52" spans="2:16" ht="12.75">
      <c r="B52" s="989"/>
      <c r="C52" s="396"/>
      <c r="D52" s="397" t="s">
        <v>404</v>
      </c>
      <c r="E52" s="396"/>
      <c r="F52" s="990" t="s">
        <v>405</v>
      </c>
      <c r="G52" s="990"/>
      <c r="H52" s="990"/>
      <c r="I52" s="990"/>
      <c r="J52" s="990"/>
      <c r="K52" s="398"/>
      <c r="L52" s="397" t="s">
        <v>406</v>
      </c>
      <c r="M52" s="399"/>
      <c r="N52" s="396"/>
      <c r="O52" s="396"/>
      <c r="P52" s="397" t="s">
        <v>407</v>
      </c>
    </row>
    <row r="53" spans="2:16" ht="12.75">
      <c r="B53" s="400"/>
      <c r="C53" s="396"/>
      <c r="D53" s="396"/>
      <c r="E53" s="396"/>
      <c r="F53" s="396"/>
      <c r="G53" s="396"/>
      <c r="H53" s="396"/>
      <c r="I53" s="396"/>
      <c r="J53" s="401"/>
      <c r="K53" s="401"/>
      <c r="L53" s="396"/>
      <c r="M53" s="396"/>
      <c r="N53" s="396"/>
      <c r="O53" s="396"/>
      <c r="P53" s="396"/>
    </row>
    <row r="54" spans="2:17" ht="12.75">
      <c r="B54" s="402"/>
      <c r="C54" s="403"/>
      <c r="D54" s="403"/>
      <c r="E54" s="403"/>
      <c r="F54" s="403"/>
      <c r="G54" s="403"/>
      <c r="H54" s="403"/>
      <c r="I54" s="403"/>
      <c r="J54" s="404"/>
      <c r="K54" s="404"/>
      <c r="L54" s="403"/>
      <c r="M54" s="403"/>
      <c r="N54" s="403"/>
      <c r="O54" s="403"/>
      <c r="P54" s="403"/>
      <c r="Q54" s="405"/>
    </row>
    <row r="55" spans="2:17" ht="12.75">
      <c r="B55" s="406"/>
      <c r="C55" s="407"/>
      <c r="D55" s="985" t="s">
        <v>420</v>
      </c>
      <c r="E55" s="986"/>
      <c r="F55" s="986"/>
      <c r="G55" s="986"/>
      <c r="H55" s="986"/>
      <c r="I55" s="986"/>
      <c r="J55" s="986"/>
      <c r="K55" s="986"/>
      <c r="L55" s="986"/>
      <c r="M55" s="986"/>
      <c r="N55" s="986"/>
      <c r="O55" s="986"/>
      <c r="P55" s="987"/>
      <c r="Q55" s="173"/>
    </row>
    <row r="56" spans="2:17" ht="12.75">
      <c r="B56" s="406"/>
      <c r="C56" s="396"/>
      <c r="D56" s="396"/>
      <c r="E56" s="396"/>
      <c r="F56" s="408" t="s">
        <v>409</v>
      </c>
      <c r="G56" s="409"/>
      <c r="H56" s="409"/>
      <c r="I56" s="409"/>
      <c r="J56" s="408" t="s">
        <v>410</v>
      </c>
      <c r="K56" s="396"/>
      <c r="L56" s="408" t="s">
        <v>409</v>
      </c>
      <c r="M56" s="409"/>
      <c r="N56" s="396"/>
      <c r="O56" s="396"/>
      <c r="P56" s="401" t="s">
        <v>410</v>
      </c>
      <c r="Q56" s="173"/>
    </row>
    <row r="57" spans="2:17" ht="12.75">
      <c r="B57" s="406"/>
      <c r="C57" s="396"/>
      <c r="D57" s="410" t="s">
        <v>411</v>
      </c>
      <c r="E57" s="396"/>
      <c r="F57" s="396"/>
      <c r="G57" s="396"/>
      <c r="H57" s="396"/>
      <c r="I57" s="396"/>
      <c r="J57" s="396"/>
      <c r="K57" s="396"/>
      <c r="L57" s="396"/>
      <c r="M57" s="396"/>
      <c r="N57" s="396"/>
      <c r="O57" s="396"/>
      <c r="P57" s="396"/>
      <c r="Q57" s="173"/>
    </row>
    <row r="58" spans="2:17" ht="12.75">
      <c r="B58" s="406">
        <v>1</v>
      </c>
      <c r="C58" s="396"/>
      <c r="D58" s="411" t="s">
        <v>412</v>
      </c>
      <c r="E58" s="396"/>
      <c r="F58" s="412">
        <v>0.5234315332797342</v>
      </c>
      <c r="G58" s="413"/>
      <c r="H58" s="414"/>
      <c r="I58" s="415"/>
      <c r="J58" s="416">
        <f>$J67*F58</f>
        <v>357429.86021707556</v>
      </c>
      <c r="K58" s="396"/>
      <c r="L58" s="417">
        <v>0.0601015432428232</v>
      </c>
      <c r="M58" s="413"/>
      <c r="N58" s="414"/>
      <c r="O58" s="415"/>
      <c r="P58" s="416">
        <f>L58*J58</f>
        <v>21482.08620011282</v>
      </c>
      <c r="Q58" s="173"/>
    </row>
    <row r="59" spans="2:17" ht="12.75">
      <c r="B59" s="406">
        <v>2</v>
      </c>
      <c r="C59" s="396"/>
      <c r="D59" s="411" t="s">
        <v>413</v>
      </c>
      <c r="E59" s="396"/>
      <c r="F59" s="412">
        <v>0.05857725853814697</v>
      </c>
      <c r="G59" s="413"/>
      <c r="H59" s="419" t="s">
        <v>340</v>
      </c>
      <c r="I59" s="419"/>
      <c r="J59" s="420">
        <f>$J67*F59</f>
        <v>40000</v>
      </c>
      <c r="K59" s="396"/>
      <c r="L59" s="417">
        <v>0.0207</v>
      </c>
      <c r="M59" s="413"/>
      <c r="N59" s="414"/>
      <c r="O59" s="415"/>
      <c r="P59" s="420">
        <f>L59*J59</f>
        <v>828</v>
      </c>
      <c r="Q59" s="173"/>
    </row>
    <row r="60" spans="2:17" ht="13.5" thickBot="1">
      <c r="B60" s="406">
        <v>3</v>
      </c>
      <c r="C60" s="396"/>
      <c r="D60" s="422" t="s">
        <v>414</v>
      </c>
      <c r="E60" s="396"/>
      <c r="F60" s="423">
        <f>SUM(F58:F59)</f>
        <v>0.5820087918178812</v>
      </c>
      <c r="G60" s="424"/>
      <c r="H60" s="423"/>
      <c r="I60" s="424"/>
      <c r="J60" s="425">
        <f>SUM(J58:J59)</f>
        <v>397429.86021707556</v>
      </c>
      <c r="K60" s="396"/>
      <c r="L60" s="426">
        <f>IF(F60=0,0,SUMPRODUCT(F58:F59,L58:L59)/F60)</f>
        <v>0.05613590832839557</v>
      </c>
      <c r="M60" s="413"/>
      <c r="N60" s="259"/>
      <c r="O60" s="259"/>
      <c r="P60" s="425">
        <f>SUM(P58:P59)</f>
        <v>22310.08620011282</v>
      </c>
      <c r="Q60" s="173"/>
    </row>
    <row r="61" spans="2:17" ht="13.5" thickTop="1">
      <c r="B61" s="406"/>
      <c r="C61" s="396"/>
      <c r="D61" s="396"/>
      <c r="E61" s="396"/>
      <c r="F61" s="427"/>
      <c r="G61" s="428"/>
      <c r="H61" s="427"/>
      <c r="I61" s="428"/>
      <c r="J61" s="429"/>
      <c r="K61" s="396"/>
      <c r="L61" s="430"/>
      <c r="M61" s="413"/>
      <c r="N61" s="259"/>
      <c r="O61" s="259"/>
      <c r="P61" s="429"/>
      <c r="Q61" s="173"/>
    </row>
    <row r="62" spans="2:17" ht="12.75">
      <c r="B62" s="406"/>
      <c r="C62" s="396"/>
      <c r="D62" s="410" t="s">
        <v>415</v>
      </c>
      <c r="E62" s="396"/>
      <c r="F62" s="427"/>
      <c r="G62" s="428"/>
      <c r="H62" s="427"/>
      <c r="I62" s="428"/>
      <c r="J62" s="429"/>
      <c r="K62" s="396"/>
      <c r="L62" s="430"/>
      <c r="M62" s="413"/>
      <c r="N62" s="259"/>
      <c r="O62" s="259"/>
      <c r="P62" s="429"/>
      <c r="Q62" s="173"/>
    </row>
    <row r="63" spans="2:17" ht="12.75">
      <c r="B63" s="431">
        <v>4</v>
      </c>
      <c r="C63" s="432"/>
      <c r="D63" s="433" t="s">
        <v>416</v>
      </c>
      <c r="E63" s="432"/>
      <c r="F63" s="434">
        <v>0.4179912081821188</v>
      </c>
      <c r="G63" s="435"/>
      <c r="H63" s="414"/>
      <c r="I63" s="415"/>
      <c r="J63" s="436">
        <f>$J67*F63</f>
        <v>285429</v>
      </c>
      <c r="K63" s="432"/>
      <c r="L63" s="437">
        <v>0.0985</v>
      </c>
      <c r="M63" s="435"/>
      <c r="N63" s="414"/>
      <c r="O63" s="415"/>
      <c r="P63" s="436">
        <f>L63*J63</f>
        <v>28114.7565</v>
      </c>
      <c r="Q63" s="173"/>
    </row>
    <row r="64" spans="2:17" ht="12.75">
      <c r="B64" s="431">
        <v>5</v>
      </c>
      <c r="C64" s="432"/>
      <c r="D64" s="433" t="s">
        <v>417</v>
      </c>
      <c r="E64" s="432"/>
      <c r="F64" s="434">
        <v>0</v>
      </c>
      <c r="G64" s="435"/>
      <c r="H64" s="414"/>
      <c r="I64" s="415"/>
      <c r="J64" s="439">
        <f>$J$27*F64</f>
        <v>0</v>
      </c>
      <c r="K64" s="432"/>
      <c r="L64" s="440"/>
      <c r="M64" s="435"/>
      <c r="N64" s="414"/>
      <c r="O64" s="415"/>
      <c r="P64" s="439">
        <f>L64*J64</f>
        <v>0</v>
      </c>
      <c r="Q64" s="173"/>
    </row>
    <row r="65" spans="2:17" ht="13.5" thickBot="1">
      <c r="B65" s="406">
        <v>6</v>
      </c>
      <c r="C65" s="396"/>
      <c r="D65" s="422" t="s">
        <v>418</v>
      </c>
      <c r="E65" s="396"/>
      <c r="F65" s="423">
        <f>SUM(F63:F64)</f>
        <v>0.4179912081821188</v>
      </c>
      <c r="G65" s="423"/>
      <c r="H65" s="423"/>
      <c r="I65" s="424"/>
      <c r="J65" s="425">
        <f>SUM(J63:J64)</f>
        <v>285429</v>
      </c>
      <c r="K65" s="396"/>
      <c r="L65" s="426">
        <f>IF(F65=0,0,SUMPRODUCT(F63:F64,L63:L64)/F65)</f>
        <v>0.0985</v>
      </c>
      <c r="M65" s="413"/>
      <c r="N65" s="259"/>
      <c r="O65" s="259"/>
      <c r="P65" s="425">
        <f>SUM(P63:P64)</f>
        <v>28114.7565</v>
      </c>
      <c r="Q65" s="173"/>
    </row>
    <row r="66" spans="2:17" ht="13.5" thickTop="1">
      <c r="B66" s="406"/>
      <c r="C66" s="396"/>
      <c r="D66" s="396"/>
      <c r="E66" s="396"/>
      <c r="F66" s="396"/>
      <c r="G66" s="396"/>
      <c r="H66" s="396"/>
      <c r="I66" s="396"/>
      <c r="J66" s="429"/>
      <c r="K66" s="396"/>
      <c r="L66" s="430"/>
      <c r="M66" s="430"/>
      <c r="N66" s="259"/>
      <c r="O66" s="259"/>
      <c r="P66" s="429"/>
      <c r="Q66" s="173"/>
    </row>
    <row r="67" spans="2:17" ht="13.5" thickBot="1">
      <c r="B67" s="406">
        <v>7</v>
      </c>
      <c r="C67" s="396"/>
      <c r="D67" s="410" t="s">
        <v>112</v>
      </c>
      <c r="E67" s="396"/>
      <c r="F67" s="441">
        <f>F65+F60</f>
        <v>1</v>
      </c>
      <c r="G67" s="441"/>
      <c r="H67" s="442"/>
      <c r="I67" s="442"/>
      <c r="J67" s="443">
        <v>682858.8602170756</v>
      </c>
      <c r="K67" s="396"/>
      <c r="L67" s="444">
        <f>(L60*F60)+(L65*F65)</f>
        <v>0.07384372618974755</v>
      </c>
      <c r="M67" s="430"/>
      <c r="N67" s="396"/>
      <c r="O67" s="396"/>
      <c r="P67" s="445">
        <f>P60+P65</f>
        <v>50424.842700112815</v>
      </c>
      <c r="Q67" s="173"/>
    </row>
    <row r="68" spans="2:17" ht="15.75" thickTop="1">
      <c r="B68" s="446"/>
      <c r="C68" s="447"/>
      <c r="D68" s="447"/>
      <c r="E68" s="447"/>
      <c r="F68" s="447"/>
      <c r="G68" s="447"/>
      <c r="H68" s="447"/>
      <c r="I68" s="447"/>
      <c r="J68" s="450">
        <f>J60+J65-J67</f>
        <v>0</v>
      </c>
      <c r="K68" s="447"/>
      <c r="L68" s="447"/>
      <c r="M68" s="447"/>
      <c r="N68" s="447"/>
      <c r="O68" s="447"/>
      <c r="P68" s="447"/>
      <c r="Q68" s="168"/>
    </row>
    <row r="70" spans="2:16" ht="15.75">
      <c r="B70" s="395"/>
      <c r="C70" s="395"/>
      <c r="D70" s="991"/>
      <c r="E70" s="991"/>
      <c r="F70" s="991"/>
      <c r="G70" s="991"/>
      <c r="H70" s="991"/>
      <c r="I70" s="991"/>
      <c r="J70" s="991"/>
      <c r="K70" s="991"/>
      <c r="L70" s="991"/>
      <c r="M70" s="991"/>
      <c r="N70" s="991"/>
      <c r="O70" s="991"/>
      <c r="P70" s="991"/>
    </row>
    <row r="71" spans="2:16" ht="12.75">
      <c r="B71" s="988" t="s">
        <v>403</v>
      </c>
      <c r="C71" s="396"/>
      <c r="D71" s="396"/>
      <c r="E71" s="396"/>
      <c r="F71" s="396"/>
      <c r="G71" s="396"/>
      <c r="H71" s="396"/>
      <c r="I71" s="396"/>
      <c r="J71" s="396"/>
      <c r="K71" s="396"/>
      <c r="L71" s="396"/>
      <c r="M71" s="396"/>
      <c r="N71" s="396"/>
      <c r="O71" s="396"/>
      <c r="P71" s="396"/>
    </row>
    <row r="72" spans="2:16" ht="12.75">
      <c r="B72" s="989"/>
      <c r="C72" s="396"/>
      <c r="D72" s="397" t="s">
        <v>404</v>
      </c>
      <c r="E72" s="396"/>
      <c r="F72" s="990" t="s">
        <v>405</v>
      </c>
      <c r="G72" s="990"/>
      <c r="H72" s="990"/>
      <c r="I72" s="990"/>
      <c r="J72" s="990"/>
      <c r="K72" s="398"/>
      <c r="L72" s="397" t="s">
        <v>406</v>
      </c>
      <c r="M72" s="399"/>
      <c r="N72" s="396"/>
      <c r="O72" s="396"/>
      <c r="P72" s="397" t="s">
        <v>407</v>
      </c>
    </row>
    <row r="73" spans="2:16" ht="12.75">
      <c r="B73" s="400"/>
      <c r="C73" s="396"/>
      <c r="D73" s="396"/>
      <c r="E73" s="396"/>
      <c r="F73" s="396"/>
      <c r="G73" s="396"/>
      <c r="H73" s="396"/>
      <c r="I73" s="396"/>
      <c r="J73" s="401"/>
      <c r="K73" s="401"/>
      <c r="L73" s="396"/>
      <c r="M73" s="396"/>
      <c r="N73" s="396"/>
      <c r="O73" s="396"/>
      <c r="P73" s="396"/>
    </row>
    <row r="74" spans="2:17" ht="12.75">
      <c r="B74" s="402"/>
      <c r="C74" s="403"/>
      <c r="D74" s="403"/>
      <c r="E74" s="403"/>
      <c r="F74" s="403"/>
      <c r="G74" s="403"/>
      <c r="H74" s="403"/>
      <c r="I74" s="403"/>
      <c r="J74" s="404"/>
      <c r="K74" s="404"/>
      <c r="L74" s="403"/>
      <c r="M74" s="403"/>
      <c r="N74" s="403"/>
      <c r="O74" s="403"/>
      <c r="P74" s="403"/>
      <c r="Q74" s="405"/>
    </row>
    <row r="75" spans="2:17" ht="12.75">
      <c r="B75" s="406"/>
      <c r="C75" s="407"/>
      <c r="D75" s="985" t="s">
        <v>421</v>
      </c>
      <c r="E75" s="986"/>
      <c r="F75" s="986"/>
      <c r="G75" s="986"/>
      <c r="H75" s="986"/>
      <c r="I75" s="986"/>
      <c r="J75" s="986"/>
      <c r="K75" s="986"/>
      <c r="L75" s="986"/>
      <c r="M75" s="986"/>
      <c r="N75" s="986"/>
      <c r="O75" s="986"/>
      <c r="P75" s="987"/>
      <c r="Q75" s="173"/>
    </row>
    <row r="76" spans="2:17" ht="12.75">
      <c r="B76" s="406"/>
      <c r="C76" s="396"/>
      <c r="D76" s="396"/>
      <c r="E76" s="396"/>
      <c r="F76" s="408" t="s">
        <v>409</v>
      </c>
      <c r="G76" s="409"/>
      <c r="H76" s="409"/>
      <c r="I76" s="409"/>
      <c r="J76" s="408" t="s">
        <v>410</v>
      </c>
      <c r="K76" s="396"/>
      <c r="L76" s="408" t="s">
        <v>409</v>
      </c>
      <c r="M76" s="409"/>
      <c r="N76" s="396"/>
      <c r="O76" s="396"/>
      <c r="P76" s="401" t="s">
        <v>410</v>
      </c>
      <c r="Q76" s="173"/>
    </row>
    <row r="77" spans="2:17" ht="12.75">
      <c r="B77" s="406"/>
      <c r="C77" s="396"/>
      <c r="D77" s="410" t="s">
        <v>411</v>
      </c>
      <c r="E77" s="396"/>
      <c r="F77" s="396"/>
      <c r="G77" s="396"/>
      <c r="H77" s="396"/>
      <c r="I77" s="396"/>
      <c r="J77" s="396"/>
      <c r="K77" s="396"/>
      <c r="L77" s="396"/>
      <c r="M77" s="396"/>
      <c r="N77" s="396"/>
      <c r="O77" s="396"/>
      <c r="P77" s="396"/>
      <c r="Q77" s="173"/>
    </row>
    <row r="78" spans="2:17" ht="12.75">
      <c r="B78" s="406">
        <v>1</v>
      </c>
      <c r="C78" s="396"/>
      <c r="D78" s="411" t="s">
        <v>412</v>
      </c>
      <c r="E78" s="396"/>
      <c r="F78" s="412">
        <v>0.5097576340548611</v>
      </c>
      <c r="G78" s="413"/>
      <c r="H78" s="414"/>
      <c r="I78" s="415"/>
      <c r="J78" s="416">
        <f>$J87*F78</f>
        <v>357429.86021707556</v>
      </c>
      <c r="K78" s="396"/>
      <c r="L78" s="417">
        <v>0.0601015432428232</v>
      </c>
      <c r="M78" s="413"/>
      <c r="N78" s="414"/>
      <c r="O78" s="415"/>
      <c r="P78" s="416">
        <f>L78*J78</f>
        <v>21482.08620011282</v>
      </c>
      <c r="Q78" s="173"/>
    </row>
    <row r="79" spans="2:17" ht="12.75">
      <c r="B79" s="406">
        <v>2</v>
      </c>
      <c r="C79" s="396"/>
      <c r="D79" s="411" t="s">
        <v>413</v>
      </c>
      <c r="E79" s="396"/>
      <c r="F79" s="412">
        <v>0.05704701154461726</v>
      </c>
      <c r="G79" s="413"/>
      <c r="H79" s="419" t="s">
        <v>340</v>
      </c>
      <c r="I79" s="419"/>
      <c r="J79" s="420">
        <f>$J87*F79</f>
        <v>40000</v>
      </c>
      <c r="K79" s="396"/>
      <c r="L79" s="417">
        <v>0.0246</v>
      </c>
      <c r="M79" s="413"/>
      <c r="N79" s="414"/>
      <c r="O79" s="415"/>
      <c r="P79" s="420">
        <f>L79*J79</f>
        <v>984</v>
      </c>
      <c r="Q79" s="173"/>
    </row>
    <row r="80" spans="2:17" ht="13.5" thickBot="1">
      <c r="B80" s="406">
        <v>3</v>
      </c>
      <c r="C80" s="396"/>
      <c r="D80" s="422" t="s">
        <v>414</v>
      </c>
      <c r="E80" s="396"/>
      <c r="F80" s="423">
        <f>SUM(F78:F79)</f>
        <v>0.5668046455994783</v>
      </c>
      <c r="G80" s="424"/>
      <c r="H80" s="423"/>
      <c r="I80" s="424"/>
      <c r="J80" s="425">
        <f>SUM(J78:J79)</f>
        <v>397429.86021707556</v>
      </c>
      <c r="K80" s="396"/>
      <c r="L80" s="426">
        <f>IF(F80=0,0,SUMPRODUCT(F78:F79,L78:L79)/F80)</f>
        <v>0.05652843042000387</v>
      </c>
      <c r="M80" s="413"/>
      <c r="N80" s="259"/>
      <c r="O80" s="259"/>
      <c r="P80" s="425">
        <f>SUM(P78:P79)</f>
        <v>22466.08620011282</v>
      </c>
      <c r="Q80" s="173"/>
    </row>
    <row r="81" spans="2:17" ht="13.5" thickTop="1">
      <c r="B81" s="406"/>
      <c r="C81" s="396"/>
      <c r="D81" s="396"/>
      <c r="E81" s="396"/>
      <c r="F81" s="427"/>
      <c r="G81" s="428"/>
      <c r="H81" s="427"/>
      <c r="I81" s="428"/>
      <c r="J81" s="429"/>
      <c r="K81" s="396"/>
      <c r="L81" s="430"/>
      <c r="M81" s="413"/>
      <c r="N81" s="259"/>
      <c r="O81" s="259"/>
      <c r="P81" s="429"/>
      <c r="Q81" s="173"/>
    </row>
    <row r="82" spans="2:17" ht="12.75">
      <c r="B82" s="406"/>
      <c r="C82" s="396"/>
      <c r="D82" s="410" t="s">
        <v>415</v>
      </c>
      <c r="E82" s="396"/>
      <c r="F82" s="427"/>
      <c r="G82" s="428"/>
      <c r="H82" s="427"/>
      <c r="I82" s="428"/>
      <c r="J82" s="429"/>
      <c r="K82" s="396"/>
      <c r="L82" s="430"/>
      <c r="M82" s="413"/>
      <c r="N82" s="259"/>
      <c r="O82" s="259"/>
      <c r="P82" s="429"/>
      <c r="Q82" s="173"/>
    </row>
    <row r="83" spans="2:17" ht="12.75">
      <c r="B83" s="431">
        <v>4</v>
      </c>
      <c r="C83" s="432"/>
      <c r="D83" s="433" t="s">
        <v>416</v>
      </c>
      <c r="E83" s="432"/>
      <c r="F83" s="434">
        <v>0.43319535440052165</v>
      </c>
      <c r="G83" s="435"/>
      <c r="H83" s="414"/>
      <c r="I83" s="415"/>
      <c r="J83" s="436">
        <f>$J87*F83</f>
        <v>303746.221</v>
      </c>
      <c r="K83" s="432"/>
      <c r="L83" s="437">
        <v>0.0958</v>
      </c>
      <c r="M83" s="435"/>
      <c r="N83" s="414"/>
      <c r="O83" s="415"/>
      <c r="P83" s="436">
        <f>L83*J83</f>
        <v>29098.8879718</v>
      </c>
      <c r="Q83" s="173"/>
    </row>
    <row r="84" spans="2:17" ht="12.75">
      <c r="B84" s="431">
        <v>5</v>
      </c>
      <c r="C84" s="432"/>
      <c r="D84" s="433" t="s">
        <v>417</v>
      </c>
      <c r="E84" s="432"/>
      <c r="F84" s="434">
        <v>0</v>
      </c>
      <c r="G84" s="435"/>
      <c r="H84" s="414"/>
      <c r="I84" s="415"/>
      <c r="J84" s="439">
        <f>$J$27*F84</f>
        <v>0</v>
      </c>
      <c r="K84" s="432"/>
      <c r="L84" s="440"/>
      <c r="M84" s="435"/>
      <c r="N84" s="414"/>
      <c r="O84" s="415"/>
      <c r="P84" s="439">
        <f>L84*J84</f>
        <v>0</v>
      </c>
      <c r="Q84" s="173"/>
    </row>
    <row r="85" spans="2:17" ht="13.5" thickBot="1">
      <c r="B85" s="406">
        <v>6</v>
      </c>
      <c r="C85" s="396"/>
      <c r="D85" s="422" t="s">
        <v>418</v>
      </c>
      <c r="E85" s="396"/>
      <c r="F85" s="423">
        <f>SUM(F83:F84)</f>
        <v>0.43319535440052165</v>
      </c>
      <c r="G85" s="423"/>
      <c r="H85" s="423"/>
      <c r="I85" s="424"/>
      <c r="J85" s="425">
        <f>SUM(J83:J84)</f>
        <v>303746.221</v>
      </c>
      <c r="K85" s="396"/>
      <c r="L85" s="426">
        <f>IF(F85=0,0,SUMPRODUCT(F83:F84,L83:L84)/F85)</f>
        <v>0.0958</v>
      </c>
      <c r="M85" s="413"/>
      <c r="N85" s="259"/>
      <c r="O85" s="259"/>
      <c r="P85" s="425">
        <f>SUM(P83:P84)</f>
        <v>29098.8879718</v>
      </c>
      <c r="Q85" s="173"/>
    </row>
    <row r="86" spans="2:17" ht="13.5" thickTop="1">
      <c r="B86" s="406"/>
      <c r="C86" s="396"/>
      <c r="D86" s="396"/>
      <c r="E86" s="396"/>
      <c r="F86" s="396"/>
      <c r="G86" s="396"/>
      <c r="H86" s="396"/>
      <c r="I86" s="396"/>
      <c r="J86" s="429"/>
      <c r="K86" s="396"/>
      <c r="L86" s="430"/>
      <c r="M86" s="430"/>
      <c r="N86" s="259"/>
      <c r="O86" s="259"/>
      <c r="P86" s="429"/>
      <c r="Q86" s="173"/>
    </row>
    <row r="87" spans="2:17" ht="13.5" thickBot="1">
      <c r="B87" s="406">
        <v>7</v>
      </c>
      <c r="C87" s="396"/>
      <c r="D87" s="410" t="s">
        <v>112</v>
      </c>
      <c r="E87" s="396"/>
      <c r="F87" s="441">
        <f>F80+F85</f>
        <v>1</v>
      </c>
      <c r="G87" s="441"/>
      <c r="H87" s="442"/>
      <c r="I87" s="442"/>
      <c r="J87" s="443">
        <v>701176.0812170756</v>
      </c>
      <c r="K87" s="396"/>
      <c r="L87" s="444">
        <f>(L80*F80)+(L85*F85)</f>
        <v>0.07354069192207503</v>
      </c>
      <c r="M87" s="430"/>
      <c r="N87" s="396"/>
      <c r="O87" s="396"/>
      <c r="P87" s="445">
        <f>P80+P85</f>
        <v>51564.97417191282</v>
      </c>
      <c r="Q87" s="173"/>
    </row>
    <row r="88" spans="2:17" ht="15.75" thickTop="1">
      <c r="B88" s="446"/>
      <c r="C88" s="447"/>
      <c r="D88" s="447"/>
      <c r="E88" s="447"/>
      <c r="F88" s="447"/>
      <c r="G88" s="447"/>
      <c r="H88" s="447"/>
      <c r="I88" s="447"/>
      <c r="J88" s="450">
        <f>J80+J85-J87</f>
        <v>0</v>
      </c>
      <c r="K88" s="447"/>
      <c r="L88" s="447"/>
      <c r="M88" s="447"/>
      <c r="N88" s="447"/>
      <c r="O88" s="447"/>
      <c r="P88" s="447"/>
      <c r="Q88" s="168"/>
    </row>
    <row r="90" spans="2:16" ht="15.75">
      <c r="B90" s="395"/>
      <c r="C90" s="395"/>
      <c r="D90" s="991"/>
      <c r="E90" s="991"/>
      <c r="F90" s="991"/>
      <c r="G90" s="991"/>
      <c r="H90" s="991"/>
      <c r="I90" s="991"/>
      <c r="J90" s="991"/>
      <c r="K90" s="991"/>
      <c r="L90" s="991"/>
      <c r="M90" s="991"/>
      <c r="N90" s="991"/>
      <c r="O90" s="991"/>
      <c r="P90" s="991"/>
    </row>
    <row r="91" spans="2:16" ht="12.75">
      <c r="B91" s="988" t="s">
        <v>403</v>
      </c>
      <c r="C91" s="396"/>
      <c r="D91" s="396"/>
      <c r="E91" s="396"/>
      <c r="F91" s="396"/>
      <c r="G91" s="396"/>
      <c r="H91" s="396"/>
      <c r="I91" s="396"/>
      <c r="J91" s="396"/>
      <c r="K91" s="396"/>
      <c r="L91" s="396"/>
      <c r="M91" s="396"/>
      <c r="N91" s="396"/>
      <c r="O91" s="396"/>
      <c r="P91" s="396"/>
    </row>
    <row r="92" spans="2:16" ht="12.75">
      <c r="B92" s="989"/>
      <c r="C92" s="396"/>
      <c r="D92" s="397" t="s">
        <v>404</v>
      </c>
      <c r="E92" s="396"/>
      <c r="F92" s="990" t="s">
        <v>405</v>
      </c>
      <c r="G92" s="990"/>
      <c r="H92" s="990"/>
      <c r="I92" s="990"/>
      <c r="J92" s="990"/>
      <c r="K92" s="398"/>
      <c r="L92" s="397" t="s">
        <v>406</v>
      </c>
      <c r="M92" s="399"/>
      <c r="N92" s="396"/>
      <c r="O92" s="396"/>
      <c r="P92" s="397" t="s">
        <v>407</v>
      </c>
    </row>
    <row r="93" spans="2:16" ht="12.75">
      <c r="B93" s="400"/>
      <c r="C93" s="396"/>
      <c r="D93" s="396"/>
      <c r="E93" s="396"/>
      <c r="F93" s="396"/>
      <c r="G93" s="396"/>
      <c r="H93" s="396"/>
      <c r="I93" s="396"/>
      <c r="J93" s="401"/>
      <c r="K93" s="401"/>
      <c r="L93" s="396"/>
      <c r="M93" s="396"/>
      <c r="N93" s="396"/>
      <c r="O93" s="396"/>
      <c r="P93" s="396"/>
    </row>
    <row r="94" spans="2:17" ht="12.75">
      <c r="B94" s="402"/>
      <c r="C94" s="403"/>
      <c r="D94" s="403"/>
      <c r="E94" s="403"/>
      <c r="F94" s="403"/>
      <c r="G94" s="403"/>
      <c r="H94" s="403"/>
      <c r="I94" s="403"/>
      <c r="J94" s="404"/>
      <c r="K94" s="404"/>
      <c r="L94" s="403"/>
      <c r="M94" s="403"/>
      <c r="N94" s="403"/>
      <c r="O94" s="403"/>
      <c r="P94" s="403"/>
      <c r="Q94" s="405"/>
    </row>
    <row r="95" spans="2:17" ht="12.75">
      <c r="B95" s="406"/>
      <c r="C95" s="407"/>
      <c r="D95" s="985" t="s">
        <v>422</v>
      </c>
      <c r="E95" s="986"/>
      <c r="F95" s="986"/>
      <c r="G95" s="986"/>
      <c r="H95" s="986"/>
      <c r="I95" s="986"/>
      <c r="J95" s="986"/>
      <c r="K95" s="986"/>
      <c r="L95" s="986"/>
      <c r="M95" s="986"/>
      <c r="N95" s="986"/>
      <c r="O95" s="986"/>
      <c r="P95" s="987"/>
      <c r="Q95" s="173"/>
    </row>
    <row r="96" spans="2:17" ht="12.75">
      <c r="B96" s="406"/>
      <c r="C96" s="396"/>
      <c r="D96" s="396"/>
      <c r="E96" s="396"/>
      <c r="F96" s="408" t="s">
        <v>409</v>
      </c>
      <c r="G96" s="409"/>
      <c r="H96" s="409"/>
      <c r="I96" s="409"/>
      <c r="J96" s="408" t="s">
        <v>410</v>
      </c>
      <c r="K96" s="396"/>
      <c r="L96" s="408" t="s">
        <v>409</v>
      </c>
      <c r="M96" s="409"/>
      <c r="N96" s="396"/>
      <c r="O96" s="396"/>
      <c r="P96" s="401" t="s">
        <v>410</v>
      </c>
      <c r="Q96" s="173"/>
    </row>
    <row r="97" spans="2:17" ht="12.75">
      <c r="B97" s="406"/>
      <c r="C97" s="396"/>
      <c r="D97" s="410" t="s">
        <v>411</v>
      </c>
      <c r="E97" s="396"/>
      <c r="F97" s="396"/>
      <c r="G97" s="396"/>
      <c r="H97" s="396"/>
      <c r="I97" s="396"/>
      <c r="J97" s="396"/>
      <c r="K97" s="396"/>
      <c r="L97" s="396"/>
      <c r="M97" s="396"/>
      <c r="N97" s="396"/>
      <c r="O97" s="396"/>
      <c r="P97" s="396"/>
      <c r="Q97" s="173"/>
    </row>
    <row r="98" spans="2:17" ht="12.75">
      <c r="B98" s="406">
        <v>1</v>
      </c>
      <c r="C98" s="396"/>
      <c r="D98" s="411" t="s">
        <v>412</v>
      </c>
      <c r="E98" s="396"/>
      <c r="F98" s="412">
        <v>0.5483837554551838</v>
      </c>
      <c r="G98" s="413"/>
      <c r="H98" s="414"/>
      <c r="I98" s="415"/>
      <c r="J98" s="416">
        <f>$J107*F98</f>
        <v>407429.86021707556</v>
      </c>
      <c r="K98" s="396"/>
      <c r="L98" s="417">
        <v>0.05016099259201103</v>
      </c>
      <c r="M98" s="413"/>
      <c r="N98" s="414"/>
      <c r="O98" s="415"/>
      <c r="P98" s="416">
        <f>L98*J98</f>
        <v>20437.08620011282</v>
      </c>
      <c r="Q98" s="173"/>
    </row>
    <row r="99" spans="2:17" ht="12.75">
      <c r="B99" s="406">
        <v>2</v>
      </c>
      <c r="C99" s="396"/>
      <c r="D99" s="411" t="s">
        <v>413</v>
      </c>
      <c r="E99" s="396"/>
      <c r="F99" s="412">
        <v>0.03364896691439166</v>
      </c>
      <c r="G99" s="413"/>
      <c r="H99" s="419" t="s">
        <v>340</v>
      </c>
      <c r="I99" s="419"/>
      <c r="J99" s="420">
        <f>$J107*F99</f>
        <v>25000</v>
      </c>
      <c r="K99" s="396"/>
      <c r="L99" s="417">
        <v>0.0208</v>
      </c>
      <c r="M99" s="413"/>
      <c r="N99" s="414"/>
      <c r="O99" s="415"/>
      <c r="P99" s="420">
        <f>L99*J99</f>
        <v>520</v>
      </c>
      <c r="Q99" s="173"/>
    </row>
    <row r="100" spans="2:17" ht="13.5" thickBot="1">
      <c r="B100" s="406">
        <v>3</v>
      </c>
      <c r="C100" s="396"/>
      <c r="D100" s="422" t="s">
        <v>414</v>
      </c>
      <c r="E100" s="396"/>
      <c r="F100" s="423">
        <f>SUM(F98:F99)</f>
        <v>0.5820327223695755</v>
      </c>
      <c r="G100" s="424"/>
      <c r="H100" s="423"/>
      <c r="I100" s="424"/>
      <c r="J100" s="425">
        <f>SUM(J98:J99)</f>
        <v>432429.86021707556</v>
      </c>
      <c r="K100" s="396"/>
      <c r="L100" s="426">
        <f>IF(F100=0,0,SUMPRODUCT(F98:F99,L98:L99)/F100)</f>
        <v>0.048463550110976535</v>
      </c>
      <c r="M100" s="413"/>
      <c r="N100" s="259"/>
      <c r="O100" s="259"/>
      <c r="P100" s="425">
        <f>SUM(P98:P99)</f>
        <v>20957.08620011282</v>
      </c>
      <c r="Q100" s="173"/>
    </row>
    <row r="101" spans="2:17" ht="13.5" thickTop="1">
      <c r="B101" s="406"/>
      <c r="C101" s="396"/>
      <c r="D101" s="396"/>
      <c r="E101" s="396"/>
      <c r="F101" s="427"/>
      <c r="G101" s="428"/>
      <c r="H101" s="427"/>
      <c r="I101" s="428"/>
      <c r="J101" s="429"/>
      <c r="K101" s="396"/>
      <c r="L101" s="430"/>
      <c r="M101" s="413"/>
      <c r="N101" s="259"/>
      <c r="O101" s="259"/>
      <c r="P101" s="429"/>
      <c r="Q101" s="173"/>
    </row>
    <row r="102" spans="2:17" ht="12.75">
      <c r="B102" s="406"/>
      <c r="C102" s="396"/>
      <c r="D102" s="410" t="s">
        <v>415</v>
      </c>
      <c r="E102" s="396"/>
      <c r="F102" s="427"/>
      <c r="G102" s="428"/>
      <c r="H102" s="427"/>
      <c r="I102" s="428"/>
      <c r="J102" s="429"/>
      <c r="K102" s="396"/>
      <c r="L102" s="430"/>
      <c r="M102" s="413"/>
      <c r="N102" s="259"/>
      <c r="O102" s="259"/>
      <c r="P102" s="429"/>
      <c r="Q102" s="173"/>
    </row>
    <row r="103" spans="2:17" ht="12.75">
      <c r="B103" s="431">
        <v>4</v>
      </c>
      <c r="C103" s="432"/>
      <c r="D103" s="433" t="s">
        <v>416</v>
      </c>
      <c r="E103" s="432"/>
      <c r="F103" s="434">
        <v>0.41796727763042457</v>
      </c>
      <c r="G103" s="435"/>
      <c r="H103" s="414"/>
      <c r="I103" s="415"/>
      <c r="J103" s="436">
        <f>$J107*F103</f>
        <v>310535</v>
      </c>
      <c r="K103" s="432"/>
      <c r="L103" s="437">
        <v>0.0912</v>
      </c>
      <c r="M103" s="435"/>
      <c r="N103" s="414"/>
      <c r="O103" s="415"/>
      <c r="P103" s="436">
        <f>L103*J103</f>
        <v>28320.792</v>
      </c>
      <c r="Q103" s="173"/>
    </row>
    <row r="104" spans="2:17" ht="12.75">
      <c r="B104" s="431">
        <v>5</v>
      </c>
      <c r="C104" s="432"/>
      <c r="D104" s="433" t="s">
        <v>417</v>
      </c>
      <c r="E104" s="432"/>
      <c r="F104" s="434">
        <v>0</v>
      </c>
      <c r="G104" s="435"/>
      <c r="H104" s="414"/>
      <c r="I104" s="415"/>
      <c r="J104" s="439">
        <f>$J$27*F104</f>
        <v>0</v>
      </c>
      <c r="K104" s="432"/>
      <c r="L104" s="440"/>
      <c r="M104" s="435"/>
      <c r="N104" s="414"/>
      <c r="O104" s="415"/>
      <c r="P104" s="439">
        <f>L104*J104</f>
        <v>0</v>
      </c>
      <c r="Q104" s="173"/>
    </row>
    <row r="105" spans="2:17" ht="13.5" thickBot="1">
      <c r="B105" s="406">
        <v>6</v>
      </c>
      <c r="C105" s="396"/>
      <c r="D105" s="422" t="s">
        <v>418</v>
      </c>
      <c r="E105" s="396"/>
      <c r="F105" s="423">
        <f>SUM(F103:F104)</f>
        <v>0.41796727763042457</v>
      </c>
      <c r="G105" s="423"/>
      <c r="H105" s="423"/>
      <c r="I105" s="424"/>
      <c r="J105" s="425">
        <f>SUM(J103:J104)</f>
        <v>310535</v>
      </c>
      <c r="K105" s="396"/>
      <c r="L105" s="426">
        <f>IF(F105=0,0,SUMPRODUCT(F103:F104,L103:L104)/F105)</f>
        <v>0.0912</v>
      </c>
      <c r="M105" s="413"/>
      <c r="N105" s="259"/>
      <c r="O105" s="259"/>
      <c r="P105" s="425">
        <f>SUM(P103:P104)</f>
        <v>28320.792</v>
      </c>
      <c r="Q105" s="173"/>
    </row>
    <row r="106" spans="2:17" ht="13.5" thickTop="1">
      <c r="B106" s="406"/>
      <c r="C106" s="396"/>
      <c r="D106" s="396"/>
      <c r="E106" s="396"/>
      <c r="F106" s="396"/>
      <c r="G106" s="396"/>
      <c r="H106" s="396"/>
      <c r="I106" s="396"/>
      <c r="J106" s="429"/>
      <c r="K106" s="396"/>
      <c r="L106" s="430"/>
      <c r="M106" s="430"/>
      <c r="N106" s="259"/>
      <c r="O106" s="259"/>
      <c r="P106" s="429"/>
      <c r="Q106" s="173"/>
    </row>
    <row r="107" spans="2:17" ht="13.5" thickBot="1">
      <c r="B107" s="406">
        <v>7</v>
      </c>
      <c r="C107" s="396"/>
      <c r="D107" s="410" t="s">
        <v>112</v>
      </c>
      <c r="E107" s="396"/>
      <c r="F107" s="441">
        <f>F100+F105</f>
        <v>1</v>
      </c>
      <c r="G107" s="441"/>
      <c r="H107" s="442"/>
      <c r="I107" s="442"/>
      <c r="J107" s="443">
        <v>742964.8602170756</v>
      </c>
      <c r="K107" s="396"/>
      <c r="L107" s="444">
        <f>(L100*F100)+(L105*F105)</f>
        <v>0.06632598772668073</v>
      </c>
      <c r="M107" s="430"/>
      <c r="N107" s="396"/>
      <c r="O107" s="396"/>
      <c r="P107" s="445">
        <f>P100+P105</f>
        <v>49277.87820011282</v>
      </c>
      <c r="Q107" s="173"/>
    </row>
    <row r="108" spans="2:17" ht="15.75" thickTop="1">
      <c r="B108" s="446"/>
      <c r="C108" s="447"/>
      <c r="D108" s="447"/>
      <c r="E108" s="447"/>
      <c r="F108" s="447"/>
      <c r="G108" s="447"/>
      <c r="H108" s="447"/>
      <c r="I108" s="447"/>
      <c r="J108" s="450">
        <f>J100+J105-J107</f>
        <v>0</v>
      </c>
      <c r="K108" s="447"/>
      <c r="L108" s="447"/>
      <c r="M108" s="447"/>
      <c r="N108" s="447"/>
      <c r="O108" s="447"/>
      <c r="P108" s="447"/>
      <c r="Q108" s="168"/>
    </row>
    <row r="110" spans="2:16" ht="15.75">
      <c r="B110" s="395"/>
      <c r="C110" s="395"/>
      <c r="D110" s="991"/>
      <c r="E110" s="991"/>
      <c r="F110" s="991"/>
      <c r="G110" s="991"/>
      <c r="H110" s="991"/>
      <c r="I110" s="991"/>
      <c r="J110" s="991"/>
      <c r="K110" s="991"/>
      <c r="L110" s="991"/>
      <c r="M110" s="991"/>
      <c r="N110" s="991"/>
      <c r="O110" s="991"/>
      <c r="P110" s="991"/>
    </row>
    <row r="111" spans="2:16" ht="12.75">
      <c r="B111" s="988" t="s">
        <v>403</v>
      </c>
      <c r="C111" s="396"/>
      <c r="D111" s="396"/>
      <c r="E111" s="396"/>
      <c r="F111" s="396"/>
      <c r="G111" s="396"/>
      <c r="H111" s="396"/>
      <c r="I111" s="396"/>
      <c r="J111" s="396"/>
      <c r="K111" s="396"/>
      <c r="L111" s="396"/>
      <c r="M111" s="396"/>
      <c r="N111" s="396"/>
      <c r="O111" s="396"/>
      <c r="P111" s="396"/>
    </row>
    <row r="112" spans="2:16" ht="12.75">
      <c r="B112" s="989"/>
      <c r="C112" s="396"/>
      <c r="D112" s="397" t="s">
        <v>404</v>
      </c>
      <c r="E112" s="396"/>
      <c r="F112" s="990" t="s">
        <v>405</v>
      </c>
      <c r="G112" s="990"/>
      <c r="H112" s="990"/>
      <c r="I112" s="990"/>
      <c r="J112" s="990"/>
      <c r="K112" s="398"/>
      <c r="L112" s="397" t="s">
        <v>406</v>
      </c>
      <c r="M112" s="399"/>
      <c r="N112" s="396"/>
      <c r="O112" s="396"/>
      <c r="P112" s="397" t="s">
        <v>407</v>
      </c>
    </row>
    <row r="113" spans="2:16" ht="12.75">
      <c r="B113" s="400"/>
      <c r="C113" s="396"/>
      <c r="D113" s="396"/>
      <c r="E113" s="396"/>
      <c r="F113" s="396"/>
      <c r="G113" s="396"/>
      <c r="H113" s="396"/>
      <c r="I113" s="396"/>
      <c r="J113" s="401"/>
      <c r="K113" s="401"/>
      <c r="L113" s="396"/>
      <c r="M113" s="396"/>
      <c r="N113" s="396"/>
      <c r="O113" s="396"/>
      <c r="P113" s="396"/>
    </row>
    <row r="114" spans="2:17" ht="12.75">
      <c r="B114" s="402"/>
      <c r="C114" s="403"/>
      <c r="D114" s="403"/>
      <c r="E114" s="403"/>
      <c r="F114" s="403"/>
      <c r="G114" s="403"/>
      <c r="H114" s="403"/>
      <c r="I114" s="403"/>
      <c r="J114" s="404"/>
      <c r="K114" s="404"/>
      <c r="L114" s="403"/>
      <c r="M114" s="403"/>
      <c r="N114" s="403"/>
      <c r="O114" s="403"/>
      <c r="P114" s="403"/>
      <c r="Q114" s="405"/>
    </row>
    <row r="115" spans="2:17" ht="12.75">
      <c r="B115" s="406"/>
      <c r="C115" s="407"/>
      <c r="D115" s="985" t="s">
        <v>423</v>
      </c>
      <c r="E115" s="986"/>
      <c r="F115" s="986"/>
      <c r="G115" s="986"/>
      <c r="H115" s="986"/>
      <c r="I115" s="986"/>
      <c r="J115" s="986"/>
      <c r="K115" s="986"/>
      <c r="L115" s="986"/>
      <c r="M115" s="986"/>
      <c r="N115" s="986"/>
      <c r="O115" s="986"/>
      <c r="P115" s="987"/>
      <c r="Q115" s="173"/>
    </row>
    <row r="116" spans="2:17" ht="12.75">
      <c r="B116" s="406"/>
      <c r="C116" s="396"/>
      <c r="D116" s="396"/>
      <c r="E116" s="396"/>
      <c r="F116" s="408" t="s">
        <v>409</v>
      </c>
      <c r="G116" s="409"/>
      <c r="H116" s="409"/>
      <c r="I116" s="409"/>
      <c r="J116" s="408" t="s">
        <v>410</v>
      </c>
      <c r="K116" s="396"/>
      <c r="L116" s="408" t="s">
        <v>409</v>
      </c>
      <c r="M116" s="409"/>
      <c r="N116" s="396"/>
      <c r="O116" s="396"/>
      <c r="P116" s="401" t="s">
        <v>410</v>
      </c>
      <c r="Q116" s="173"/>
    </row>
    <row r="117" spans="2:17" ht="12.75">
      <c r="B117" s="406"/>
      <c r="C117" s="396"/>
      <c r="D117" s="410" t="s">
        <v>411</v>
      </c>
      <c r="E117" s="396"/>
      <c r="F117" s="396"/>
      <c r="G117" s="396"/>
      <c r="H117" s="396"/>
      <c r="I117" s="396"/>
      <c r="J117" s="396"/>
      <c r="K117" s="396"/>
      <c r="L117" s="396"/>
      <c r="M117" s="396"/>
      <c r="N117" s="396"/>
      <c r="O117" s="396"/>
      <c r="P117" s="396"/>
      <c r="Q117" s="173"/>
    </row>
    <row r="118" spans="2:17" ht="12.75">
      <c r="B118" s="406">
        <v>1</v>
      </c>
      <c r="C118" s="396"/>
      <c r="D118" s="411" t="s">
        <v>412</v>
      </c>
      <c r="E118" s="396"/>
      <c r="F118" s="412">
        <v>0.5599040880962743</v>
      </c>
      <c r="G118" s="413"/>
      <c r="H118" s="414"/>
      <c r="I118" s="415"/>
      <c r="J118" s="416">
        <f>$J127*F118</f>
        <v>452429.86021707556</v>
      </c>
      <c r="K118" s="396"/>
      <c r="L118" s="417">
        <v>0.04955814850362652</v>
      </c>
      <c r="M118" s="413"/>
      <c r="N118" s="414"/>
      <c r="O118" s="415"/>
      <c r="P118" s="416">
        <f>L118*J118</f>
        <v>22421.58620011282</v>
      </c>
      <c r="Q118" s="173"/>
    </row>
    <row r="119" spans="2:17" ht="12.75">
      <c r="B119" s="406">
        <v>2</v>
      </c>
      <c r="C119" s="396"/>
      <c r="D119" s="411" t="s">
        <v>413</v>
      </c>
      <c r="E119" s="396"/>
      <c r="F119" s="412">
        <v>0.03093872317731376</v>
      </c>
      <c r="G119" s="413"/>
      <c r="H119" s="419" t="s">
        <v>340</v>
      </c>
      <c r="I119" s="419"/>
      <c r="J119" s="420">
        <f>$J127*F119</f>
        <v>25000</v>
      </c>
      <c r="K119" s="396"/>
      <c r="L119" s="417">
        <v>0.0208</v>
      </c>
      <c r="M119" s="413"/>
      <c r="N119" s="414"/>
      <c r="O119" s="415"/>
      <c r="P119" s="420">
        <f>L119*J119</f>
        <v>520</v>
      </c>
      <c r="Q119" s="173"/>
    </row>
    <row r="120" spans="2:17" ht="13.5" thickBot="1">
      <c r="B120" s="406">
        <v>3</v>
      </c>
      <c r="C120" s="396"/>
      <c r="D120" s="422" t="s">
        <v>414</v>
      </c>
      <c r="E120" s="396"/>
      <c r="F120" s="423">
        <f>SUM(F118:F119)</f>
        <v>0.5908428112735881</v>
      </c>
      <c r="G120" s="424"/>
      <c r="H120" s="423"/>
      <c r="I120" s="424"/>
      <c r="J120" s="425">
        <f>SUM(J118:J119)</f>
        <v>477429.86021707556</v>
      </c>
      <c r="K120" s="396"/>
      <c r="L120" s="426">
        <f>IF(F120=0,0,SUMPRODUCT(F118:F119,L118:L119)/F120)</f>
        <v>0.048052265079695365</v>
      </c>
      <c r="M120" s="413"/>
      <c r="N120" s="259"/>
      <c r="O120" s="259"/>
      <c r="P120" s="425">
        <f>SUM(P118:P119)</f>
        <v>22941.58620011282</v>
      </c>
      <c r="Q120" s="173"/>
    </row>
    <row r="121" spans="2:17" ht="13.5" thickTop="1">
      <c r="B121" s="406"/>
      <c r="C121" s="396"/>
      <c r="D121" s="396"/>
      <c r="E121" s="396"/>
      <c r="F121" s="427"/>
      <c r="G121" s="428"/>
      <c r="H121" s="427"/>
      <c r="I121" s="428"/>
      <c r="J121" s="429"/>
      <c r="K121" s="396"/>
      <c r="L121" s="430"/>
      <c r="M121" s="413"/>
      <c r="N121" s="259"/>
      <c r="O121" s="259"/>
      <c r="P121" s="429"/>
      <c r="Q121" s="173"/>
    </row>
    <row r="122" spans="2:17" ht="12.75">
      <c r="B122" s="406"/>
      <c r="C122" s="396"/>
      <c r="D122" s="410" t="s">
        <v>415</v>
      </c>
      <c r="E122" s="396"/>
      <c r="F122" s="427"/>
      <c r="G122" s="428"/>
      <c r="H122" s="427"/>
      <c r="I122" s="428"/>
      <c r="J122" s="429"/>
      <c r="K122" s="396"/>
      <c r="L122" s="430"/>
      <c r="M122" s="413"/>
      <c r="N122" s="259"/>
      <c r="O122" s="259"/>
      <c r="P122" s="429"/>
      <c r="Q122" s="173"/>
    </row>
    <row r="123" spans="2:17" ht="12.75">
      <c r="B123" s="431">
        <v>4</v>
      </c>
      <c r="C123" s="432"/>
      <c r="D123" s="433" t="s">
        <v>416</v>
      </c>
      <c r="E123" s="432"/>
      <c r="F123" s="434">
        <v>0.4091571887264119</v>
      </c>
      <c r="G123" s="435"/>
      <c r="H123" s="414"/>
      <c r="I123" s="415"/>
      <c r="J123" s="436">
        <f>$J127*F123</f>
        <v>330619</v>
      </c>
      <c r="K123" s="432"/>
      <c r="L123" s="437">
        <v>0.0912</v>
      </c>
      <c r="M123" s="435"/>
      <c r="N123" s="414"/>
      <c r="O123" s="415"/>
      <c r="P123" s="436">
        <f>L123*J123</f>
        <v>30152.452800000003</v>
      </c>
      <c r="Q123" s="173"/>
    </row>
    <row r="124" spans="2:17" ht="12.75">
      <c r="B124" s="431">
        <v>5</v>
      </c>
      <c r="C124" s="432"/>
      <c r="D124" s="433" t="s">
        <v>417</v>
      </c>
      <c r="E124" s="432"/>
      <c r="F124" s="434">
        <v>0</v>
      </c>
      <c r="G124" s="435"/>
      <c r="H124" s="414"/>
      <c r="I124" s="415"/>
      <c r="J124" s="439">
        <f>$J$27*F124</f>
        <v>0</v>
      </c>
      <c r="K124" s="432"/>
      <c r="L124" s="440"/>
      <c r="M124" s="435"/>
      <c r="N124" s="414"/>
      <c r="O124" s="415"/>
      <c r="P124" s="439">
        <f>L124*J124</f>
        <v>0</v>
      </c>
      <c r="Q124" s="173"/>
    </row>
    <row r="125" spans="2:17" ht="13.5" thickBot="1">
      <c r="B125" s="406">
        <v>6</v>
      </c>
      <c r="C125" s="396"/>
      <c r="D125" s="422" t="s">
        <v>418</v>
      </c>
      <c r="E125" s="396"/>
      <c r="F125" s="423">
        <f>SUM(F123:F124)</f>
        <v>0.4091571887264119</v>
      </c>
      <c r="G125" s="423"/>
      <c r="H125" s="423"/>
      <c r="I125" s="424"/>
      <c r="J125" s="425">
        <f>SUM(J123:J124)</f>
        <v>330619</v>
      </c>
      <c r="K125" s="396"/>
      <c r="L125" s="426">
        <f>IF(F125=0,0,SUMPRODUCT(F123:F124,L123:L124)/F125)</f>
        <v>0.0912</v>
      </c>
      <c r="M125" s="413"/>
      <c r="N125" s="259"/>
      <c r="O125" s="259"/>
      <c r="P125" s="425">
        <f>SUM(P123:P124)</f>
        <v>30152.452800000003</v>
      </c>
      <c r="Q125" s="173"/>
    </row>
    <row r="126" spans="2:17" ht="13.5" thickTop="1">
      <c r="B126" s="406"/>
      <c r="C126" s="396"/>
      <c r="D126" s="396"/>
      <c r="E126" s="396"/>
      <c r="F126" s="396"/>
      <c r="G126" s="396"/>
      <c r="H126" s="396"/>
      <c r="I126" s="396"/>
      <c r="J126" s="429"/>
      <c r="K126" s="396"/>
      <c r="L126" s="430"/>
      <c r="M126" s="430"/>
      <c r="N126" s="259"/>
      <c r="O126" s="259"/>
      <c r="P126" s="429"/>
      <c r="Q126" s="173"/>
    </row>
    <row r="127" spans="2:17" ht="13.5" thickBot="1">
      <c r="B127" s="406">
        <v>7</v>
      </c>
      <c r="C127" s="396"/>
      <c r="D127" s="410" t="s">
        <v>112</v>
      </c>
      <c r="E127" s="396"/>
      <c r="F127" s="441">
        <f>F120+F125</f>
        <v>1</v>
      </c>
      <c r="G127" s="441"/>
      <c r="H127" s="442"/>
      <c r="I127" s="442"/>
      <c r="J127" s="443">
        <v>808048.8602170756</v>
      </c>
      <c r="K127" s="396"/>
      <c r="L127" s="444">
        <f>(L120*F120)+(L125*F125)</f>
        <v>0.06570647099959964</v>
      </c>
      <c r="M127" s="430"/>
      <c r="N127" s="396"/>
      <c r="O127" s="396"/>
      <c r="P127" s="445">
        <f>P120+P125</f>
        <v>53094.039000112825</v>
      </c>
      <c r="Q127" s="173"/>
    </row>
    <row r="128" spans="2:17" ht="15.75" thickTop="1">
      <c r="B128" s="446"/>
      <c r="C128" s="447"/>
      <c r="D128" s="447"/>
      <c r="E128" s="447"/>
      <c r="F128" s="447"/>
      <c r="G128" s="447"/>
      <c r="H128" s="447"/>
      <c r="I128" s="447"/>
      <c r="J128" s="450">
        <f>J120+J125-J127</f>
        <v>0</v>
      </c>
      <c r="K128" s="447"/>
      <c r="L128" s="447"/>
      <c r="M128" s="447"/>
      <c r="N128" s="447"/>
      <c r="O128" s="447"/>
      <c r="P128" s="447"/>
      <c r="Q128" s="168"/>
    </row>
  </sheetData>
  <sheetProtection/>
  <mergeCells count="24">
    <mergeCell ref="D10:P10"/>
    <mergeCell ref="B11:B12"/>
    <mergeCell ref="F12:J12"/>
    <mergeCell ref="D15:P15"/>
    <mergeCell ref="D30:P30"/>
    <mergeCell ref="B31:B32"/>
    <mergeCell ref="F32:J32"/>
    <mergeCell ref="F92:J92"/>
    <mergeCell ref="D35:P35"/>
    <mergeCell ref="D50:P50"/>
    <mergeCell ref="B51:B52"/>
    <mergeCell ref="F52:J52"/>
    <mergeCell ref="D55:P55"/>
    <mergeCell ref="D70:P70"/>
    <mergeCell ref="D115:P115"/>
    <mergeCell ref="B71:B72"/>
    <mergeCell ref="F72:J72"/>
    <mergeCell ref="D75:P75"/>
    <mergeCell ref="D90:P90"/>
    <mergeCell ref="B91:B92"/>
    <mergeCell ref="D95:P95"/>
    <mergeCell ref="D110:P110"/>
    <mergeCell ref="B111:B112"/>
    <mergeCell ref="F112:J112"/>
  </mergeCells>
  <printOptions horizontalCentered="1"/>
  <pageMargins left="0.52" right="0.29" top="0.69" bottom="0.65" header="0.4" footer="0.33"/>
  <pageSetup fitToHeight="4" horizontalDpi="600" verticalDpi="600" orientation="landscape" scale="70" r:id="rId1"/>
  <rowBreaks count="2" manualBreakCount="2">
    <brk id="49" max="16" man="1"/>
    <brk id="89" max="16" man="1"/>
  </rowBreaks>
</worksheet>
</file>

<file path=xl/worksheets/sheet2.xml><?xml version="1.0" encoding="utf-8"?>
<worksheet xmlns="http://schemas.openxmlformats.org/spreadsheetml/2006/main" xmlns:r="http://schemas.openxmlformats.org/officeDocument/2006/relationships">
  <dimension ref="A2:E5"/>
  <sheetViews>
    <sheetView workbookViewId="0" topLeftCell="A1">
      <selection activeCell="A5" sqref="A5"/>
    </sheetView>
  </sheetViews>
  <sheetFormatPr defaultColWidth="9.140625" defaultRowHeight="15"/>
  <sheetData>
    <row r="2" spans="1:5" ht="18">
      <c r="A2" s="918" t="s">
        <v>665</v>
      </c>
      <c r="B2" s="918"/>
      <c r="C2" s="918"/>
      <c r="D2" s="918"/>
      <c r="E2" s="709"/>
    </row>
    <row r="3" spans="1:5" ht="18">
      <c r="A3" s="918" t="s">
        <v>666</v>
      </c>
      <c r="B3" s="918"/>
      <c r="C3" s="918"/>
      <c r="D3" s="918"/>
      <c r="E3" s="918"/>
    </row>
    <row r="4" spans="1:5" ht="15">
      <c r="A4" s="675"/>
      <c r="B4" s="675"/>
      <c r="C4" s="675"/>
      <c r="D4" s="675"/>
      <c r="E4" s="709"/>
    </row>
    <row r="5" ht="15">
      <c r="A5" t="s">
        <v>667</v>
      </c>
    </row>
  </sheetData>
  <mergeCells count="2">
    <mergeCell ref="A2:D2"/>
    <mergeCell ref="A3:E3"/>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J135"/>
  <sheetViews>
    <sheetView zoomScalePageLayoutView="0" workbookViewId="0" topLeftCell="A4">
      <selection activeCell="F39" sqref="F39"/>
    </sheetView>
  </sheetViews>
  <sheetFormatPr defaultColWidth="9.140625" defaultRowHeight="15"/>
  <cols>
    <col min="1" max="1" width="12.8515625" style="1" customWidth="1"/>
    <col min="2" max="2" width="17.28125" style="1" customWidth="1"/>
    <col min="3" max="3" width="21.8515625" style="1" customWidth="1"/>
    <col min="4" max="4" width="17.140625" style="1" customWidth="1"/>
    <col min="5" max="5" width="15.7109375" style="1" customWidth="1"/>
    <col min="6" max="6" width="19.7109375" style="1" customWidth="1"/>
    <col min="7" max="7" width="15.7109375" style="1" customWidth="1"/>
    <col min="8" max="8" width="16.28125" style="1" bestFit="1" customWidth="1"/>
    <col min="9" max="16384" width="9.140625" style="1" customWidth="1"/>
  </cols>
  <sheetData>
    <row r="1" spans="1:7" ht="42" customHeight="1">
      <c r="A1" s="55"/>
      <c r="B1" s="395"/>
      <c r="F1" s="2" t="s">
        <v>10</v>
      </c>
      <c r="G1" s="451" t="s">
        <v>11</v>
      </c>
    </row>
    <row r="2" spans="1:7" ht="19.5">
      <c r="A2" s="452"/>
      <c r="B2" s="453"/>
      <c r="F2" s="2" t="s">
        <v>12</v>
      </c>
      <c r="G2" s="451" t="s">
        <v>424</v>
      </c>
    </row>
    <row r="3" spans="6:7" ht="12.75">
      <c r="F3" s="2" t="s">
        <v>14</v>
      </c>
      <c r="G3" s="454">
        <v>1</v>
      </c>
    </row>
    <row r="4" spans="6:7" ht="12.75">
      <c r="F4" s="2" t="s">
        <v>16</v>
      </c>
      <c r="G4" s="3"/>
    </row>
    <row r="5" spans="6:7" ht="12.75">
      <c r="F5" s="2" t="s">
        <v>18</v>
      </c>
      <c r="G5" s="3"/>
    </row>
    <row r="6" ht="12.75">
      <c r="F6" s="2"/>
    </row>
    <row r="7" spans="6:7" ht="12.75">
      <c r="F7" s="2" t="s">
        <v>19</v>
      </c>
      <c r="G7" s="6">
        <v>41033</v>
      </c>
    </row>
    <row r="9" spans="2:7" ht="18">
      <c r="B9" s="919" t="s">
        <v>425</v>
      </c>
      <c r="C9" s="919"/>
      <c r="D9" s="919"/>
      <c r="E9" s="919"/>
      <c r="F9" s="919"/>
      <c r="G9" s="919"/>
    </row>
    <row r="10" spans="2:7" ht="18">
      <c r="B10" s="919" t="s">
        <v>426</v>
      </c>
      <c r="C10" s="919"/>
      <c r="D10" s="919"/>
      <c r="E10" s="919"/>
      <c r="F10" s="919"/>
      <c r="G10" s="919"/>
    </row>
    <row r="12" ht="12.75">
      <c r="B12" s="1" t="s">
        <v>427</v>
      </c>
    </row>
    <row r="14" spans="2:3" ht="12.75">
      <c r="B14" s="2" t="s">
        <v>428</v>
      </c>
      <c r="C14" s="2" t="s">
        <v>429</v>
      </c>
    </row>
    <row r="15" ht="13.5" thickBot="1"/>
    <row r="16" spans="2:7" ht="69.75" customHeight="1">
      <c r="B16" s="1057" t="s">
        <v>430</v>
      </c>
      <c r="C16" s="1058"/>
      <c r="D16" s="455" t="s">
        <v>431</v>
      </c>
      <c r="E16" s="455" t="s">
        <v>29</v>
      </c>
      <c r="F16" s="455" t="s">
        <v>432</v>
      </c>
      <c r="G16" s="456" t="s">
        <v>29</v>
      </c>
    </row>
    <row r="17" spans="2:7" ht="15">
      <c r="B17" s="992" t="s">
        <v>433</v>
      </c>
      <c r="C17" s="993"/>
      <c r="D17" s="457">
        <v>66551754.86927126</v>
      </c>
      <c r="E17" s="458">
        <f aca="true" t="shared" si="0" ref="E17:E23">IF(D$25=0,"",D17/D$25)</f>
        <v>0.5494195235221283</v>
      </c>
      <c r="F17" s="457">
        <v>95291156.58870322</v>
      </c>
      <c r="G17" s="16">
        <f aca="true" t="shared" si="1" ref="G17:G23">IF(F$25=0,"",F17/F$25)</f>
        <v>0.5336951057776221</v>
      </c>
    </row>
    <row r="18" spans="2:7" ht="15">
      <c r="B18" s="992" t="s">
        <v>434</v>
      </c>
      <c r="C18" s="993"/>
      <c r="D18" s="457">
        <v>16174113.62663598</v>
      </c>
      <c r="E18" s="458">
        <f t="shared" si="0"/>
        <v>0.13352576231227498</v>
      </c>
      <c r="F18" s="457">
        <v>27734367.817716945</v>
      </c>
      <c r="G18" s="16">
        <f t="shared" si="1"/>
        <v>0.15533126993136598</v>
      </c>
    </row>
    <row r="19" spans="2:7" ht="15">
      <c r="B19" s="1055" t="s">
        <v>435</v>
      </c>
      <c r="C19" s="1056"/>
      <c r="D19" s="457">
        <v>36202283.25752205</v>
      </c>
      <c r="E19" s="458">
        <f t="shared" si="0"/>
        <v>0.29886877148215885</v>
      </c>
      <c r="F19" s="457">
        <v>52348686.72049114</v>
      </c>
      <c r="G19" s="16">
        <f t="shared" si="1"/>
        <v>0.29318814984269176</v>
      </c>
    </row>
    <row r="20" spans="2:7" ht="15">
      <c r="B20" s="992" t="s">
        <v>436</v>
      </c>
      <c r="C20" s="993"/>
      <c r="D20" s="457">
        <v>54551.765581555155</v>
      </c>
      <c r="E20" s="458">
        <f t="shared" si="0"/>
        <v>0.0004503533394721596</v>
      </c>
      <c r="F20" s="457">
        <v>376564.6774269479</v>
      </c>
      <c r="G20" s="16">
        <f t="shared" si="1"/>
        <v>0.0021090175893123354</v>
      </c>
    </row>
    <row r="21" spans="2:7" ht="15">
      <c r="B21" s="992" t="s">
        <v>437</v>
      </c>
      <c r="C21" s="993"/>
      <c r="D21" s="457">
        <v>1690275.147843188</v>
      </c>
      <c r="E21" s="458">
        <f t="shared" si="0"/>
        <v>0.013954104864304508</v>
      </c>
      <c r="F21" s="457">
        <v>2271860.4655981334</v>
      </c>
      <c r="G21" s="16">
        <f t="shared" si="1"/>
        <v>0.012723959440777042</v>
      </c>
    </row>
    <row r="22" spans="2:7" ht="15">
      <c r="B22" s="992" t="s">
        <v>438</v>
      </c>
      <c r="C22" s="993"/>
      <c r="D22" s="457">
        <v>26725.44801564456</v>
      </c>
      <c r="E22" s="458">
        <f t="shared" si="0"/>
        <v>0.00022063254295117925</v>
      </c>
      <c r="F22" s="457">
        <v>18117.430225184697</v>
      </c>
      <c r="G22" s="16">
        <f t="shared" si="1"/>
        <v>0.00010146989696203266</v>
      </c>
    </row>
    <row r="23" spans="2:7" ht="27" customHeight="1">
      <c r="B23" s="994" t="s">
        <v>439</v>
      </c>
      <c r="C23" s="995"/>
      <c r="D23" s="457">
        <v>431329.6762708782</v>
      </c>
      <c r="E23" s="458">
        <f t="shared" si="0"/>
        <v>0.00356085193671009</v>
      </c>
      <c r="F23" s="457">
        <v>509050.4054221813</v>
      </c>
      <c r="G23" s="16">
        <f t="shared" si="1"/>
        <v>0.002851027521268851</v>
      </c>
    </row>
    <row r="24" spans="2:7" ht="15">
      <c r="B24" s="1023"/>
      <c r="C24" s="1052"/>
      <c r="D24" s="457"/>
      <c r="E24" s="458"/>
      <c r="F24" s="457"/>
      <c r="G24" s="16"/>
    </row>
    <row r="25" spans="2:7" ht="15.75" thickBot="1">
      <c r="B25" s="1053" t="s">
        <v>112</v>
      </c>
      <c r="C25" s="1054"/>
      <c r="D25" s="459">
        <f>SUM(D17:D24)</f>
        <v>121131033.79114054</v>
      </c>
      <c r="E25" s="460">
        <f>SUM(E17:E24)</f>
        <v>1</v>
      </c>
      <c r="F25" s="459">
        <f>SUM(F17:F24)</f>
        <v>178549804.10558373</v>
      </c>
      <c r="G25" s="461">
        <f>SUM(G17:G24)</f>
        <v>1.0000000000000002</v>
      </c>
    </row>
    <row r="27" ht="12.75">
      <c r="B27" s="2" t="s">
        <v>440</v>
      </c>
    </row>
    <row r="29" ht="12.75">
      <c r="B29" s="462" t="s">
        <v>441</v>
      </c>
    </row>
    <row r="31" spans="2:7" ht="12.75">
      <c r="B31" s="1050" t="s">
        <v>442</v>
      </c>
      <c r="C31" s="1050"/>
      <c r="D31" s="1050"/>
      <c r="E31" s="1050"/>
      <c r="F31" s="1050"/>
      <c r="G31" s="1050"/>
    </row>
    <row r="32" spans="2:7" ht="12.75">
      <c r="B32" s="1050"/>
      <c r="C32" s="1050"/>
      <c r="D32" s="1050"/>
      <c r="E32" s="1050"/>
      <c r="F32" s="1050"/>
      <c r="G32" s="1050"/>
    </row>
    <row r="33" spans="2:7" ht="12.75">
      <c r="B33" s="463"/>
      <c r="C33" s="463"/>
      <c r="D33" s="463"/>
      <c r="E33" s="463"/>
      <c r="F33" s="463"/>
      <c r="G33" s="463"/>
    </row>
    <row r="34" spans="2:7" ht="12.75">
      <c r="B34" s="1036" t="s">
        <v>443</v>
      </c>
      <c r="C34" s="1036"/>
      <c r="D34" s="1036"/>
      <c r="E34" s="1036"/>
      <c r="F34" s="1036"/>
      <c r="G34" s="1036"/>
    </row>
    <row r="35" spans="2:7" ht="12.75">
      <c r="B35" s="1036"/>
      <c r="C35" s="1036"/>
      <c r="D35" s="1036"/>
      <c r="E35" s="1036"/>
      <c r="F35" s="1036"/>
      <c r="G35" s="1036"/>
    </row>
    <row r="37" ht="12.75">
      <c r="B37" s="462" t="s">
        <v>444</v>
      </c>
    </row>
    <row r="38" spans="2:7" ht="12.75">
      <c r="B38" s="1051" t="s">
        <v>445</v>
      </c>
      <c r="C38" s="1051"/>
      <c r="D38" s="1051"/>
      <c r="E38" s="1051"/>
      <c r="F38" s="1051"/>
      <c r="G38" s="1051"/>
    </row>
    <row r="39" spans="2:7" ht="12.75">
      <c r="B39" s="463"/>
      <c r="C39" s="463"/>
      <c r="D39" s="463"/>
      <c r="E39" s="463"/>
      <c r="F39" s="463"/>
      <c r="G39" s="463"/>
    </row>
    <row r="40" spans="2:7" ht="12.75">
      <c r="B40" s="1014" t="s">
        <v>446</v>
      </c>
      <c r="C40" s="1014"/>
      <c r="D40" s="1014"/>
      <c r="E40" s="1014"/>
      <c r="F40" s="1014"/>
      <c r="G40" s="1014"/>
    </row>
    <row r="41" spans="2:7" ht="12.75">
      <c r="B41" s="1014"/>
      <c r="C41" s="1014"/>
      <c r="D41" s="1014"/>
      <c r="E41" s="1014"/>
      <c r="F41" s="1014"/>
      <c r="G41" s="1014"/>
    </row>
    <row r="43" spans="1:7" ht="12.75">
      <c r="A43" s="463"/>
      <c r="B43" s="1000" t="s">
        <v>447</v>
      </c>
      <c r="C43" s="1000"/>
      <c r="D43" s="1000"/>
      <c r="E43" s="1000"/>
      <c r="F43" s="1000"/>
      <c r="G43" s="1000"/>
    </row>
    <row r="44" spans="1:7" ht="12.75">
      <c r="A44" s="463"/>
      <c r="B44" s="463"/>
      <c r="C44" s="463"/>
      <c r="D44" s="463"/>
      <c r="E44" s="463"/>
      <c r="F44" s="463"/>
      <c r="G44" s="463"/>
    </row>
    <row r="45" spans="1:7" ht="12.75">
      <c r="A45" s="463"/>
      <c r="B45" s="1014" t="s">
        <v>448</v>
      </c>
      <c r="C45" s="1014"/>
      <c r="D45" s="1014"/>
      <c r="E45" s="1014"/>
      <c r="F45" s="1014"/>
      <c r="G45" s="1014"/>
    </row>
    <row r="46" spans="1:7" ht="12.75">
      <c r="A46" s="463"/>
      <c r="B46" s="1014"/>
      <c r="C46" s="1014"/>
      <c r="D46" s="1014"/>
      <c r="E46" s="1014"/>
      <c r="F46" s="1014"/>
      <c r="G46" s="1014"/>
    </row>
    <row r="48" spans="2:7" ht="13.5" customHeight="1">
      <c r="B48" s="190" t="s">
        <v>449</v>
      </c>
      <c r="C48" s="1047" t="s">
        <v>450</v>
      </c>
      <c r="D48" s="1047"/>
      <c r="E48" s="1047"/>
      <c r="F48" s="1047"/>
      <c r="G48" s="1047"/>
    </row>
    <row r="49" spans="2:3" ht="13.5" thickBot="1">
      <c r="B49" s="190"/>
      <c r="C49" s="464"/>
    </row>
    <row r="50" spans="2:7" ht="12.75">
      <c r="B50" s="1048"/>
      <c r="C50" s="1049"/>
      <c r="D50" s="8" t="s">
        <v>451</v>
      </c>
      <c r="E50" s="8" t="s">
        <v>452</v>
      </c>
      <c r="F50" s="8" t="s">
        <v>453</v>
      </c>
      <c r="G50" s="465" t="s">
        <v>454</v>
      </c>
    </row>
    <row r="51" spans="2:7" ht="12.75">
      <c r="B51" s="1042" t="s">
        <v>455</v>
      </c>
      <c r="C51" s="1043"/>
      <c r="D51" s="1046" t="s">
        <v>456</v>
      </c>
      <c r="E51" s="1046" t="s">
        <v>457</v>
      </c>
      <c r="F51" s="1046" t="s">
        <v>458</v>
      </c>
      <c r="G51" s="1040" t="s">
        <v>459</v>
      </c>
    </row>
    <row r="52" spans="2:7" ht="24.75" customHeight="1">
      <c r="B52" s="1044"/>
      <c r="C52" s="1045"/>
      <c r="D52" s="1034"/>
      <c r="E52" s="1034"/>
      <c r="F52" s="1034"/>
      <c r="G52" s="1041"/>
    </row>
    <row r="53" spans="2:10" ht="15">
      <c r="B53" s="994" t="str">
        <f aca="true" t="shared" si="2" ref="B53:B59">B17</f>
        <v>Residential</v>
      </c>
      <c r="C53" s="995"/>
      <c r="D53" s="457">
        <v>83376466.06510231</v>
      </c>
      <c r="E53" s="457">
        <v>91268312.56156944</v>
      </c>
      <c r="F53" s="466">
        <v>91268312.56156944</v>
      </c>
      <c r="G53" s="467">
        <v>5123848.5575686125</v>
      </c>
      <c r="J53" s="193"/>
    </row>
    <row r="54" spans="2:7" ht="15">
      <c r="B54" s="994" t="str">
        <f t="shared" si="2"/>
        <v>GS &lt; 50 kW</v>
      </c>
      <c r="C54" s="995"/>
      <c r="D54" s="457">
        <v>23761947.98856</v>
      </c>
      <c r="E54" s="457">
        <v>26011091.599855866</v>
      </c>
      <c r="F54" s="466">
        <v>26011091.599855866</v>
      </c>
      <c r="G54" s="467">
        <v>1397719.3556368405</v>
      </c>
    </row>
    <row r="55" spans="2:7" ht="27" customHeight="1">
      <c r="B55" s="994" t="str">
        <f t="shared" si="2"/>
        <v>GS &gt; 50 kW </v>
      </c>
      <c r="C55" s="995"/>
      <c r="D55" s="457">
        <v>44733722.98034649</v>
      </c>
      <c r="E55" s="457">
        <v>48967911.49465367</v>
      </c>
      <c r="F55" s="466">
        <v>48967911.49465367</v>
      </c>
      <c r="G55" s="467">
        <v>2392811.5199920633</v>
      </c>
    </row>
    <row r="56" spans="2:7" ht="15">
      <c r="B56" s="994" t="str">
        <f t="shared" si="2"/>
        <v>Large User</v>
      </c>
      <c r="C56" s="995"/>
      <c r="D56" s="457">
        <v>136436.09875055333</v>
      </c>
      <c r="E56" s="457">
        <v>149350.20747609538</v>
      </c>
      <c r="F56" s="466">
        <v>369350.2074760954</v>
      </c>
      <c r="G56" s="467">
        <v>7830.0200713342665</v>
      </c>
    </row>
    <row r="57" spans="2:7" ht="15">
      <c r="B57" s="994" t="str">
        <f t="shared" si="2"/>
        <v>Street Lighting</v>
      </c>
      <c r="C57" s="995"/>
      <c r="D57" s="457">
        <v>2376079.9263778864</v>
      </c>
      <c r="E57" s="457">
        <v>2600983.4144637147</v>
      </c>
      <c r="F57" s="466">
        <v>2380983.4144637147</v>
      </c>
      <c r="G57" s="467">
        <v>100857.67362272376</v>
      </c>
    </row>
    <row r="58" spans="2:7" ht="15">
      <c r="B58" s="994" t="str">
        <f t="shared" si="2"/>
        <v>Sentinel Lighting</v>
      </c>
      <c r="C58" s="995"/>
      <c r="D58" s="457">
        <v>14528.368200639787</v>
      </c>
      <c r="E58" s="457">
        <v>15903.52424999882</v>
      </c>
      <c r="F58" s="466">
        <v>15903.52424999882</v>
      </c>
      <c r="G58" s="467">
        <v>838.954549891239</v>
      </c>
    </row>
    <row r="59" spans="2:7" ht="27" customHeight="1">
      <c r="B59" s="994" t="str">
        <f t="shared" si="2"/>
        <v>Unmetered Scattered Load (USL)</v>
      </c>
      <c r="C59" s="995"/>
      <c r="D59" s="457">
        <v>433243.44000000006</v>
      </c>
      <c r="E59" s="457">
        <v>474251.3033149511</v>
      </c>
      <c r="F59" s="466">
        <v>474251.3033149511</v>
      </c>
      <c r="G59" s="467">
        <v>38093.91855853385</v>
      </c>
    </row>
    <row r="60" spans="2:7" ht="15.75" thickBot="1">
      <c r="B60" s="1037" t="str">
        <f>B25</f>
        <v>Total</v>
      </c>
      <c r="C60" s="1038"/>
      <c r="D60" s="468">
        <f>SUM(D53:D59)</f>
        <v>154832424.86733788</v>
      </c>
      <c r="E60" s="468">
        <f>SUM(E53:E59)</f>
        <v>169487804.1055838</v>
      </c>
      <c r="F60" s="469">
        <f>SUM(F53:F59)</f>
        <v>169487804.1055838</v>
      </c>
      <c r="G60" s="470">
        <f>SUM(G53:G59)</f>
        <v>9062000.000000002</v>
      </c>
    </row>
    <row r="61" spans="4:7" ht="12.75">
      <c r="D61" s="471" t="s">
        <v>460</v>
      </c>
      <c r="E61" s="471" t="s">
        <v>461</v>
      </c>
      <c r="F61" s="471" t="s">
        <v>462</v>
      </c>
      <c r="G61" s="471" t="s">
        <v>463</v>
      </c>
    </row>
    <row r="62" spans="2:7" ht="12.75">
      <c r="B62" s="2" t="s">
        <v>265</v>
      </c>
      <c r="C62" s="463"/>
      <c r="D62" s="463"/>
      <c r="E62" s="463"/>
      <c r="F62" s="463"/>
      <c r="G62" s="463"/>
    </row>
    <row r="63" spans="2:7" ht="12.75">
      <c r="B63" s="463"/>
      <c r="C63" s="463"/>
      <c r="D63" s="463"/>
      <c r="E63" s="463"/>
      <c r="F63" s="463"/>
      <c r="G63" s="463"/>
    </row>
    <row r="64" spans="2:7" ht="12.75">
      <c r="B64" s="472" t="s">
        <v>464</v>
      </c>
      <c r="C64" s="463"/>
      <c r="D64" s="463"/>
      <c r="E64" s="463"/>
      <c r="F64" s="463"/>
      <c r="G64" s="463"/>
    </row>
    <row r="65" spans="2:7" ht="12.75">
      <c r="B65" s="463"/>
      <c r="C65" s="463"/>
      <c r="D65" s="463"/>
      <c r="E65" s="463"/>
      <c r="F65" s="463"/>
      <c r="G65" s="463"/>
    </row>
    <row r="66" spans="2:7" ht="12.75">
      <c r="B66" s="1039" t="s">
        <v>465</v>
      </c>
      <c r="C66" s="1039"/>
      <c r="D66" s="1039"/>
      <c r="E66" s="1039"/>
      <c r="F66" s="1039"/>
      <c r="G66" s="1039"/>
    </row>
    <row r="67" spans="2:7" ht="12.75">
      <c r="B67" s="1014"/>
      <c r="C67" s="1014"/>
      <c r="D67" s="1014"/>
      <c r="E67" s="1014"/>
      <c r="F67" s="1014"/>
      <c r="G67" s="1014"/>
    </row>
    <row r="68" spans="2:7" ht="12.75">
      <c r="B68" s="463"/>
      <c r="C68" s="463"/>
      <c r="D68" s="463"/>
      <c r="E68" s="463"/>
      <c r="F68" s="463"/>
      <c r="G68" s="463"/>
    </row>
    <row r="69" spans="2:7" ht="12.75">
      <c r="B69" s="1014" t="s">
        <v>466</v>
      </c>
      <c r="C69" s="1014"/>
      <c r="D69" s="1014"/>
      <c r="E69" s="1014"/>
      <c r="F69" s="1014"/>
      <c r="G69" s="1014"/>
    </row>
    <row r="70" spans="2:7" ht="12.75">
      <c r="B70" s="1014"/>
      <c r="C70" s="1014"/>
      <c r="D70" s="1014"/>
      <c r="E70" s="1014"/>
      <c r="F70" s="1014"/>
      <c r="G70" s="1014"/>
    </row>
    <row r="71" spans="2:7" ht="12.75">
      <c r="B71" s="463"/>
      <c r="C71" s="463"/>
      <c r="D71" s="463"/>
      <c r="E71" s="463"/>
      <c r="F71" s="463"/>
      <c r="G71" s="463"/>
    </row>
    <row r="72" spans="2:7" ht="12.75">
      <c r="B72" s="1015" t="s">
        <v>467</v>
      </c>
      <c r="C72" s="1015"/>
      <c r="D72" s="463"/>
      <c r="E72" s="463"/>
      <c r="F72" s="463"/>
      <c r="G72" s="463"/>
    </row>
    <row r="73" spans="2:7" ht="12.75">
      <c r="B73" s="463"/>
      <c r="C73" s="463"/>
      <c r="D73" s="463"/>
      <c r="E73" s="463"/>
      <c r="F73" s="463"/>
      <c r="G73" s="463"/>
    </row>
    <row r="74" spans="2:7" ht="12.75">
      <c r="B74" s="1000" t="s">
        <v>468</v>
      </c>
      <c r="C74" s="1000"/>
      <c r="D74" s="1000"/>
      <c r="E74" s="1000"/>
      <c r="F74" s="1000"/>
      <c r="G74" s="1000"/>
    </row>
    <row r="75" spans="2:7" ht="12.75">
      <c r="B75" s="463"/>
      <c r="C75" s="463"/>
      <c r="D75" s="463"/>
      <c r="E75" s="463"/>
      <c r="F75" s="463"/>
      <c r="G75" s="463"/>
    </row>
    <row r="76" spans="2:7" ht="12.75">
      <c r="B76" s="1014" t="s">
        <v>469</v>
      </c>
      <c r="C76" s="1014"/>
      <c r="D76" s="1014"/>
      <c r="E76" s="1014"/>
      <c r="F76" s="1014"/>
      <c r="G76" s="1014"/>
    </row>
    <row r="77" spans="2:7" ht="12.75">
      <c r="B77" s="1014"/>
      <c r="C77" s="1014"/>
      <c r="D77" s="1014"/>
      <c r="E77" s="1014"/>
      <c r="F77" s="1014"/>
      <c r="G77" s="1014"/>
    </row>
    <row r="78" spans="2:7" ht="12.75">
      <c r="B78" s="463"/>
      <c r="C78" s="463"/>
      <c r="D78" s="463"/>
      <c r="E78" s="463"/>
      <c r="F78" s="463"/>
      <c r="G78" s="463"/>
    </row>
    <row r="79" spans="2:7" ht="12.75">
      <c r="B79" s="472" t="s">
        <v>470</v>
      </c>
      <c r="C79" s="463"/>
      <c r="D79" s="463"/>
      <c r="E79" s="463"/>
      <c r="F79" s="463"/>
      <c r="G79" s="463"/>
    </row>
    <row r="80" spans="2:7" ht="12.75">
      <c r="B80" s="463"/>
      <c r="C80" s="463"/>
      <c r="D80" s="463"/>
      <c r="E80" s="463"/>
      <c r="F80" s="463"/>
      <c r="G80" s="463"/>
    </row>
    <row r="81" spans="2:7" ht="12.75">
      <c r="B81" s="1036" t="s">
        <v>471</v>
      </c>
      <c r="C81" s="1036"/>
      <c r="D81" s="1036"/>
      <c r="E81" s="1036"/>
      <c r="F81" s="1036"/>
      <c r="G81" s="1036"/>
    </row>
    <row r="82" spans="2:7" ht="12.75">
      <c r="B82" s="1036"/>
      <c r="C82" s="1036"/>
      <c r="D82" s="1036"/>
      <c r="E82" s="1036"/>
      <c r="F82" s="1036"/>
      <c r="G82" s="1036"/>
    </row>
    <row r="83" spans="2:7" ht="12.75">
      <c r="B83" s="1036"/>
      <c r="C83" s="1036"/>
      <c r="D83" s="1036"/>
      <c r="E83" s="1036"/>
      <c r="F83" s="1036"/>
      <c r="G83" s="1036"/>
    </row>
    <row r="84" spans="2:7" ht="12.75">
      <c r="B84" s="1015" t="s">
        <v>472</v>
      </c>
      <c r="C84" s="1015"/>
      <c r="D84" s="463"/>
      <c r="E84" s="463"/>
      <c r="F84" s="463"/>
      <c r="G84" s="463"/>
    </row>
    <row r="85" spans="2:7" ht="12.75">
      <c r="B85" s="463"/>
      <c r="C85" s="463"/>
      <c r="D85" s="463"/>
      <c r="E85" s="463"/>
      <c r="F85" s="463"/>
      <c r="G85" s="463"/>
    </row>
    <row r="86" spans="2:7" ht="12.75">
      <c r="B86" s="1014" t="s">
        <v>473</v>
      </c>
      <c r="C86" s="1014"/>
      <c r="D86" s="1014"/>
      <c r="E86" s="1014"/>
      <c r="F86" s="1014"/>
      <c r="G86" s="1014"/>
    </row>
    <row r="87" spans="2:7" ht="12.75">
      <c r="B87" s="1014"/>
      <c r="C87" s="1014"/>
      <c r="D87" s="1014"/>
      <c r="E87" s="1014"/>
      <c r="F87" s="1014"/>
      <c r="G87" s="1014"/>
    </row>
    <row r="89" spans="2:7" ht="12.75">
      <c r="B89" s="2" t="s">
        <v>474</v>
      </c>
      <c r="C89" s="1001" t="s">
        <v>475</v>
      </c>
      <c r="D89" s="1001"/>
      <c r="E89" s="1001"/>
      <c r="F89" s="1001"/>
      <c r="G89" s="1001"/>
    </row>
    <row r="90" ht="13.5" thickBot="1"/>
    <row r="91" spans="2:8" ht="31.5" customHeight="1">
      <c r="B91" s="1025" t="s">
        <v>476</v>
      </c>
      <c r="C91" s="1026"/>
      <c r="D91" s="473" t="s">
        <v>477</v>
      </c>
      <c r="E91" s="474"/>
      <c r="F91" s="475" t="s">
        <v>478</v>
      </c>
      <c r="G91" s="475" t="s">
        <v>479</v>
      </c>
      <c r="H91" s="1031" t="s">
        <v>480</v>
      </c>
    </row>
    <row r="92" spans="2:8" ht="36.75" customHeight="1">
      <c r="B92" s="1027"/>
      <c r="C92" s="1028"/>
      <c r="D92" s="12" t="s">
        <v>481</v>
      </c>
      <c r="E92" s="12" t="s">
        <v>482</v>
      </c>
      <c r="F92" s="1034" t="s">
        <v>483</v>
      </c>
      <c r="G92" s="1034" t="s">
        <v>484</v>
      </c>
      <c r="H92" s="1032"/>
    </row>
    <row r="93" spans="2:8" ht="12.75">
      <c r="B93" s="1029"/>
      <c r="C93" s="1030"/>
      <c r="D93" s="476" t="s">
        <v>485</v>
      </c>
      <c r="E93" s="476">
        <v>2009</v>
      </c>
      <c r="F93" s="1035"/>
      <c r="G93" s="1035"/>
      <c r="H93" s="1033"/>
    </row>
    <row r="94" spans="2:8" ht="12.75">
      <c r="B94" s="1019"/>
      <c r="C94" s="1020"/>
      <c r="D94" s="477" t="s">
        <v>29</v>
      </c>
      <c r="E94" s="478" t="s">
        <v>29</v>
      </c>
      <c r="F94" s="478" t="s">
        <v>29</v>
      </c>
      <c r="G94" s="478" t="s">
        <v>29</v>
      </c>
      <c r="H94" s="479" t="s">
        <v>29</v>
      </c>
    </row>
    <row r="95" spans="2:8" ht="15">
      <c r="B95" s="1021" t="str">
        <f aca="true" t="shared" si="3" ref="B95:B101">B53</f>
        <v>Residential</v>
      </c>
      <c r="C95" s="1022"/>
      <c r="D95" s="480">
        <v>111.9</v>
      </c>
      <c r="E95" s="480">
        <v>92.94046748392995</v>
      </c>
      <c r="F95" s="481">
        <f aca="true" t="shared" si="4" ref="F95:F101">IF(F17=0,"",(E53+G53)/F17*100)</f>
        <v>101.1554110264261</v>
      </c>
      <c r="G95" s="481">
        <f aca="true" t="shared" si="5" ref="G95:G101">IF(F17=0,"",(F53+G53)/F17*100)</f>
        <v>101.1554110264261</v>
      </c>
      <c r="H95" s="482" t="s">
        <v>486</v>
      </c>
    </row>
    <row r="96" spans="2:8" ht="15">
      <c r="B96" s="992" t="str">
        <f t="shared" si="3"/>
        <v>GS &lt; 50 kW</v>
      </c>
      <c r="C96" s="1016"/>
      <c r="D96" s="480">
        <v>100</v>
      </c>
      <c r="E96" s="480">
        <v>116.71055720499672</v>
      </c>
      <c r="F96" s="481">
        <f t="shared" si="4"/>
        <v>98.82616086883988</v>
      </c>
      <c r="G96" s="481">
        <f t="shared" si="5"/>
        <v>98.82616086883988</v>
      </c>
      <c r="H96" s="482" t="s">
        <v>487</v>
      </c>
    </row>
    <row r="97" spans="2:8" ht="27" customHeight="1">
      <c r="B97" s="1023" t="str">
        <f t="shared" si="3"/>
        <v>GS &gt; 50 kW </v>
      </c>
      <c r="C97" s="1024"/>
      <c r="D97" s="480">
        <v>81</v>
      </c>
      <c r="E97" s="480">
        <v>106.46139082916177</v>
      </c>
      <c r="F97" s="481">
        <f t="shared" si="4"/>
        <v>98.11272494547856</v>
      </c>
      <c r="G97" s="481">
        <f t="shared" si="5"/>
        <v>98.11272494547856</v>
      </c>
      <c r="H97" s="482" t="s">
        <v>487</v>
      </c>
    </row>
    <row r="98" spans="2:8" ht="15">
      <c r="B98" s="992" t="str">
        <f t="shared" si="3"/>
        <v>Large User</v>
      </c>
      <c r="C98" s="1016"/>
      <c r="D98" s="480">
        <v>86</v>
      </c>
      <c r="E98" s="480">
        <v>114.99999999999997</v>
      </c>
      <c r="F98" s="481">
        <f t="shared" si="4"/>
        <v>41.74056595574395</v>
      </c>
      <c r="G98" s="481">
        <f t="shared" si="5"/>
        <v>100.16346464694665</v>
      </c>
      <c r="H98" s="482" t="s">
        <v>486</v>
      </c>
    </row>
    <row r="99" spans="2:8" ht="15">
      <c r="B99" s="992" t="str">
        <f t="shared" si="3"/>
        <v>Street Lighting</v>
      </c>
      <c r="C99" s="1016"/>
      <c r="D99" s="480">
        <v>70</v>
      </c>
      <c r="E99" s="480">
        <v>74.49177158628349</v>
      </c>
      <c r="F99" s="481">
        <f t="shared" si="4"/>
        <v>118.92636581336433</v>
      </c>
      <c r="G99" s="481">
        <f t="shared" si="5"/>
        <v>109.24267249982809</v>
      </c>
      <c r="H99" s="482" t="s">
        <v>488</v>
      </c>
    </row>
    <row r="100" spans="2:8" ht="15">
      <c r="B100" s="992" t="str">
        <f t="shared" si="3"/>
        <v>Sentinel Lighting</v>
      </c>
      <c r="C100" s="1016"/>
      <c r="D100" s="480"/>
      <c r="E100" s="480">
        <v>75.38827078726845</v>
      </c>
      <c r="F100" s="481">
        <f t="shared" si="4"/>
        <v>92.41089156571805</v>
      </c>
      <c r="G100" s="481">
        <f t="shared" si="5"/>
        <v>92.41089156571805</v>
      </c>
      <c r="H100" s="482" t="s">
        <v>487</v>
      </c>
    </row>
    <row r="101" spans="2:8" ht="27" customHeight="1" thickBot="1">
      <c r="B101" s="1017" t="str">
        <f t="shared" si="3"/>
        <v>Unmetered Scattered Load (USL)</v>
      </c>
      <c r="C101" s="1018"/>
      <c r="D101" s="483">
        <v>99</v>
      </c>
      <c r="E101" s="483">
        <v>119.90145910806748</v>
      </c>
      <c r="F101" s="484">
        <f t="shared" si="4"/>
        <v>100.64724758417019</v>
      </c>
      <c r="G101" s="484">
        <f t="shared" si="5"/>
        <v>100.64724758417019</v>
      </c>
      <c r="H101" s="485" t="s">
        <v>487</v>
      </c>
    </row>
    <row r="103" spans="2:7" ht="12.75">
      <c r="B103" s="2" t="s">
        <v>265</v>
      </c>
      <c r="C103" s="463"/>
      <c r="D103" s="463"/>
      <c r="E103" s="463"/>
      <c r="F103" s="463"/>
      <c r="G103" s="463"/>
    </row>
    <row r="104" spans="2:7" ht="12.75">
      <c r="B104" s="463"/>
      <c r="C104" s="463"/>
      <c r="D104" s="463"/>
      <c r="E104" s="463"/>
      <c r="F104" s="463"/>
      <c r="G104" s="463"/>
    </row>
    <row r="105" spans="2:7" ht="12.75">
      <c r="B105" s="472" t="s">
        <v>489</v>
      </c>
      <c r="C105" s="463"/>
      <c r="D105" s="463"/>
      <c r="E105" s="463"/>
      <c r="F105" s="463"/>
      <c r="G105" s="463"/>
    </row>
    <row r="106" spans="2:7" ht="12.75">
      <c r="B106" s="463"/>
      <c r="C106" s="463"/>
      <c r="D106" s="463"/>
      <c r="E106" s="463"/>
      <c r="F106" s="463"/>
      <c r="G106" s="463"/>
    </row>
    <row r="107" spans="2:7" ht="12.75">
      <c r="B107" s="1013" t="s">
        <v>490</v>
      </c>
      <c r="C107" s="1013"/>
      <c r="D107" s="1013"/>
      <c r="E107" s="1013"/>
      <c r="F107" s="1013"/>
      <c r="G107" s="1013"/>
    </row>
    <row r="108" spans="2:7" ht="12.75">
      <c r="B108" s="1013"/>
      <c r="C108" s="1013"/>
      <c r="D108" s="1013"/>
      <c r="E108" s="1013"/>
      <c r="F108" s="1013"/>
      <c r="G108" s="1013"/>
    </row>
    <row r="109" spans="2:7" ht="12.75">
      <c r="B109" s="463"/>
      <c r="C109" s="463"/>
      <c r="D109" s="463"/>
      <c r="E109" s="463"/>
      <c r="F109" s="463"/>
      <c r="G109" s="463"/>
    </row>
    <row r="110" spans="2:7" ht="12.75">
      <c r="B110" s="1014" t="s">
        <v>491</v>
      </c>
      <c r="C110" s="1014"/>
      <c r="D110" s="1014"/>
      <c r="E110" s="1014"/>
      <c r="F110" s="1014"/>
      <c r="G110" s="1014"/>
    </row>
    <row r="111" spans="2:7" ht="12.75">
      <c r="B111" s="1014"/>
      <c r="C111" s="1014"/>
      <c r="D111" s="1014"/>
      <c r="E111" s="1014"/>
      <c r="F111" s="1014"/>
      <c r="G111" s="1014"/>
    </row>
    <row r="113" spans="2:7" ht="13.5" customHeight="1">
      <c r="B113" s="1015" t="s">
        <v>478</v>
      </c>
      <c r="C113" s="1015"/>
      <c r="D113" s="1015"/>
      <c r="E113" s="1015"/>
      <c r="F113" s="1015"/>
      <c r="G113" s="1015"/>
    </row>
    <row r="114" spans="2:7" ht="12.75">
      <c r="B114" s="463"/>
      <c r="C114" s="463"/>
      <c r="D114" s="463"/>
      <c r="E114" s="463"/>
      <c r="F114" s="463"/>
      <c r="G114" s="463"/>
    </row>
    <row r="115" spans="2:7" ht="12.75">
      <c r="B115" s="1000" t="s">
        <v>492</v>
      </c>
      <c r="C115" s="1000"/>
      <c r="D115" s="1000"/>
      <c r="E115" s="1000"/>
      <c r="F115" s="1000"/>
      <c r="G115" s="1000"/>
    </row>
    <row r="116" spans="2:7" ht="12.75">
      <c r="B116" s="463"/>
      <c r="C116" s="463"/>
      <c r="D116" s="463"/>
      <c r="E116" s="463"/>
      <c r="F116" s="463"/>
      <c r="G116" s="463"/>
    </row>
    <row r="117" spans="2:7" ht="12.75">
      <c r="B117" s="1000" t="s">
        <v>493</v>
      </c>
      <c r="C117" s="1000"/>
      <c r="D117" s="1000"/>
      <c r="E117" s="1000"/>
      <c r="F117" s="1000"/>
      <c r="G117" s="1000"/>
    </row>
    <row r="119" spans="2:7" ht="12.75">
      <c r="B119" s="2" t="s">
        <v>494</v>
      </c>
      <c r="C119" s="1001" t="s">
        <v>495</v>
      </c>
      <c r="D119" s="1001"/>
      <c r="E119" s="1001"/>
      <c r="F119" s="1001"/>
      <c r="G119" s="1001"/>
    </row>
    <row r="120" ht="13.5" thickBot="1"/>
    <row r="121" spans="2:7" ht="12.75">
      <c r="B121" s="1002" t="s">
        <v>476</v>
      </c>
      <c r="C121" s="1003"/>
      <c r="D121" s="1008" t="s">
        <v>495</v>
      </c>
      <c r="E121" s="1009"/>
      <c r="F121" s="1010"/>
      <c r="G121" s="1011" t="s">
        <v>480</v>
      </c>
    </row>
    <row r="122" spans="2:7" ht="12.75">
      <c r="B122" s="1004"/>
      <c r="C122" s="1005"/>
      <c r="D122" s="486">
        <v>2012</v>
      </c>
      <c r="E122" s="486">
        <v>2013</v>
      </c>
      <c r="F122" s="486">
        <v>2014</v>
      </c>
      <c r="G122" s="1012"/>
    </row>
    <row r="123" spans="2:7" ht="12.75">
      <c r="B123" s="1006"/>
      <c r="C123" s="1007"/>
      <c r="D123" s="487" t="s">
        <v>29</v>
      </c>
      <c r="E123" s="487" t="s">
        <v>29</v>
      </c>
      <c r="F123" s="487" t="s">
        <v>29</v>
      </c>
      <c r="G123" s="488" t="s">
        <v>29</v>
      </c>
    </row>
    <row r="124" spans="2:7" ht="15">
      <c r="B124" s="992" t="str">
        <f aca="true" t="shared" si="6" ref="B124:B130">B95</f>
        <v>Residential</v>
      </c>
      <c r="C124" s="993"/>
      <c r="D124" s="489">
        <f aca="true" t="shared" si="7" ref="D124:D130">G95</f>
        <v>101.1554110264261</v>
      </c>
      <c r="E124" s="490"/>
      <c r="F124" s="490"/>
      <c r="G124" s="491" t="str">
        <f aca="true" t="shared" si="8" ref="G124:G130">H95</f>
        <v>85 - 115</v>
      </c>
    </row>
    <row r="125" spans="2:7" ht="15">
      <c r="B125" s="992" t="str">
        <f t="shared" si="6"/>
        <v>GS &lt; 50 kW</v>
      </c>
      <c r="C125" s="993"/>
      <c r="D125" s="489">
        <f t="shared" si="7"/>
        <v>98.82616086883988</v>
      </c>
      <c r="E125" s="490"/>
      <c r="F125" s="490"/>
      <c r="G125" s="491" t="str">
        <f t="shared" si="8"/>
        <v>80 - 120</v>
      </c>
    </row>
    <row r="126" spans="2:7" ht="27" customHeight="1">
      <c r="B126" s="994" t="str">
        <f t="shared" si="6"/>
        <v>GS &gt; 50 kW </v>
      </c>
      <c r="C126" s="995"/>
      <c r="D126" s="489">
        <f t="shared" si="7"/>
        <v>98.11272494547856</v>
      </c>
      <c r="E126" s="490"/>
      <c r="F126" s="490"/>
      <c r="G126" s="491" t="str">
        <f t="shared" si="8"/>
        <v>80 - 120</v>
      </c>
    </row>
    <row r="127" spans="2:7" ht="15">
      <c r="B127" s="992" t="str">
        <f t="shared" si="6"/>
        <v>Large User</v>
      </c>
      <c r="C127" s="993"/>
      <c r="D127" s="489">
        <f t="shared" si="7"/>
        <v>100.16346464694665</v>
      </c>
      <c r="E127" s="490"/>
      <c r="F127" s="490"/>
      <c r="G127" s="491" t="str">
        <f t="shared" si="8"/>
        <v>85 - 115</v>
      </c>
    </row>
    <row r="128" spans="2:7" ht="15">
      <c r="B128" s="992" t="str">
        <f t="shared" si="6"/>
        <v>Street Lighting</v>
      </c>
      <c r="C128" s="993"/>
      <c r="D128" s="489">
        <f t="shared" si="7"/>
        <v>109.24267249982809</v>
      </c>
      <c r="E128" s="490"/>
      <c r="F128" s="490"/>
      <c r="G128" s="491" t="str">
        <f t="shared" si="8"/>
        <v>70 - 120</v>
      </c>
    </row>
    <row r="129" spans="2:7" ht="15">
      <c r="B129" s="992" t="str">
        <f t="shared" si="6"/>
        <v>Sentinel Lighting</v>
      </c>
      <c r="C129" s="993"/>
      <c r="D129" s="489">
        <f t="shared" si="7"/>
        <v>92.41089156571805</v>
      </c>
      <c r="E129" s="490"/>
      <c r="F129" s="490"/>
      <c r="G129" s="491" t="str">
        <f t="shared" si="8"/>
        <v>80 - 120</v>
      </c>
    </row>
    <row r="130" spans="2:7" ht="26.25" customHeight="1">
      <c r="B130" s="994" t="str">
        <f t="shared" si="6"/>
        <v>Unmetered Scattered Load (USL)</v>
      </c>
      <c r="C130" s="995"/>
      <c r="D130" s="489">
        <f t="shared" si="7"/>
        <v>100.64724758417019</v>
      </c>
      <c r="E130" s="490"/>
      <c r="F130" s="490"/>
      <c r="G130" s="491" t="str">
        <f t="shared" si="8"/>
        <v>80 - 120</v>
      </c>
    </row>
    <row r="131" spans="2:7" s="193" customFormat="1" ht="13.5" thickBot="1">
      <c r="B131" s="996"/>
      <c r="C131" s="997"/>
      <c r="D131" s="492"/>
      <c r="E131" s="492"/>
      <c r="F131" s="492"/>
      <c r="G131" s="493"/>
    </row>
    <row r="132" spans="2:3" s="193" customFormat="1" ht="27" customHeight="1">
      <c r="B132" s="998"/>
      <c r="C132" s="998"/>
    </row>
    <row r="133" spans="2:7" ht="12.75">
      <c r="B133" s="999" t="s">
        <v>496</v>
      </c>
      <c r="C133" s="999"/>
      <c r="D133" s="999"/>
      <c r="E133" s="999"/>
      <c r="F133" s="999"/>
      <c r="G133" s="999"/>
    </row>
    <row r="134" spans="2:7" ht="24.75" customHeight="1">
      <c r="B134" s="999"/>
      <c r="C134" s="999"/>
      <c r="D134" s="999"/>
      <c r="E134" s="999"/>
      <c r="F134" s="999"/>
      <c r="G134" s="999"/>
    </row>
    <row r="135" spans="2:7" ht="39" customHeight="1">
      <c r="B135" s="999"/>
      <c r="C135" s="999"/>
      <c r="D135" s="999"/>
      <c r="E135" s="999"/>
      <c r="F135" s="999"/>
      <c r="G135" s="999"/>
    </row>
  </sheetData>
  <sheetProtection/>
  <mergeCells count="73">
    <mergeCell ref="B9:G9"/>
    <mergeCell ref="B10:G10"/>
    <mergeCell ref="B16:C16"/>
    <mergeCell ref="B17:C17"/>
    <mergeCell ref="B18:C18"/>
    <mergeCell ref="B19:C19"/>
    <mergeCell ref="B20:C20"/>
    <mergeCell ref="B21:C21"/>
    <mergeCell ref="B22:C22"/>
    <mergeCell ref="B23:C23"/>
    <mergeCell ref="B24:C24"/>
    <mergeCell ref="B25:C25"/>
    <mergeCell ref="B31:G32"/>
    <mergeCell ref="B34:G35"/>
    <mergeCell ref="B38:G38"/>
    <mergeCell ref="B40:G41"/>
    <mergeCell ref="B43:G43"/>
    <mergeCell ref="B45:G46"/>
    <mergeCell ref="C48:G48"/>
    <mergeCell ref="B50:C50"/>
    <mergeCell ref="G51:G52"/>
    <mergeCell ref="B53:C53"/>
    <mergeCell ref="B54:C54"/>
    <mergeCell ref="B55:C55"/>
    <mergeCell ref="B51:C52"/>
    <mergeCell ref="D51:D52"/>
    <mergeCell ref="E51:E52"/>
    <mergeCell ref="F51:F52"/>
    <mergeCell ref="B56:C56"/>
    <mergeCell ref="B57:C57"/>
    <mergeCell ref="B58:C58"/>
    <mergeCell ref="B59:C59"/>
    <mergeCell ref="B60:C60"/>
    <mergeCell ref="B66:G67"/>
    <mergeCell ref="B69:G70"/>
    <mergeCell ref="B72:C72"/>
    <mergeCell ref="B74:G74"/>
    <mergeCell ref="B76:G77"/>
    <mergeCell ref="B81:G83"/>
    <mergeCell ref="B84:C84"/>
    <mergeCell ref="B86:G87"/>
    <mergeCell ref="C89:G89"/>
    <mergeCell ref="B91:C93"/>
    <mergeCell ref="H91:H93"/>
    <mergeCell ref="F92:F93"/>
    <mergeCell ref="G92:G93"/>
    <mergeCell ref="B94:C94"/>
    <mergeCell ref="B95:C95"/>
    <mergeCell ref="B96:C96"/>
    <mergeCell ref="B97:C97"/>
    <mergeCell ref="B98:C98"/>
    <mergeCell ref="B99:C99"/>
    <mergeCell ref="B100:C100"/>
    <mergeCell ref="B101:C101"/>
    <mergeCell ref="B107:G108"/>
    <mergeCell ref="B110:G111"/>
    <mergeCell ref="B113:G113"/>
    <mergeCell ref="B115:G115"/>
    <mergeCell ref="B117:G117"/>
    <mergeCell ref="C119:G119"/>
    <mergeCell ref="B121:C123"/>
    <mergeCell ref="D121:F121"/>
    <mergeCell ref="G121:G122"/>
    <mergeCell ref="B130:C130"/>
    <mergeCell ref="B131:C131"/>
    <mergeCell ref="B132:C132"/>
    <mergeCell ref="B133:G135"/>
    <mergeCell ref="B128:C128"/>
    <mergeCell ref="B129:C129"/>
    <mergeCell ref="B124:C124"/>
    <mergeCell ref="B125:C125"/>
    <mergeCell ref="B126:C126"/>
    <mergeCell ref="B127:C127"/>
  </mergeCells>
  <dataValidations count="1">
    <dataValidation allowBlank="1" showInputMessage="1" showErrorMessage="1" promptTitle="Date Format" prompt="E.g:  &quot;August 1, 2011&quot;" sqref="G7"/>
  </dataValidations>
  <printOptions/>
  <pageMargins left="0.7" right="0.7" top="0.75" bottom="0.75" header="0.3" footer="0.3"/>
  <pageSetup horizontalDpi="600" verticalDpi="600" orientation="portrait" scale="65" r:id="rId1"/>
  <rowBreaks count="2" manualBreakCount="2">
    <brk id="47" max="255" man="1"/>
    <brk id="88" min="1" max="8" man="1"/>
  </rowBreaks>
</worksheet>
</file>

<file path=xl/worksheets/sheet21.xml><?xml version="1.0" encoding="utf-8"?>
<worksheet xmlns="http://schemas.openxmlformats.org/spreadsheetml/2006/main" xmlns:r="http://schemas.openxmlformats.org/officeDocument/2006/relationships">
  <sheetPr>
    <pageSetUpPr fitToPage="1"/>
  </sheetPr>
  <dimension ref="B1:I73"/>
  <sheetViews>
    <sheetView showGridLines="0" zoomScalePageLayoutView="0" workbookViewId="0" topLeftCell="A1">
      <selection activeCell="I4" sqref="I4"/>
    </sheetView>
  </sheetViews>
  <sheetFormatPr defaultColWidth="9.140625" defaultRowHeight="15"/>
  <cols>
    <col min="1" max="1" width="2.7109375" style="1" customWidth="1"/>
    <col min="2" max="2" width="8.7109375" style="1" customWidth="1"/>
    <col min="3" max="3" width="30.7109375" style="1" customWidth="1"/>
    <col min="4" max="4" width="15.140625" style="1" bestFit="1" customWidth="1"/>
    <col min="5" max="6" width="14.00390625" style="1" bestFit="1" customWidth="1"/>
    <col min="7" max="7" width="15.00390625" style="1" bestFit="1" customWidth="1"/>
    <col min="8" max="8" width="12.7109375" style="1" customWidth="1"/>
    <col min="9" max="9" width="14.7109375" style="1" customWidth="1"/>
    <col min="10" max="16384" width="9.140625" style="1" customWidth="1"/>
  </cols>
  <sheetData>
    <row r="1" spans="8:9" ht="12.75">
      <c r="H1" s="2" t="s">
        <v>10</v>
      </c>
      <c r="I1" s="451" t="s">
        <v>11</v>
      </c>
    </row>
    <row r="2" spans="8:9" ht="12.75">
      <c r="H2" s="2" t="s">
        <v>12</v>
      </c>
      <c r="I2" s="710" t="s">
        <v>619</v>
      </c>
    </row>
    <row r="3" spans="8:9" ht="12.75">
      <c r="H3" s="2" t="s">
        <v>14</v>
      </c>
      <c r="I3" s="710" t="s">
        <v>620</v>
      </c>
    </row>
    <row r="4" spans="8:9" ht="12.75">
      <c r="H4" s="2" t="s">
        <v>16</v>
      </c>
      <c r="I4" s="710" t="s">
        <v>668</v>
      </c>
    </row>
    <row r="5" spans="8:9" ht="12.75">
      <c r="H5" s="2" t="s">
        <v>18</v>
      </c>
      <c r="I5" s="350" t="s">
        <v>498</v>
      </c>
    </row>
    <row r="6" ht="12.75">
      <c r="H6" s="2"/>
    </row>
    <row r="7" spans="8:9" ht="12.75">
      <c r="H7" s="2" t="s">
        <v>19</v>
      </c>
      <c r="I7" s="6">
        <v>41033</v>
      </c>
    </row>
    <row r="9" spans="2:9" ht="18">
      <c r="B9" s="919" t="s">
        <v>499</v>
      </c>
      <c r="C9" s="919"/>
      <c r="D9" s="919"/>
      <c r="E9" s="919"/>
      <c r="F9" s="919"/>
      <c r="G9" s="919"/>
      <c r="H9" s="919"/>
      <c r="I9" s="919"/>
    </row>
    <row r="10" spans="2:9" ht="18">
      <c r="B10" s="919" t="s">
        <v>500</v>
      </c>
      <c r="C10" s="919"/>
      <c r="D10" s="919"/>
      <c r="E10" s="919"/>
      <c r="F10" s="919"/>
      <c r="G10" s="919"/>
      <c r="H10" s="919"/>
      <c r="I10" s="919"/>
    </row>
    <row r="12" spans="2:9" ht="12.75">
      <c r="B12" s="1060"/>
      <c r="C12" s="1060"/>
      <c r="D12" s="1060"/>
      <c r="E12" s="1060"/>
      <c r="F12" s="1060"/>
      <c r="G12" s="1060"/>
      <c r="H12" s="1060"/>
      <c r="I12" s="1060"/>
    </row>
    <row r="13" ht="13.5" thickBot="1"/>
    <row r="14" spans="2:7" ht="12.75">
      <c r="B14" s="1061"/>
      <c r="C14" s="1062"/>
      <c r="D14" s="494" t="s">
        <v>501</v>
      </c>
      <c r="E14" s="495"/>
      <c r="F14" s="496"/>
      <c r="G14" s="1065" t="s">
        <v>502</v>
      </c>
    </row>
    <row r="15" spans="2:7" ht="12.75">
      <c r="B15" s="1063"/>
      <c r="C15" s="1064"/>
      <c r="D15" s="373">
        <v>2009</v>
      </c>
      <c r="E15" s="373">
        <v>2010</v>
      </c>
      <c r="F15" s="373">
        <v>2011</v>
      </c>
      <c r="G15" s="1066"/>
    </row>
    <row r="16" spans="2:7" ht="12.75">
      <c r="B16" s="497"/>
      <c r="C16" s="498" t="s">
        <v>503</v>
      </c>
      <c r="D16" s="499"/>
      <c r="E16" s="499"/>
      <c r="F16" s="499"/>
      <c r="G16" s="500"/>
    </row>
    <row r="17" spans="2:7" ht="25.5">
      <c r="B17" s="501" t="s">
        <v>504</v>
      </c>
      <c r="C17" s="217" t="s">
        <v>505</v>
      </c>
      <c r="D17" s="218" t="s">
        <v>506</v>
      </c>
      <c r="E17" s="218" t="s">
        <v>506</v>
      </c>
      <c r="F17" s="218" t="s">
        <v>506</v>
      </c>
      <c r="G17" s="502">
        <f>IF(SUM(D17:F17)=0,0,AVERAGE(D17:F17))</f>
        <v>0</v>
      </c>
    </row>
    <row r="18" spans="2:7" ht="25.5">
      <c r="B18" s="501" t="s">
        <v>507</v>
      </c>
      <c r="C18" s="217" t="s">
        <v>508</v>
      </c>
      <c r="D18" s="503">
        <v>8238568148</v>
      </c>
      <c r="E18" s="503">
        <v>8611402381</v>
      </c>
      <c r="F18" s="503">
        <v>8658416020</v>
      </c>
      <c r="G18" s="504">
        <f>IF(SUM(D18:F18)=0,0,AVERAGE(D18:F18))</f>
        <v>8502795516.333333</v>
      </c>
    </row>
    <row r="19" spans="2:7" ht="38.25">
      <c r="B19" s="501" t="s">
        <v>509</v>
      </c>
      <c r="C19" s="217" t="s">
        <v>510</v>
      </c>
      <c r="D19" s="503">
        <v>27205480</v>
      </c>
      <c r="E19" s="503">
        <v>27609737</v>
      </c>
      <c r="F19" s="503">
        <v>27116405</v>
      </c>
      <c r="G19" s="504">
        <f>IF(SUM(D19:F19)=0,0,AVERAGE(D19:F19))</f>
        <v>27310540.666666668</v>
      </c>
    </row>
    <row r="20" spans="2:7" ht="25.5">
      <c r="B20" s="501" t="s">
        <v>511</v>
      </c>
      <c r="C20" s="217" t="s">
        <v>512</v>
      </c>
      <c r="D20" s="505">
        <f>D18-D19</f>
        <v>8211362668</v>
      </c>
      <c r="E20" s="505">
        <f>E18-E19</f>
        <v>8583792644</v>
      </c>
      <c r="F20" s="505">
        <f>F18-F19</f>
        <v>8631299615</v>
      </c>
      <c r="G20" s="506">
        <f>G18-G19</f>
        <v>8475484975.666666</v>
      </c>
    </row>
    <row r="21" spans="2:7" ht="14.25" customHeight="1">
      <c r="B21" s="501" t="s">
        <v>513</v>
      </c>
      <c r="C21" s="217" t="s">
        <v>514</v>
      </c>
      <c r="D21" s="503">
        <v>8039883040</v>
      </c>
      <c r="E21" s="503">
        <v>8334777460</v>
      </c>
      <c r="F21" s="503">
        <v>8394821657</v>
      </c>
      <c r="G21" s="504">
        <f>IF(SUM(D21:F21)=0,0,AVERAGE(D21:F21))</f>
        <v>8256494052.333333</v>
      </c>
    </row>
    <row r="22" spans="2:7" ht="38.25">
      <c r="B22" s="501" t="s">
        <v>515</v>
      </c>
      <c r="C22" s="217" t="s">
        <v>516</v>
      </c>
      <c r="D22" s="503">
        <f>+D19</f>
        <v>27205480</v>
      </c>
      <c r="E22" s="503">
        <f>+E19</f>
        <v>27609737</v>
      </c>
      <c r="F22" s="503">
        <f>+F19</f>
        <v>27116405</v>
      </c>
      <c r="G22" s="504">
        <f>IF(SUM(D22:F22)=0,0,AVERAGE(D22:F22))</f>
        <v>27310540.666666668</v>
      </c>
    </row>
    <row r="23" spans="2:7" ht="25.5">
      <c r="B23" s="501" t="s">
        <v>517</v>
      </c>
      <c r="C23" s="217" t="s">
        <v>518</v>
      </c>
      <c r="D23" s="505">
        <f>D21-D22</f>
        <v>8012677560</v>
      </c>
      <c r="E23" s="505">
        <f>E21-E22</f>
        <v>8307167723</v>
      </c>
      <c r="F23" s="505">
        <f>F21-F22</f>
        <v>8367705252</v>
      </c>
      <c r="G23" s="506">
        <f>G21-G22</f>
        <v>8229183511.666666</v>
      </c>
    </row>
    <row r="24" spans="2:7" ht="25.5">
      <c r="B24" s="501" t="s">
        <v>424</v>
      </c>
      <c r="C24" s="217" t="s">
        <v>519</v>
      </c>
      <c r="D24" s="507">
        <f>IF(D23=0,"",D20/D23)</f>
        <v>1.0247963438578702</v>
      </c>
      <c r="E24" s="507">
        <f>IF(E23=0,"",E20/E23)</f>
        <v>1.0332995468761406</v>
      </c>
      <c r="F24" s="507">
        <f>IF(F23=0,"",F20/F23)</f>
        <v>1.0315013919660945</v>
      </c>
      <c r="G24" s="508">
        <f>ROUND(IF(G23=0,"",G20/G23),4)</f>
        <v>1.0299</v>
      </c>
    </row>
    <row r="25" spans="2:7" ht="13.5" customHeight="1">
      <c r="B25" s="509"/>
      <c r="C25" s="510" t="s">
        <v>520</v>
      </c>
      <c r="D25" s="511"/>
      <c r="E25" s="511"/>
      <c r="F25" s="511"/>
      <c r="G25" s="512"/>
    </row>
    <row r="26" spans="2:7" ht="12.75">
      <c r="B26" s="501" t="s">
        <v>497</v>
      </c>
      <c r="C26" s="217" t="s">
        <v>521</v>
      </c>
      <c r="D26" s="218">
        <v>1.0045</v>
      </c>
      <c r="E26" s="218">
        <v>1.0045</v>
      </c>
      <c r="F26" s="218">
        <v>1.0045</v>
      </c>
      <c r="G26" s="513">
        <f>IF(SUM(D26:F26)=0,0,AVERAGE(D26:F26))</f>
        <v>1.0045</v>
      </c>
    </row>
    <row r="27" spans="2:7" ht="12.75">
      <c r="B27" s="509"/>
      <c r="C27" s="510" t="s">
        <v>522</v>
      </c>
      <c r="D27" s="511"/>
      <c r="E27" s="511"/>
      <c r="F27" s="511"/>
      <c r="G27" s="512"/>
    </row>
    <row r="28" spans="2:7" ht="15.75" thickBot="1">
      <c r="B28" s="514" t="s">
        <v>523</v>
      </c>
      <c r="C28" s="228" t="s">
        <v>524</v>
      </c>
      <c r="D28" s="515">
        <f>IF(D24="","",D24*D26)</f>
        <v>1.0294079274052306</v>
      </c>
      <c r="E28" s="515">
        <f>IF(E24="","",E24*E26)</f>
        <v>1.037949394837083</v>
      </c>
      <c r="F28" s="515">
        <f>IF(F24="","",F24*F26)</f>
        <v>1.036143148229942</v>
      </c>
      <c r="G28" s="516">
        <f>IF(G24="","",G24*G26)</f>
        <v>1.03453455</v>
      </c>
    </row>
    <row r="30" ht="12.75">
      <c r="B30" s="32" t="s">
        <v>440</v>
      </c>
    </row>
    <row r="31" ht="7.5" customHeight="1"/>
    <row r="33" spans="2:9" ht="12.75">
      <c r="B33" s="206" t="s">
        <v>504</v>
      </c>
      <c r="C33" s="1014" t="s">
        <v>525</v>
      </c>
      <c r="D33" s="1014"/>
      <c r="E33" s="1014"/>
      <c r="F33" s="1014"/>
      <c r="G33" s="1014"/>
      <c r="H33" s="1014"/>
      <c r="I33" s="1014"/>
    </row>
    <row r="34" spans="2:9" ht="12.75">
      <c r="B34" s="517"/>
      <c r="C34" s="1014"/>
      <c r="D34" s="1014"/>
      <c r="E34" s="1014"/>
      <c r="F34" s="1014"/>
      <c r="G34" s="1014"/>
      <c r="H34" s="1014"/>
      <c r="I34" s="1014"/>
    </row>
    <row r="35" spans="2:9" ht="12.75">
      <c r="B35" s="517"/>
      <c r="C35" s="1014"/>
      <c r="D35" s="1014"/>
      <c r="E35" s="1014"/>
      <c r="F35" s="1014"/>
      <c r="G35" s="1014"/>
      <c r="H35" s="1014"/>
      <c r="I35" s="1014"/>
    </row>
    <row r="36" spans="2:9" ht="7.5" customHeight="1">
      <c r="B36" s="517"/>
      <c r="C36" s="463"/>
      <c r="D36" s="463"/>
      <c r="E36" s="463"/>
      <c r="F36" s="463"/>
      <c r="G36" s="463"/>
      <c r="H36" s="463"/>
      <c r="I36" s="463"/>
    </row>
    <row r="37" spans="2:9" ht="12.75">
      <c r="B37" s="517"/>
      <c r="C37" s="1014" t="s">
        <v>526</v>
      </c>
      <c r="D37" s="1014"/>
      <c r="E37" s="1014"/>
      <c r="F37" s="1014"/>
      <c r="G37" s="1014"/>
      <c r="H37" s="1014"/>
      <c r="I37" s="1014"/>
    </row>
    <row r="38" spans="2:9" ht="12.75">
      <c r="B38" s="517"/>
      <c r="C38" s="1014"/>
      <c r="D38" s="1014"/>
      <c r="E38" s="1014"/>
      <c r="F38" s="1014"/>
      <c r="G38" s="1014"/>
      <c r="H38" s="1014"/>
      <c r="I38" s="1014"/>
    </row>
    <row r="39" spans="2:9" ht="12.75">
      <c r="B39" s="517"/>
      <c r="C39" s="1014"/>
      <c r="D39" s="1014"/>
      <c r="E39" s="1014"/>
      <c r="F39" s="1014"/>
      <c r="G39" s="1014"/>
      <c r="H39" s="1014"/>
      <c r="I39" s="1014"/>
    </row>
    <row r="40" spans="2:9" ht="12.75">
      <c r="B40" s="517"/>
      <c r="C40" s="1014"/>
      <c r="D40" s="1014"/>
      <c r="E40" s="1014"/>
      <c r="F40" s="1014"/>
      <c r="G40" s="1014"/>
      <c r="H40" s="1014"/>
      <c r="I40" s="1014"/>
    </row>
    <row r="41" spans="2:9" ht="7.5" customHeight="1">
      <c r="B41" s="517"/>
      <c r="C41" s="463"/>
      <c r="D41" s="463"/>
      <c r="E41" s="463"/>
      <c r="F41" s="463"/>
      <c r="G41" s="463"/>
      <c r="H41" s="463"/>
      <c r="I41" s="463"/>
    </row>
    <row r="42" spans="2:9" ht="12.75">
      <c r="B42" s="517"/>
      <c r="C42" s="463" t="s">
        <v>527</v>
      </c>
      <c r="D42" s="463"/>
      <c r="E42" s="463"/>
      <c r="F42" s="463"/>
      <c r="G42" s="463"/>
      <c r="H42" s="463"/>
      <c r="I42" s="463"/>
    </row>
    <row r="43" spans="2:9" ht="7.5" customHeight="1">
      <c r="B43" s="517"/>
      <c r="C43" s="463"/>
      <c r="D43" s="463"/>
      <c r="E43" s="463"/>
      <c r="F43" s="463"/>
      <c r="G43" s="463"/>
      <c r="H43" s="463"/>
      <c r="I43" s="463"/>
    </row>
    <row r="44" spans="2:9" ht="12.75">
      <c r="B44" s="206" t="s">
        <v>507</v>
      </c>
      <c r="C44" s="1014" t="s">
        <v>528</v>
      </c>
      <c r="D44" s="1014"/>
      <c r="E44" s="1014"/>
      <c r="F44" s="1014"/>
      <c r="G44" s="1014"/>
      <c r="H44" s="1014"/>
      <c r="I44" s="1014"/>
    </row>
    <row r="45" spans="2:9" ht="12.75">
      <c r="B45" s="517"/>
      <c r="C45" s="1014"/>
      <c r="D45" s="1014"/>
      <c r="E45" s="1014"/>
      <c r="F45" s="1014"/>
      <c r="G45" s="1014"/>
      <c r="H45" s="1014"/>
      <c r="I45" s="1014"/>
    </row>
    <row r="46" spans="2:9" ht="12.75">
      <c r="B46" s="517"/>
      <c r="C46" s="1014"/>
      <c r="D46" s="1014"/>
      <c r="E46" s="1014"/>
      <c r="F46" s="1014"/>
      <c r="G46" s="1014"/>
      <c r="H46" s="1014"/>
      <c r="I46" s="1014"/>
    </row>
    <row r="47" spans="2:9" ht="7.5" customHeight="1">
      <c r="B47" s="517"/>
      <c r="C47" s="463"/>
      <c r="D47" s="463"/>
      <c r="E47" s="463"/>
      <c r="F47" s="463"/>
      <c r="G47" s="463"/>
      <c r="H47" s="463"/>
      <c r="I47" s="463"/>
    </row>
    <row r="48" spans="2:9" ht="12.75">
      <c r="B48" s="517"/>
      <c r="C48" s="1014" t="s">
        <v>529</v>
      </c>
      <c r="D48" s="1014"/>
      <c r="E48" s="1014"/>
      <c r="F48" s="1014"/>
      <c r="G48" s="1014"/>
      <c r="H48" s="1014"/>
      <c r="I48" s="1014"/>
    </row>
    <row r="49" spans="2:9" ht="12.75">
      <c r="B49" s="517"/>
      <c r="C49" s="1014"/>
      <c r="D49" s="1014"/>
      <c r="E49" s="1014"/>
      <c r="F49" s="1014"/>
      <c r="G49" s="1014"/>
      <c r="H49" s="1014"/>
      <c r="I49" s="1014"/>
    </row>
    <row r="50" spans="2:9" ht="12.75">
      <c r="B50" s="517"/>
      <c r="C50" s="1014"/>
      <c r="D50" s="1014"/>
      <c r="E50" s="1014"/>
      <c r="F50" s="1014"/>
      <c r="G50" s="1014"/>
      <c r="H50" s="1014"/>
      <c r="I50" s="1014"/>
    </row>
    <row r="51" spans="2:9" ht="12.75">
      <c r="B51" s="517"/>
      <c r="C51" s="1014"/>
      <c r="D51" s="1014"/>
      <c r="E51" s="1014"/>
      <c r="F51" s="1014"/>
      <c r="G51" s="1014"/>
      <c r="H51" s="1014"/>
      <c r="I51" s="1014"/>
    </row>
    <row r="52" spans="2:9" ht="7.5" customHeight="1">
      <c r="B52" s="517"/>
      <c r="C52" s="463"/>
      <c r="D52" s="463"/>
      <c r="E52" s="463"/>
      <c r="F52" s="463"/>
      <c r="G52" s="463"/>
      <c r="H52" s="463"/>
      <c r="I52" s="463"/>
    </row>
    <row r="53" spans="2:9" ht="12.75">
      <c r="B53" s="517"/>
      <c r="C53" s="1000" t="s">
        <v>527</v>
      </c>
      <c r="D53" s="1000"/>
      <c r="E53" s="1000"/>
      <c r="F53" s="1000"/>
      <c r="G53" s="1000"/>
      <c r="H53" s="1000"/>
      <c r="I53" s="1000"/>
    </row>
    <row r="54" spans="2:9" ht="7.5" customHeight="1">
      <c r="B54" s="517"/>
      <c r="C54" s="463"/>
      <c r="D54" s="463"/>
      <c r="E54" s="463"/>
      <c r="F54" s="463"/>
      <c r="G54" s="463"/>
      <c r="H54" s="463"/>
      <c r="I54" s="463"/>
    </row>
    <row r="55" spans="2:9" ht="12.75">
      <c r="B55" s="517"/>
      <c r="C55" s="1014" t="s">
        <v>530</v>
      </c>
      <c r="D55" s="1014"/>
      <c r="E55" s="1014"/>
      <c r="F55" s="1014"/>
      <c r="G55" s="1014"/>
      <c r="H55" s="1014"/>
      <c r="I55" s="1014"/>
    </row>
    <row r="56" spans="2:9" ht="12.75">
      <c r="B56" s="517"/>
      <c r="C56" s="1014"/>
      <c r="D56" s="1014"/>
      <c r="E56" s="1014"/>
      <c r="F56" s="1014"/>
      <c r="G56" s="1014"/>
      <c r="H56" s="1014"/>
      <c r="I56" s="1014"/>
    </row>
    <row r="57" spans="2:9" ht="7.5" customHeight="1">
      <c r="B57" s="517"/>
      <c r="C57" s="463"/>
      <c r="D57" s="463"/>
      <c r="E57" s="463"/>
      <c r="F57" s="463"/>
      <c r="G57" s="463"/>
      <c r="H57" s="463"/>
      <c r="I57" s="463"/>
    </row>
    <row r="58" spans="2:9" ht="12.75">
      <c r="B58" s="206" t="s">
        <v>509</v>
      </c>
      <c r="C58" s="1014" t="s">
        <v>531</v>
      </c>
      <c r="D58" s="1014"/>
      <c r="E58" s="1014"/>
      <c r="F58" s="1014"/>
      <c r="G58" s="1014"/>
      <c r="H58" s="1014"/>
      <c r="I58" s="1014"/>
    </row>
    <row r="59" spans="2:9" ht="12.75">
      <c r="B59" s="517"/>
      <c r="C59" s="1014"/>
      <c r="D59" s="1014"/>
      <c r="E59" s="1014"/>
      <c r="F59" s="1014"/>
      <c r="G59" s="1014"/>
      <c r="H59" s="1014"/>
      <c r="I59" s="1014"/>
    </row>
    <row r="60" spans="2:9" ht="7.5" customHeight="1">
      <c r="B60" s="517"/>
      <c r="C60" s="463"/>
      <c r="D60" s="463"/>
      <c r="E60" s="463"/>
      <c r="F60" s="463"/>
      <c r="G60" s="463"/>
      <c r="H60" s="463"/>
      <c r="I60" s="463"/>
    </row>
    <row r="61" spans="2:9" ht="12.75">
      <c r="B61" s="206" t="s">
        <v>513</v>
      </c>
      <c r="C61" s="1014" t="s">
        <v>532</v>
      </c>
      <c r="D61" s="1014"/>
      <c r="E61" s="1014"/>
      <c r="F61" s="1014"/>
      <c r="G61" s="1014"/>
      <c r="H61" s="1014"/>
      <c r="I61" s="1014"/>
    </row>
    <row r="62" spans="2:9" ht="12.75">
      <c r="B62" s="517"/>
      <c r="C62" s="1014"/>
      <c r="D62" s="1014"/>
      <c r="E62" s="1014"/>
      <c r="F62" s="1014"/>
      <c r="G62" s="1014"/>
      <c r="H62" s="1014"/>
      <c r="I62" s="1014"/>
    </row>
    <row r="63" spans="2:9" ht="12.75">
      <c r="B63" s="517"/>
      <c r="C63" s="463"/>
      <c r="D63" s="463"/>
      <c r="E63" s="463"/>
      <c r="F63" s="463"/>
      <c r="G63" s="463"/>
      <c r="H63" s="463"/>
      <c r="I63" s="463"/>
    </row>
    <row r="64" spans="2:9" ht="12.75">
      <c r="B64" s="206" t="s">
        <v>533</v>
      </c>
      <c r="C64" s="1000" t="s">
        <v>534</v>
      </c>
      <c r="D64" s="1000"/>
      <c r="E64" s="1000"/>
      <c r="F64" s="1000"/>
      <c r="G64" s="1000"/>
      <c r="H64" s="1000"/>
      <c r="I64" s="1000"/>
    </row>
    <row r="65" spans="2:9" ht="12.75">
      <c r="B65" s="517"/>
      <c r="C65" s="463"/>
      <c r="D65" s="463"/>
      <c r="E65" s="463"/>
      <c r="F65" s="463"/>
      <c r="G65" s="463"/>
      <c r="H65" s="463"/>
      <c r="I65" s="463"/>
    </row>
    <row r="66" spans="2:9" ht="12.75">
      <c r="B66" s="206" t="s">
        <v>497</v>
      </c>
      <c r="C66" s="1000" t="s">
        <v>535</v>
      </c>
      <c r="D66" s="1000"/>
      <c r="E66" s="1000"/>
      <c r="F66" s="1000"/>
      <c r="G66" s="1000"/>
      <c r="H66" s="1000"/>
      <c r="I66" s="1000"/>
    </row>
    <row r="67" spans="2:9" ht="12.75">
      <c r="B67" s="463"/>
      <c r="C67" s="463"/>
      <c r="D67" s="463"/>
      <c r="E67" s="463"/>
      <c r="F67" s="463"/>
      <c r="G67" s="463"/>
      <c r="H67" s="463"/>
      <c r="I67" s="463"/>
    </row>
    <row r="68" spans="2:9" ht="12.75">
      <c r="B68" s="463"/>
      <c r="C68" s="1014" t="s">
        <v>536</v>
      </c>
      <c r="D68" s="1014"/>
      <c r="E68" s="1014"/>
      <c r="F68" s="1014"/>
      <c r="G68" s="1014"/>
      <c r="H68" s="1014"/>
      <c r="I68" s="463"/>
    </row>
    <row r="69" spans="2:9" ht="12.75">
      <c r="B69" s="463"/>
      <c r="C69" s="1014"/>
      <c r="D69" s="1014"/>
      <c r="E69" s="1014"/>
      <c r="F69" s="1014"/>
      <c r="G69" s="1014"/>
      <c r="H69" s="1014"/>
      <c r="I69" s="463"/>
    </row>
    <row r="70" spans="2:9" ht="12.75">
      <c r="B70" s="463"/>
      <c r="C70" s="1014"/>
      <c r="D70" s="1014"/>
      <c r="E70" s="1014"/>
      <c r="F70" s="1014"/>
      <c r="G70" s="1014"/>
      <c r="H70" s="1014"/>
      <c r="I70" s="463"/>
    </row>
    <row r="71" spans="2:9" ht="12.75">
      <c r="B71" s="463"/>
      <c r="C71" s="463"/>
      <c r="D71" s="463"/>
      <c r="E71" s="463"/>
      <c r="F71" s="463"/>
      <c r="G71" s="463"/>
      <c r="H71" s="463"/>
      <c r="I71" s="463"/>
    </row>
    <row r="72" spans="3:9" ht="12.75">
      <c r="C72" s="1000" t="s">
        <v>537</v>
      </c>
      <c r="D72" s="1059"/>
      <c r="E72" s="1059"/>
      <c r="F72" s="1059"/>
      <c r="G72" s="1059"/>
      <c r="H72" s="1059"/>
      <c r="I72" s="1059"/>
    </row>
    <row r="73" ht="12.75">
      <c r="C73" s="1" t="s">
        <v>538</v>
      </c>
    </row>
  </sheetData>
  <sheetProtection/>
  <mergeCells count="17">
    <mergeCell ref="C58:I59"/>
    <mergeCell ref="B9:I9"/>
    <mergeCell ref="B10:I10"/>
    <mergeCell ref="B12:I12"/>
    <mergeCell ref="B14:C15"/>
    <mergeCell ref="G14:G15"/>
    <mergeCell ref="C33:I35"/>
    <mergeCell ref="C72:I72"/>
    <mergeCell ref="C37:I40"/>
    <mergeCell ref="C44:I46"/>
    <mergeCell ref="C48:I51"/>
    <mergeCell ref="C53:I53"/>
    <mergeCell ref="C55:I56"/>
    <mergeCell ref="C61:I62"/>
    <mergeCell ref="C64:I64"/>
    <mergeCell ref="C66:I66"/>
    <mergeCell ref="C68:H70"/>
  </mergeCells>
  <dataValidations count="1">
    <dataValidation allowBlank="1" showInputMessage="1" showErrorMessage="1" promptTitle="Date Format" prompt="E.g:  &quot;August 1, 2011&quot;" sqref="I7"/>
  </dataValidations>
  <printOptions/>
  <pageMargins left="0.75" right="0.55" top="0.53" bottom="0.38" header="0.5" footer="0.21"/>
  <pageSetup fitToHeight="0" fitToWidth="1" horizontalDpi="600" verticalDpi="600" orientation="portrait" scale="72" r:id="rId1"/>
</worksheet>
</file>

<file path=xl/worksheets/sheet22.xml><?xml version="1.0" encoding="utf-8"?>
<worksheet xmlns="http://schemas.openxmlformats.org/spreadsheetml/2006/main" xmlns:r="http://schemas.openxmlformats.org/officeDocument/2006/relationships">
  <sheetPr>
    <pageSetUpPr fitToPage="1"/>
  </sheetPr>
  <dimension ref="A1:H16"/>
  <sheetViews>
    <sheetView tabSelected="1" workbookViewId="0" topLeftCell="A1">
      <selection activeCell="C38" sqref="C38"/>
    </sheetView>
  </sheetViews>
  <sheetFormatPr defaultColWidth="9.140625" defaultRowHeight="15"/>
  <cols>
    <col min="1" max="1" width="25.57421875" style="0" customWidth="1"/>
    <col min="7" max="7" width="12.7109375" style="0" bestFit="1" customWidth="1"/>
    <col min="8" max="8" width="13.57421875" style="0" bestFit="1" customWidth="1"/>
  </cols>
  <sheetData>
    <row r="1" spans="1:8" ht="15">
      <c r="A1" s="675"/>
      <c r="B1" s="675"/>
      <c r="C1" s="675"/>
      <c r="D1" s="675"/>
      <c r="E1" s="675"/>
      <c r="F1" s="675"/>
      <c r="G1" s="698"/>
      <c r="H1" s="677"/>
    </row>
    <row r="2" spans="1:8" ht="15">
      <c r="A2" s="675"/>
      <c r="B2" s="675"/>
      <c r="C2" s="675"/>
      <c r="D2" s="675"/>
      <c r="E2" s="675"/>
      <c r="F2" s="675"/>
      <c r="G2" s="698" t="s">
        <v>10</v>
      </c>
      <c r="H2" s="1136" t="s">
        <v>11</v>
      </c>
    </row>
    <row r="3" spans="1:8" ht="15">
      <c r="A3" s="675"/>
      <c r="B3" s="675"/>
      <c r="C3" s="675"/>
      <c r="D3" s="675"/>
      <c r="E3" s="675"/>
      <c r="F3" s="675"/>
      <c r="G3" s="698" t="s">
        <v>12</v>
      </c>
      <c r="H3" s="1136" t="s">
        <v>307</v>
      </c>
    </row>
    <row r="4" spans="1:8" ht="15">
      <c r="A4" s="675"/>
      <c r="B4" s="675"/>
      <c r="C4" s="675"/>
      <c r="D4" s="675"/>
      <c r="E4" s="675"/>
      <c r="F4" s="675"/>
      <c r="G4" s="698" t="s">
        <v>14</v>
      </c>
      <c r="H4" s="1136" t="s">
        <v>620</v>
      </c>
    </row>
    <row r="5" spans="1:8" ht="15">
      <c r="A5" s="675"/>
      <c r="B5" s="675"/>
      <c r="C5" s="675"/>
      <c r="D5" s="675"/>
      <c r="E5" s="675"/>
      <c r="F5" s="675"/>
      <c r="G5" s="698" t="s">
        <v>16</v>
      </c>
      <c r="H5" s="1136" t="s">
        <v>308</v>
      </c>
    </row>
    <row r="6" spans="1:8" ht="15">
      <c r="A6" s="675"/>
      <c r="B6" s="675"/>
      <c r="C6" s="675"/>
      <c r="D6" s="675"/>
      <c r="E6" s="675"/>
      <c r="F6" s="675"/>
      <c r="G6" s="698" t="s">
        <v>18</v>
      </c>
      <c r="H6" s="1136" t="s">
        <v>498</v>
      </c>
    </row>
    <row r="7" spans="1:8" ht="15">
      <c r="A7" s="675"/>
      <c r="B7" s="675"/>
      <c r="C7" s="675"/>
      <c r="D7" s="675"/>
      <c r="E7" s="675"/>
      <c r="F7" s="675"/>
      <c r="G7" s="698"/>
      <c r="H7" s="675"/>
    </row>
    <row r="8" spans="1:8" ht="15">
      <c r="A8" s="675"/>
      <c r="B8" s="675"/>
      <c r="C8" s="675"/>
      <c r="D8" s="675"/>
      <c r="E8" s="675"/>
      <c r="F8" s="675"/>
      <c r="G8" s="698" t="s">
        <v>19</v>
      </c>
      <c r="H8" s="1137">
        <v>41037</v>
      </c>
    </row>
    <row r="9" spans="1:8" ht="18">
      <c r="A9" s="918" t="s">
        <v>305</v>
      </c>
      <c r="B9" s="918"/>
      <c r="C9" s="918"/>
      <c r="D9" s="918"/>
      <c r="E9" s="918"/>
      <c r="F9" s="918"/>
      <c r="G9" s="918"/>
      <c r="H9" s="918"/>
    </row>
    <row r="10" spans="1:8" ht="18">
      <c r="A10" s="918" t="s">
        <v>783</v>
      </c>
      <c r="B10" s="918"/>
      <c r="C10" s="918"/>
      <c r="D10" s="918"/>
      <c r="E10" s="918"/>
      <c r="F10" s="918"/>
      <c r="G10" s="918"/>
      <c r="H10" s="918"/>
    </row>
    <row r="11" spans="1:8" ht="15">
      <c r="A11" s="675"/>
      <c r="B11" s="675"/>
      <c r="C11" s="675"/>
      <c r="D11" s="675"/>
      <c r="E11" s="675"/>
      <c r="F11" s="675"/>
      <c r="G11" s="675"/>
      <c r="H11" s="675"/>
    </row>
    <row r="12" spans="1:8" ht="15">
      <c r="A12" s="1071" t="s">
        <v>306</v>
      </c>
      <c r="B12" s="1071"/>
      <c r="C12" s="1071"/>
      <c r="D12" s="1071"/>
      <c r="E12" s="1071"/>
      <c r="F12" s="1071"/>
      <c r="G12" s="1071"/>
      <c r="H12" s="1071"/>
    </row>
    <row r="13" spans="1:8" ht="15">
      <c r="A13" s="1071"/>
      <c r="B13" s="1071"/>
      <c r="C13" s="1071"/>
      <c r="D13" s="1071"/>
      <c r="E13" s="1071"/>
      <c r="F13" s="1071"/>
      <c r="G13" s="1071"/>
      <c r="H13" s="1071"/>
    </row>
    <row r="14" spans="1:8" ht="35.25" customHeight="1">
      <c r="A14" s="1071"/>
      <c r="B14" s="1071"/>
      <c r="C14" s="1071"/>
      <c r="D14" s="1071"/>
      <c r="E14" s="1071"/>
      <c r="F14" s="1071"/>
      <c r="G14" s="1071"/>
      <c r="H14" s="1071"/>
    </row>
    <row r="15" ht="15">
      <c r="A15" t="s">
        <v>309</v>
      </c>
    </row>
    <row r="16" ht="15">
      <c r="A16" t="s">
        <v>310</v>
      </c>
    </row>
  </sheetData>
  <mergeCells count="3">
    <mergeCell ref="A9:H9"/>
    <mergeCell ref="A10:H10"/>
    <mergeCell ref="A12:H14"/>
  </mergeCells>
  <dataValidations count="1">
    <dataValidation allowBlank="1" showInputMessage="1" showErrorMessage="1" promptTitle="Date Format" prompt="E.g:  &quot;August 1, 2011&quot;" sqref="H8"/>
  </dataValidations>
  <printOptions/>
  <pageMargins left="0.75" right="0.75" top="1" bottom="1" header="0.5" footer="0.5"/>
  <pageSetup fitToHeight="1" fitToWidth="1" horizontalDpi="600" verticalDpi="600" orientation="portrait" scale="91" r:id="rId1"/>
</worksheet>
</file>

<file path=xl/worksheets/sheet23.xml><?xml version="1.0" encoding="utf-8"?>
<worksheet xmlns="http://schemas.openxmlformats.org/spreadsheetml/2006/main" xmlns:r="http://schemas.openxmlformats.org/officeDocument/2006/relationships">
  <sheetPr>
    <pageSetUpPr fitToPage="1"/>
  </sheetPr>
  <dimension ref="A1:I59"/>
  <sheetViews>
    <sheetView workbookViewId="0" topLeftCell="A46">
      <selection activeCell="H63" sqref="H63"/>
    </sheetView>
  </sheetViews>
  <sheetFormatPr defaultColWidth="9.140625" defaultRowHeight="15"/>
  <cols>
    <col min="4" max="5" width="12.28125" style="0" bestFit="1" customWidth="1"/>
    <col min="7" max="7" width="17.28125" style="0" bestFit="1" customWidth="1"/>
    <col min="8" max="8" width="12.7109375" style="0" bestFit="1" customWidth="1"/>
    <col min="9" max="9" width="12.57421875" style="0" bestFit="1" customWidth="1"/>
  </cols>
  <sheetData>
    <row r="1" spans="1:9" ht="15">
      <c r="A1" s="675"/>
      <c r="B1" s="675"/>
      <c r="C1" s="675"/>
      <c r="D1" s="675"/>
      <c r="E1" s="675"/>
      <c r="F1" s="675"/>
      <c r="G1" s="675"/>
      <c r="H1" s="698" t="s">
        <v>10</v>
      </c>
      <c r="I1" s="677" t="s">
        <v>11</v>
      </c>
    </row>
    <row r="2" spans="1:9" ht="15">
      <c r="A2" s="675"/>
      <c r="B2" s="675"/>
      <c r="C2" s="675"/>
      <c r="D2" s="675"/>
      <c r="E2" s="675"/>
      <c r="F2" s="675"/>
      <c r="G2" s="675"/>
      <c r="H2" s="698" t="s">
        <v>12</v>
      </c>
      <c r="I2" s="677" t="s">
        <v>619</v>
      </c>
    </row>
    <row r="3" spans="1:9" ht="15">
      <c r="A3" s="675"/>
      <c r="B3" s="675"/>
      <c r="C3" s="675"/>
      <c r="D3" s="675"/>
      <c r="E3" s="675"/>
      <c r="F3" s="675"/>
      <c r="G3" s="675"/>
      <c r="H3" s="698" t="s">
        <v>14</v>
      </c>
      <c r="I3" s="677" t="s">
        <v>620</v>
      </c>
    </row>
    <row r="4" spans="1:9" ht="15">
      <c r="A4" s="675"/>
      <c r="B4" s="675"/>
      <c r="C4" s="675"/>
      <c r="D4" s="675"/>
      <c r="E4" s="675"/>
      <c r="F4" s="675"/>
      <c r="G4" s="675"/>
      <c r="H4" s="698" t="s">
        <v>16</v>
      </c>
      <c r="I4" s="677" t="s">
        <v>669</v>
      </c>
    </row>
    <row r="5" spans="1:9" ht="15">
      <c r="A5" s="675"/>
      <c r="B5" s="675"/>
      <c r="C5" s="675"/>
      <c r="D5" s="675"/>
      <c r="E5" s="675"/>
      <c r="F5" s="675"/>
      <c r="G5" s="675"/>
      <c r="H5" s="698" t="s">
        <v>18</v>
      </c>
      <c r="I5" s="711" t="s">
        <v>670</v>
      </c>
    </row>
    <row r="6" spans="1:9" ht="15">
      <c r="A6" s="675"/>
      <c r="B6" s="675"/>
      <c r="C6" s="675"/>
      <c r="D6" s="675"/>
      <c r="E6" s="675"/>
      <c r="F6" s="675"/>
      <c r="G6" s="675"/>
      <c r="H6" s="698"/>
      <c r="I6" s="675"/>
    </row>
    <row r="7" spans="1:9" ht="15">
      <c r="A7" s="675"/>
      <c r="B7" s="675"/>
      <c r="C7" s="675"/>
      <c r="D7" s="675"/>
      <c r="E7" s="675"/>
      <c r="F7" s="675"/>
      <c r="G7" s="675"/>
      <c r="H7" s="698" t="s">
        <v>19</v>
      </c>
      <c r="I7" s="678">
        <v>41036</v>
      </c>
    </row>
    <row r="8" spans="1:9" ht="15">
      <c r="A8" s="675"/>
      <c r="B8" s="675"/>
      <c r="C8" s="675"/>
      <c r="D8" s="675"/>
      <c r="E8" s="675"/>
      <c r="F8" s="675"/>
      <c r="G8" s="675"/>
      <c r="H8" s="675"/>
      <c r="I8" s="675"/>
    </row>
    <row r="9" spans="1:9" ht="18">
      <c r="A9" s="675"/>
      <c r="B9" s="918" t="s">
        <v>671</v>
      </c>
      <c r="C9" s="918"/>
      <c r="D9" s="918"/>
      <c r="E9" s="918"/>
      <c r="F9" s="918"/>
      <c r="G9" s="918"/>
      <c r="H9" s="918"/>
      <c r="I9" s="918"/>
    </row>
    <row r="10" spans="1:9" ht="18">
      <c r="A10" s="675"/>
      <c r="B10" s="918" t="s">
        <v>672</v>
      </c>
      <c r="C10" s="918"/>
      <c r="D10" s="918"/>
      <c r="E10" s="918"/>
      <c r="F10" s="918"/>
      <c r="G10" s="918"/>
      <c r="H10" s="918"/>
      <c r="I10" s="918"/>
    </row>
    <row r="11" spans="1:9" ht="15.75" thickBot="1">
      <c r="A11" s="675"/>
      <c r="B11" s="675"/>
      <c r="C11" s="675"/>
      <c r="D11" s="675"/>
      <c r="E11" s="675"/>
      <c r="F11" s="675"/>
      <c r="G11" s="675"/>
      <c r="H11" s="675"/>
      <c r="I11" s="675"/>
    </row>
    <row r="12" spans="1:9" ht="77.25">
      <c r="A12" s="675"/>
      <c r="B12" s="712" t="s">
        <v>673</v>
      </c>
      <c r="C12" s="683" t="s">
        <v>440</v>
      </c>
      <c r="D12" s="713" t="s">
        <v>674</v>
      </c>
      <c r="E12" s="713" t="s">
        <v>675</v>
      </c>
      <c r="F12" s="713" t="s">
        <v>676</v>
      </c>
      <c r="G12" s="713" t="s">
        <v>677</v>
      </c>
      <c r="H12" s="713" t="s">
        <v>678</v>
      </c>
      <c r="I12" s="714" t="s">
        <v>679</v>
      </c>
    </row>
    <row r="13" spans="1:9" ht="15">
      <c r="A13" s="675"/>
      <c r="B13" s="715"/>
      <c r="C13" s="716"/>
      <c r="D13" s="717" t="s">
        <v>279</v>
      </c>
      <c r="E13" s="717" t="s">
        <v>280</v>
      </c>
      <c r="F13" s="717" t="s">
        <v>680</v>
      </c>
      <c r="G13" s="717" t="s">
        <v>681</v>
      </c>
      <c r="H13" s="717" t="s">
        <v>283</v>
      </c>
      <c r="I13" s="718" t="s">
        <v>682</v>
      </c>
    </row>
    <row r="14" spans="1:9" ht="15">
      <c r="A14" s="675"/>
      <c r="B14" s="719">
        <v>2006</v>
      </c>
      <c r="C14" s="720"/>
      <c r="D14" s="721"/>
      <c r="E14" s="722"/>
      <c r="F14" s="723">
        <v>0</v>
      </c>
      <c r="G14" s="724">
        <f aca="true" t="shared" si="0" ref="G14:G19">D14-E14-F14</f>
        <v>0</v>
      </c>
      <c r="H14" s="723"/>
      <c r="I14" s="725">
        <f aca="true" t="shared" si="1" ref="I14:I19">G14-H14</f>
        <v>0</v>
      </c>
    </row>
    <row r="15" spans="1:9" ht="15">
      <c r="A15" s="675"/>
      <c r="B15" s="719">
        <v>2007</v>
      </c>
      <c r="C15" s="726"/>
      <c r="D15" s="721">
        <f>8285308+29321</f>
        <v>8314629</v>
      </c>
      <c r="E15" s="721">
        <f>3819083.04</f>
        <v>3819083.04</v>
      </c>
      <c r="F15" s="723">
        <v>0</v>
      </c>
      <c r="G15" s="724">
        <f t="shared" si="0"/>
        <v>4495545.96</v>
      </c>
      <c r="H15" s="723">
        <v>29321</v>
      </c>
      <c r="I15" s="725">
        <f t="shared" si="1"/>
        <v>4466224.96</v>
      </c>
    </row>
    <row r="16" spans="1:9" ht="15">
      <c r="A16" s="675"/>
      <c r="B16" s="719">
        <v>2008</v>
      </c>
      <c r="C16" s="726"/>
      <c r="D16" s="727">
        <f>13040978+57679</f>
        <v>13098657</v>
      </c>
      <c r="E16" s="721">
        <v>6603943.6</v>
      </c>
      <c r="F16" s="723">
        <v>0</v>
      </c>
      <c r="G16" s="724">
        <f t="shared" si="0"/>
        <v>6494713.4</v>
      </c>
      <c r="H16" s="723">
        <v>57679</v>
      </c>
      <c r="I16" s="725">
        <f t="shared" si="1"/>
        <v>6437034.4</v>
      </c>
    </row>
    <row r="17" spans="1:9" ht="15">
      <c r="A17" s="675"/>
      <c r="B17" s="719">
        <v>2009</v>
      </c>
      <c r="C17" s="726"/>
      <c r="D17" s="728">
        <v>21737228.25</v>
      </c>
      <c r="E17" s="728">
        <v>11847171</v>
      </c>
      <c r="F17" s="723">
        <v>0</v>
      </c>
      <c r="G17" s="724">
        <f t="shared" si="0"/>
        <v>9890057.25</v>
      </c>
      <c r="H17" s="723"/>
      <c r="I17" s="725">
        <f t="shared" si="1"/>
        <v>9890057.25</v>
      </c>
    </row>
    <row r="18" spans="1:9" ht="15">
      <c r="A18" s="675"/>
      <c r="B18" s="719">
        <v>2010</v>
      </c>
      <c r="C18" s="726"/>
      <c r="D18" s="728">
        <f>23947315.67+4607</f>
        <v>23951922.67</v>
      </c>
      <c r="E18" s="728">
        <v>13629618.32</v>
      </c>
      <c r="F18" s="723">
        <v>0</v>
      </c>
      <c r="G18" s="724">
        <f t="shared" si="0"/>
        <v>10322304.350000001</v>
      </c>
      <c r="H18" s="723">
        <v>4607</v>
      </c>
      <c r="I18" s="725">
        <f t="shared" si="1"/>
        <v>10317697.350000001</v>
      </c>
    </row>
    <row r="19" spans="1:9" ht="15.75" thickBot="1">
      <c r="A19" s="675"/>
      <c r="B19" s="729">
        <v>2011</v>
      </c>
      <c r="C19" s="730" t="s">
        <v>340</v>
      </c>
      <c r="D19" s="731">
        <f>25430290+5422+11285</f>
        <v>25446997</v>
      </c>
      <c r="E19" s="731">
        <v>15698381</v>
      </c>
      <c r="F19" s="731">
        <v>0</v>
      </c>
      <c r="G19" s="732">
        <f t="shared" si="0"/>
        <v>9748616</v>
      </c>
      <c r="H19" s="731">
        <v>5422</v>
      </c>
      <c r="I19" s="733">
        <f t="shared" si="1"/>
        <v>9743194</v>
      </c>
    </row>
    <row r="20" spans="1:9" ht="15">
      <c r="A20" s="675"/>
      <c r="B20" s="675"/>
      <c r="C20" s="675"/>
      <c r="D20" s="675"/>
      <c r="E20" s="675"/>
      <c r="F20" s="675"/>
      <c r="G20" s="675"/>
      <c r="H20" s="675"/>
      <c r="I20" s="675"/>
    </row>
    <row r="21" spans="1:9" ht="15">
      <c r="A21" s="675"/>
      <c r="B21" s="698" t="s">
        <v>265</v>
      </c>
      <c r="C21" s="675"/>
      <c r="D21" s="675"/>
      <c r="E21" s="675"/>
      <c r="F21" s="675"/>
      <c r="G21" s="675"/>
      <c r="H21" s="675"/>
      <c r="I21" s="675"/>
    </row>
    <row r="22" spans="1:9" ht="15">
      <c r="A22" s="675"/>
      <c r="B22" s="698"/>
      <c r="C22" s="675"/>
      <c r="D22" s="675"/>
      <c r="E22" s="675"/>
      <c r="F22" s="675"/>
      <c r="G22" s="675"/>
      <c r="H22" s="675"/>
      <c r="I22" s="675"/>
    </row>
    <row r="23" spans="1:9" ht="15">
      <c r="A23" s="675"/>
      <c r="B23" s="734" t="s">
        <v>340</v>
      </c>
      <c r="C23" s="735" t="s">
        <v>683</v>
      </c>
      <c r="D23" s="735"/>
      <c r="E23" s="735"/>
      <c r="F23" s="735"/>
      <c r="G23" s="735"/>
      <c r="H23" s="735"/>
      <c r="I23" s="675"/>
    </row>
    <row r="24" spans="1:9" ht="15">
      <c r="A24" s="675"/>
      <c r="B24" s="675"/>
      <c r="C24" s="1072" t="s">
        <v>684</v>
      </c>
      <c r="D24" s="1068"/>
      <c r="E24" s="1068"/>
      <c r="F24" s="1068"/>
      <c r="G24" s="1068"/>
      <c r="H24" s="1068"/>
      <c r="I24" s="1068"/>
    </row>
    <row r="25" spans="1:9" ht="15">
      <c r="A25" s="675"/>
      <c r="B25" s="969" t="s">
        <v>685</v>
      </c>
      <c r="C25" s="969"/>
      <c r="D25" s="969"/>
      <c r="E25" s="969"/>
      <c r="F25" s="969"/>
      <c r="G25" s="969"/>
      <c r="H25" s="969"/>
      <c r="I25" s="969"/>
    </row>
    <row r="26" spans="1:9" ht="15">
      <c r="A26" s="675"/>
      <c r="B26" s="969"/>
      <c r="C26" s="969"/>
      <c r="D26" s="969"/>
      <c r="E26" s="969"/>
      <c r="F26" s="969"/>
      <c r="G26" s="969"/>
      <c r="H26" s="969"/>
      <c r="I26" s="969"/>
    </row>
    <row r="27" spans="1:9" ht="15">
      <c r="A27" s="675"/>
      <c r="B27" s="969"/>
      <c r="C27" s="969"/>
      <c r="D27" s="969"/>
      <c r="E27" s="969"/>
      <c r="F27" s="969"/>
      <c r="G27" s="969"/>
      <c r="H27" s="969"/>
      <c r="I27" s="969"/>
    </row>
    <row r="28" spans="1:9" ht="15">
      <c r="A28" s="675"/>
      <c r="B28" s="969"/>
      <c r="C28" s="969"/>
      <c r="D28" s="969"/>
      <c r="E28" s="969"/>
      <c r="F28" s="969"/>
      <c r="G28" s="969"/>
      <c r="H28" s="969"/>
      <c r="I28" s="969"/>
    </row>
    <row r="29" spans="1:9" ht="15">
      <c r="A29" s="675"/>
      <c r="B29" s="675"/>
      <c r="C29" s="675"/>
      <c r="D29" s="675"/>
      <c r="E29" s="675"/>
      <c r="F29" s="675"/>
      <c r="G29" s="675"/>
      <c r="H29" s="675"/>
      <c r="I29" s="675"/>
    </row>
    <row r="30" spans="1:9" ht="15">
      <c r="A30" s="675"/>
      <c r="B30" s="1069" t="s">
        <v>686</v>
      </c>
      <c r="C30" s="1070"/>
      <c r="D30" s="1070"/>
      <c r="E30" s="1070"/>
      <c r="F30" s="1070"/>
      <c r="G30" s="1070"/>
      <c r="H30" s="1070"/>
      <c r="I30" s="1070"/>
    </row>
    <row r="31" spans="1:9" ht="15">
      <c r="A31" s="675"/>
      <c r="B31" s="1070"/>
      <c r="C31" s="1070"/>
      <c r="D31" s="1070"/>
      <c r="E31" s="1070"/>
      <c r="F31" s="1070"/>
      <c r="G31" s="1070"/>
      <c r="H31" s="1070"/>
      <c r="I31" s="1070"/>
    </row>
    <row r="32" spans="1:9" ht="15">
      <c r="A32" s="675"/>
      <c r="B32" s="675"/>
      <c r="C32" s="675"/>
      <c r="D32" s="675"/>
      <c r="E32" s="675"/>
      <c r="F32" s="675"/>
      <c r="G32" s="675"/>
      <c r="H32" s="675"/>
      <c r="I32" s="675"/>
    </row>
    <row r="33" spans="1:9" ht="15">
      <c r="A33" s="675"/>
      <c r="B33" s="708">
        <v>1</v>
      </c>
      <c r="C33" s="1068" t="s">
        <v>687</v>
      </c>
      <c r="D33" s="1068"/>
      <c r="E33" s="1068"/>
      <c r="F33" s="1068"/>
      <c r="G33" s="1068"/>
      <c r="H33" s="1068"/>
      <c r="I33" s="1068"/>
    </row>
    <row r="34" spans="1:9" ht="18.75" customHeight="1">
      <c r="A34" s="675"/>
      <c r="B34" s="675"/>
      <c r="C34" s="1068"/>
      <c r="D34" s="1068"/>
      <c r="E34" s="1068"/>
      <c r="F34" s="1068"/>
      <c r="G34" s="1068"/>
      <c r="H34" s="1068"/>
      <c r="I34" s="1068"/>
    </row>
    <row r="35" spans="1:9" ht="123.75" customHeight="1">
      <c r="A35" s="675"/>
      <c r="B35" s="675"/>
      <c r="C35" s="1067" t="s">
        <v>840</v>
      </c>
      <c r="D35" s="1068"/>
      <c r="E35" s="1068"/>
      <c r="F35" s="1068"/>
      <c r="G35" s="1068"/>
      <c r="H35" s="1068"/>
      <c r="I35" s="1068"/>
    </row>
    <row r="36" spans="1:9" ht="15">
      <c r="A36" s="675"/>
      <c r="B36" s="708">
        <v>2</v>
      </c>
      <c r="C36" s="1071" t="s">
        <v>841</v>
      </c>
      <c r="D36" s="1071"/>
      <c r="E36" s="1071"/>
      <c r="F36" s="1071"/>
      <c r="G36" s="1071"/>
      <c r="H36" s="1071"/>
      <c r="I36" s="1071"/>
    </row>
    <row r="37" spans="1:9" ht="22.5" customHeight="1">
      <c r="A37" s="675"/>
      <c r="B37" s="675"/>
      <c r="C37" s="1071"/>
      <c r="D37" s="1071"/>
      <c r="E37" s="1071"/>
      <c r="F37" s="1071"/>
      <c r="G37" s="1071"/>
      <c r="H37" s="1071"/>
      <c r="I37" s="1071"/>
    </row>
    <row r="38" spans="1:9" ht="15">
      <c r="A38" s="675"/>
      <c r="B38" s="675"/>
      <c r="C38" s="1071"/>
      <c r="D38" s="1071"/>
      <c r="E38" s="1071"/>
      <c r="F38" s="1071"/>
      <c r="G38" s="1071"/>
      <c r="H38" s="1071"/>
      <c r="I38" s="1071"/>
    </row>
    <row r="39" spans="1:9" ht="30" customHeight="1">
      <c r="A39" s="675"/>
      <c r="B39" s="675"/>
      <c r="C39" s="1067" t="s">
        <v>842</v>
      </c>
      <c r="D39" s="1068"/>
      <c r="E39" s="1068"/>
      <c r="F39" s="1068"/>
      <c r="G39" s="1068"/>
      <c r="H39" s="1068"/>
      <c r="I39" s="1068"/>
    </row>
    <row r="40" spans="1:9" ht="15">
      <c r="A40" s="675"/>
      <c r="B40" s="708">
        <v>3</v>
      </c>
      <c r="C40" s="1068" t="s">
        <v>843</v>
      </c>
      <c r="D40" s="1068"/>
      <c r="E40" s="1068"/>
      <c r="F40" s="1068"/>
      <c r="G40" s="1068"/>
      <c r="H40" s="1068"/>
      <c r="I40" s="1068"/>
    </row>
    <row r="41" spans="1:9" ht="15">
      <c r="A41" s="675"/>
      <c r="B41" s="675"/>
      <c r="C41" s="1068"/>
      <c r="D41" s="1068"/>
      <c r="E41" s="1068"/>
      <c r="F41" s="1068"/>
      <c r="G41" s="1068"/>
      <c r="H41" s="1068"/>
      <c r="I41" s="1068"/>
    </row>
    <row r="42" spans="1:9" ht="15">
      <c r="A42" s="675"/>
      <c r="B42" s="675"/>
      <c r="C42" s="1068"/>
      <c r="D42" s="1068"/>
      <c r="E42" s="1068"/>
      <c r="F42" s="1068"/>
      <c r="G42" s="1068"/>
      <c r="H42" s="1068"/>
      <c r="I42" s="1068"/>
    </row>
    <row r="43" spans="1:9" ht="36.75" customHeight="1">
      <c r="A43" s="675"/>
      <c r="B43" s="675"/>
      <c r="C43" s="1068"/>
      <c r="D43" s="1068"/>
      <c r="E43" s="1068"/>
      <c r="F43" s="1068"/>
      <c r="G43" s="1068"/>
      <c r="H43" s="1068"/>
      <c r="I43" s="1068"/>
    </row>
    <row r="44" spans="1:9" ht="57" customHeight="1">
      <c r="A44" s="675"/>
      <c r="B44" s="675"/>
      <c r="C44" s="1067" t="s">
        <v>844</v>
      </c>
      <c r="D44" s="1068"/>
      <c r="E44" s="1068"/>
      <c r="F44" s="1068"/>
      <c r="G44" s="1068"/>
      <c r="H44" s="1068"/>
      <c r="I44" s="1068"/>
    </row>
    <row r="45" spans="1:9" ht="15">
      <c r="A45" s="675"/>
      <c r="B45" s="675"/>
      <c r="C45" s="1068" t="s">
        <v>845</v>
      </c>
      <c r="D45" s="1068"/>
      <c r="E45" s="1068"/>
      <c r="F45" s="1068"/>
      <c r="G45" s="1068"/>
      <c r="H45" s="1068"/>
      <c r="I45" s="1068"/>
    </row>
    <row r="46" spans="1:9" ht="18.75" customHeight="1">
      <c r="A46" s="675"/>
      <c r="B46" s="675"/>
      <c r="C46" s="1068"/>
      <c r="D46" s="1068"/>
      <c r="E46" s="1068"/>
      <c r="F46" s="1068"/>
      <c r="G46" s="1068"/>
      <c r="H46" s="1068"/>
      <c r="I46" s="1068"/>
    </row>
    <row r="47" spans="1:9" ht="15">
      <c r="A47" s="675"/>
      <c r="B47" s="675"/>
      <c r="C47" s="1068"/>
      <c r="D47" s="1068"/>
      <c r="E47" s="1068"/>
      <c r="F47" s="1068"/>
      <c r="G47" s="1068"/>
      <c r="H47" s="1068"/>
      <c r="I47" s="1068"/>
    </row>
    <row r="48" spans="1:9" ht="15">
      <c r="A48" s="675"/>
      <c r="B48" s="675"/>
      <c r="C48" s="675" t="s">
        <v>428</v>
      </c>
      <c r="D48" s="1068" t="s">
        <v>846</v>
      </c>
      <c r="E48" s="1068"/>
      <c r="F48" s="1068"/>
      <c r="G48" s="1068"/>
      <c r="H48" s="1068"/>
      <c r="I48" s="1068"/>
    </row>
    <row r="49" spans="1:9" ht="33.75" customHeight="1">
      <c r="A49" s="675"/>
      <c r="B49" s="675"/>
      <c r="C49" s="675"/>
      <c r="D49" s="1068"/>
      <c r="E49" s="1068"/>
      <c r="F49" s="1068"/>
      <c r="G49" s="1068"/>
      <c r="H49" s="1068"/>
      <c r="I49" s="1068"/>
    </row>
    <row r="50" spans="1:9" ht="38.25" customHeight="1">
      <c r="A50" s="675"/>
      <c r="B50" s="675"/>
      <c r="C50" s="675"/>
      <c r="D50" s="1067" t="s">
        <v>847</v>
      </c>
      <c r="E50" s="1067"/>
      <c r="F50" s="1067"/>
      <c r="G50" s="1067"/>
      <c r="H50" s="1067"/>
      <c r="I50" s="1067"/>
    </row>
    <row r="51" spans="1:9" ht="15">
      <c r="A51" s="675"/>
      <c r="B51" s="675"/>
      <c r="C51" s="675" t="s">
        <v>449</v>
      </c>
      <c r="D51" s="969" t="s">
        <v>848</v>
      </c>
      <c r="E51" s="969"/>
      <c r="F51" s="969"/>
      <c r="G51" s="969"/>
      <c r="H51" s="969"/>
      <c r="I51" s="969"/>
    </row>
    <row r="52" spans="1:9" ht="15">
      <c r="A52" s="675"/>
      <c r="B52" s="675"/>
      <c r="C52" s="675"/>
      <c r="D52" s="969"/>
      <c r="E52" s="969"/>
      <c r="F52" s="969"/>
      <c r="G52" s="969"/>
      <c r="H52" s="969"/>
      <c r="I52" s="969"/>
    </row>
    <row r="53" spans="1:9" ht="15">
      <c r="A53" s="675"/>
      <c r="B53" s="675"/>
      <c r="C53" s="675"/>
      <c r="D53" s="969"/>
      <c r="E53" s="969"/>
      <c r="F53" s="969"/>
      <c r="G53" s="969"/>
      <c r="H53" s="969"/>
      <c r="I53" s="969"/>
    </row>
    <row r="54" spans="1:9" ht="18.75" customHeight="1">
      <c r="A54" s="675"/>
      <c r="B54" s="675"/>
      <c r="C54" s="675"/>
      <c r="D54" s="969"/>
      <c r="E54" s="969"/>
      <c r="F54" s="969"/>
      <c r="G54" s="969"/>
      <c r="H54" s="969"/>
      <c r="I54" s="969"/>
    </row>
    <row r="55" spans="1:9" ht="32.25" customHeight="1">
      <c r="A55" s="675"/>
      <c r="B55" s="675"/>
      <c r="C55" s="675"/>
      <c r="D55" s="1067" t="s">
        <v>849</v>
      </c>
      <c r="E55" s="1067"/>
      <c r="F55" s="1067"/>
      <c r="G55" s="1067"/>
      <c r="H55" s="1067"/>
      <c r="I55" s="1067"/>
    </row>
    <row r="56" spans="1:9" ht="15">
      <c r="A56" s="675"/>
      <c r="B56" s="675"/>
      <c r="C56" s="675" t="s">
        <v>474</v>
      </c>
      <c r="D56" s="969" t="s">
        <v>850</v>
      </c>
      <c r="E56" s="969"/>
      <c r="F56" s="969"/>
      <c r="G56" s="969"/>
      <c r="H56" s="969"/>
      <c r="I56" s="969"/>
    </row>
    <row r="57" spans="1:9" ht="15">
      <c r="A57" s="675"/>
      <c r="B57" s="675"/>
      <c r="C57" s="675"/>
      <c r="D57" s="969"/>
      <c r="E57" s="969"/>
      <c r="F57" s="969"/>
      <c r="G57" s="969"/>
      <c r="H57" s="969"/>
      <c r="I57" s="969"/>
    </row>
    <row r="58" spans="1:9" ht="15">
      <c r="A58" s="675"/>
      <c r="B58" s="675"/>
      <c r="C58" s="675"/>
      <c r="D58" s="969"/>
      <c r="E58" s="969"/>
      <c r="F58" s="969"/>
      <c r="G58" s="969"/>
      <c r="H58" s="969"/>
      <c r="I58" s="969"/>
    </row>
    <row r="59" spans="1:9" ht="79.5" customHeight="1">
      <c r="A59" s="675"/>
      <c r="B59" s="675"/>
      <c r="C59" s="675"/>
      <c r="D59" s="1067" t="s">
        <v>8</v>
      </c>
      <c r="E59" s="1067"/>
      <c r="F59" s="1067"/>
      <c r="G59" s="1067"/>
      <c r="H59" s="1067"/>
      <c r="I59" s="1067"/>
    </row>
  </sheetData>
  <mergeCells count="18">
    <mergeCell ref="B9:I9"/>
    <mergeCell ref="B10:I10"/>
    <mergeCell ref="C24:I24"/>
    <mergeCell ref="B25:I28"/>
    <mergeCell ref="B30:I31"/>
    <mergeCell ref="C33:I34"/>
    <mergeCell ref="C35:I35"/>
    <mergeCell ref="C36:I38"/>
    <mergeCell ref="C39:I39"/>
    <mergeCell ref="C40:I43"/>
    <mergeCell ref="C44:I44"/>
    <mergeCell ref="C45:I47"/>
    <mergeCell ref="D56:I58"/>
    <mergeCell ref="D59:I59"/>
    <mergeCell ref="D48:I49"/>
    <mergeCell ref="D50:I50"/>
    <mergeCell ref="D51:I54"/>
    <mergeCell ref="D55:I55"/>
  </mergeCells>
  <dataValidations count="1">
    <dataValidation allowBlank="1" showInputMessage="1" showErrorMessage="1" promptTitle="Date Format" prompt="E.g:  &quot;August 1, 2011&quot;" sqref="I7"/>
  </dataValidations>
  <printOptions/>
  <pageMargins left="0.75" right="0.75" top="0.54" bottom="0.31" header="0.5" footer="0.17"/>
  <pageSetup fitToHeight="2" fitToWidth="1" horizontalDpi="600" verticalDpi="600" orientation="portrait" scale="86" r:id="rId1"/>
</worksheet>
</file>

<file path=xl/worksheets/sheet24.xml><?xml version="1.0" encoding="utf-8"?>
<worksheet xmlns="http://schemas.openxmlformats.org/spreadsheetml/2006/main" xmlns:r="http://schemas.openxmlformats.org/officeDocument/2006/relationships">
  <sheetPr>
    <pageSetUpPr fitToPage="1"/>
  </sheetPr>
  <dimension ref="A1:H61"/>
  <sheetViews>
    <sheetView workbookViewId="0" topLeftCell="A37">
      <selection activeCell="C60" sqref="C60:H60"/>
    </sheetView>
  </sheetViews>
  <sheetFormatPr defaultColWidth="9.140625" defaultRowHeight="15"/>
  <cols>
    <col min="1" max="1" width="9.421875" style="0" customWidth="1"/>
    <col min="2" max="2" width="10.7109375" style="0" customWidth="1"/>
    <col min="3" max="3" width="11.28125" style="0" bestFit="1" customWidth="1"/>
    <col min="4" max="5" width="14.00390625" style="0" customWidth="1"/>
    <col min="6" max="6" width="11.8515625" style="0" customWidth="1"/>
    <col min="7" max="7" width="12.57421875" style="0" customWidth="1"/>
    <col min="8" max="8" width="16.421875" style="0" customWidth="1"/>
  </cols>
  <sheetData>
    <row r="1" spans="1:8" ht="15">
      <c r="A1" s="675"/>
      <c r="B1" s="675"/>
      <c r="C1" s="675"/>
      <c r="D1" s="675"/>
      <c r="E1" s="675"/>
      <c r="F1" s="675"/>
      <c r="G1" s="698" t="s">
        <v>10</v>
      </c>
      <c r="H1" s="677" t="s">
        <v>11</v>
      </c>
    </row>
    <row r="2" spans="1:8" ht="15">
      <c r="A2" s="675"/>
      <c r="B2" s="675"/>
      <c r="C2" s="675"/>
      <c r="D2" s="675"/>
      <c r="E2" s="675"/>
      <c r="F2" s="675"/>
      <c r="G2" s="698" t="s">
        <v>12</v>
      </c>
      <c r="H2" s="677" t="s">
        <v>619</v>
      </c>
    </row>
    <row r="3" spans="1:8" ht="15">
      <c r="A3" s="675"/>
      <c r="B3" s="675"/>
      <c r="C3" s="675"/>
      <c r="D3" s="675"/>
      <c r="E3" s="675"/>
      <c r="F3" s="675"/>
      <c r="G3" s="698" t="s">
        <v>14</v>
      </c>
      <c r="H3" s="677" t="s">
        <v>620</v>
      </c>
    </row>
    <row r="4" spans="1:8" ht="15">
      <c r="A4" s="675"/>
      <c r="B4" s="675"/>
      <c r="C4" s="675"/>
      <c r="D4" s="675"/>
      <c r="E4" s="675"/>
      <c r="F4" s="675"/>
      <c r="G4" s="698" t="s">
        <v>16</v>
      </c>
      <c r="H4" s="677" t="s">
        <v>669</v>
      </c>
    </row>
    <row r="5" spans="1:8" ht="15">
      <c r="A5" s="675"/>
      <c r="B5" s="675"/>
      <c r="C5" s="675"/>
      <c r="D5" s="675"/>
      <c r="E5" s="675"/>
      <c r="F5" s="675"/>
      <c r="G5" s="698" t="s">
        <v>18</v>
      </c>
      <c r="H5" s="677" t="s">
        <v>622</v>
      </c>
    </row>
    <row r="6" spans="1:8" ht="15">
      <c r="A6" s="675"/>
      <c r="B6" s="675"/>
      <c r="C6" s="675"/>
      <c r="D6" s="675"/>
      <c r="E6" s="675"/>
      <c r="F6" s="675"/>
      <c r="G6" s="698"/>
      <c r="H6" s="675"/>
    </row>
    <row r="7" spans="1:8" ht="15">
      <c r="A7" s="675"/>
      <c r="B7" s="675"/>
      <c r="C7" s="675"/>
      <c r="D7" s="675"/>
      <c r="E7" s="675"/>
      <c r="F7" s="675"/>
      <c r="G7" s="698" t="s">
        <v>19</v>
      </c>
      <c r="H7" s="678">
        <v>41036</v>
      </c>
    </row>
    <row r="8" spans="1:8" ht="15">
      <c r="A8" s="675"/>
      <c r="B8" s="675"/>
      <c r="C8" s="675"/>
      <c r="D8" s="675"/>
      <c r="E8" s="675"/>
      <c r="F8" s="675"/>
      <c r="G8" s="675"/>
      <c r="H8" s="675"/>
    </row>
    <row r="9" spans="1:8" ht="18">
      <c r="A9" s="918" t="s">
        <v>671</v>
      </c>
      <c r="B9" s="918"/>
      <c r="C9" s="918"/>
      <c r="D9" s="918"/>
      <c r="E9" s="918"/>
      <c r="F9" s="918"/>
      <c r="G9" s="918"/>
      <c r="H9" s="918"/>
    </row>
    <row r="10" spans="1:8" ht="18">
      <c r="A10" s="918" t="s">
        <v>851</v>
      </c>
      <c r="B10" s="918"/>
      <c r="C10" s="918"/>
      <c r="D10" s="918"/>
      <c r="E10" s="918"/>
      <c r="F10" s="918"/>
      <c r="G10" s="918"/>
      <c r="H10" s="918"/>
    </row>
    <row r="11" spans="1:8" ht="15.75" thickBot="1">
      <c r="A11" s="675"/>
      <c r="B11" s="675"/>
      <c r="C11" s="675"/>
      <c r="D11" s="675"/>
      <c r="E11" s="675"/>
      <c r="F11" s="675"/>
      <c r="G11" s="675"/>
      <c r="H11" s="675"/>
    </row>
    <row r="12" spans="1:8" ht="39">
      <c r="A12" s="712" t="s">
        <v>673</v>
      </c>
      <c r="B12" s="683" t="s">
        <v>440</v>
      </c>
      <c r="C12" s="713" t="s">
        <v>674</v>
      </c>
      <c r="D12" s="713" t="s">
        <v>675</v>
      </c>
      <c r="E12" s="713" t="s">
        <v>676</v>
      </c>
      <c r="F12" s="713" t="s">
        <v>677</v>
      </c>
      <c r="G12" s="713" t="s">
        <v>678</v>
      </c>
      <c r="H12" s="714" t="s">
        <v>679</v>
      </c>
    </row>
    <row r="13" spans="1:8" ht="15">
      <c r="A13" s="715"/>
      <c r="B13" s="716"/>
      <c r="C13" s="717" t="s">
        <v>279</v>
      </c>
      <c r="D13" s="717" t="s">
        <v>280</v>
      </c>
      <c r="E13" s="717" t="s">
        <v>680</v>
      </c>
      <c r="F13" s="717" t="s">
        <v>681</v>
      </c>
      <c r="G13" s="717" t="s">
        <v>283</v>
      </c>
      <c r="H13" s="718" t="s">
        <v>682</v>
      </c>
    </row>
    <row r="14" spans="1:8" ht="15">
      <c r="A14" s="719">
        <v>2006</v>
      </c>
      <c r="B14" s="726"/>
      <c r="C14" s="723"/>
      <c r="D14" s="723"/>
      <c r="E14" s="723"/>
      <c r="F14" s="724">
        <f aca="true" t="shared" si="0" ref="F14:F19">C14-D14-E14</f>
        <v>0</v>
      </c>
      <c r="G14" s="723"/>
      <c r="H14" s="725">
        <f aca="true" t="shared" si="1" ref="H14:H19">F14-G14</f>
        <v>0</v>
      </c>
    </row>
    <row r="15" spans="1:8" ht="15">
      <c r="A15" s="719">
        <v>2007</v>
      </c>
      <c r="B15" s="726"/>
      <c r="C15" s="723"/>
      <c r="D15" s="723"/>
      <c r="E15" s="723"/>
      <c r="F15" s="724">
        <f t="shared" si="0"/>
        <v>0</v>
      </c>
      <c r="G15" s="723"/>
      <c r="H15" s="725">
        <f t="shared" si="1"/>
        <v>0</v>
      </c>
    </row>
    <row r="16" spans="1:8" ht="15">
      <c r="A16" s="719">
        <v>2008</v>
      </c>
      <c r="B16" s="726"/>
      <c r="C16" s="723"/>
      <c r="D16" s="723"/>
      <c r="E16" s="723"/>
      <c r="F16" s="724">
        <f t="shared" si="0"/>
        <v>0</v>
      </c>
      <c r="G16" s="723"/>
      <c r="H16" s="725">
        <f t="shared" si="1"/>
        <v>0</v>
      </c>
    </row>
    <row r="17" spans="1:8" ht="15">
      <c r="A17" s="719">
        <v>2009</v>
      </c>
      <c r="B17" s="726"/>
      <c r="C17" s="723">
        <v>659450</v>
      </c>
      <c r="D17" s="723">
        <v>365120</v>
      </c>
      <c r="E17" s="723"/>
      <c r="F17" s="724">
        <f t="shared" si="0"/>
        <v>294330</v>
      </c>
      <c r="G17" s="723"/>
      <c r="H17" s="725">
        <f t="shared" si="1"/>
        <v>294330</v>
      </c>
    </row>
    <row r="18" spans="1:8" ht="15">
      <c r="A18" s="719">
        <v>2010</v>
      </c>
      <c r="B18" s="726"/>
      <c r="C18" s="723">
        <v>7028622</v>
      </c>
      <c r="D18" s="723">
        <v>3849361</v>
      </c>
      <c r="E18" s="723"/>
      <c r="F18" s="724">
        <f t="shared" si="0"/>
        <v>3179261</v>
      </c>
      <c r="G18" s="723"/>
      <c r="H18" s="725">
        <f t="shared" si="1"/>
        <v>3179261</v>
      </c>
    </row>
    <row r="19" spans="1:8" ht="15.75" thickBot="1">
      <c r="A19" s="729">
        <v>2011</v>
      </c>
      <c r="B19" s="730" t="s">
        <v>340</v>
      </c>
      <c r="C19" s="731">
        <f>7939774+18709-11288</f>
        <v>7947195</v>
      </c>
      <c r="D19" s="731">
        <v>4882896</v>
      </c>
      <c r="E19" s="731"/>
      <c r="F19" s="732">
        <f t="shared" si="0"/>
        <v>3064299</v>
      </c>
      <c r="G19" s="731">
        <v>18709</v>
      </c>
      <c r="H19" s="733">
        <f t="shared" si="1"/>
        <v>3045590</v>
      </c>
    </row>
    <row r="20" spans="1:8" ht="15">
      <c r="A20" s="675"/>
      <c r="B20" s="675"/>
      <c r="C20" s="675"/>
      <c r="D20" s="675"/>
      <c r="E20" s="675"/>
      <c r="F20" s="675"/>
      <c r="G20" s="675"/>
      <c r="H20" s="675"/>
    </row>
    <row r="21" spans="1:8" ht="15">
      <c r="A21" s="698" t="s">
        <v>265</v>
      </c>
      <c r="B21" s="675"/>
      <c r="C21" s="675"/>
      <c r="D21" s="675"/>
      <c r="E21" s="675"/>
      <c r="F21" s="675"/>
      <c r="G21" s="675"/>
      <c r="H21" s="675"/>
    </row>
    <row r="22" spans="1:8" ht="15">
      <c r="A22" s="698"/>
      <c r="B22" s="675"/>
      <c r="C22" s="675"/>
      <c r="D22" s="675"/>
      <c r="E22" s="675"/>
      <c r="F22" s="675"/>
      <c r="G22" s="675"/>
      <c r="H22" s="675"/>
    </row>
    <row r="23" spans="1:8" ht="15">
      <c r="A23" s="734" t="s">
        <v>340</v>
      </c>
      <c r="B23" s="735" t="s">
        <v>683</v>
      </c>
      <c r="C23" s="735"/>
      <c r="D23" s="735"/>
      <c r="E23" s="735"/>
      <c r="F23" s="735"/>
      <c r="G23" s="735"/>
      <c r="H23" s="675"/>
    </row>
    <row r="24" spans="1:8" ht="17.25" customHeight="1">
      <c r="A24" s="675"/>
      <c r="B24" s="1072" t="s">
        <v>684</v>
      </c>
      <c r="C24" s="1068"/>
      <c r="D24" s="1068"/>
      <c r="E24" s="1068"/>
      <c r="F24" s="1068"/>
      <c r="G24" s="1068"/>
      <c r="H24" s="1068"/>
    </row>
    <row r="25" spans="1:8" ht="15">
      <c r="A25" s="969" t="s">
        <v>685</v>
      </c>
      <c r="B25" s="969"/>
      <c r="C25" s="969"/>
      <c r="D25" s="969"/>
      <c r="E25" s="969"/>
      <c r="F25" s="969"/>
      <c r="G25" s="969"/>
      <c r="H25" s="969"/>
    </row>
    <row r="26" spans="1:8" ht="15">
      <c r="A26" s="969"/>
      <c r="B26" s="969"/>
      <c r="C26" s="969"/>
      <c r="D26" s="969"/>
      <c r="E26" s="969"/>
      <c r="F26" s="969"/>
      <c r="G26" s="969"/>
      <c r="H26" s="969"/>
    </row>
    <row r="27" spans="1:8" ht="15">
      <c r="A27" s="969"/>
      <c r="B27" s="969"/>
      <c r="C27" s="969"/>
      <c r="D27" s="969"/>
      <c r="E27" s="969"/>
      <c r="F27" s="969"/>
      <c r="G27" s="969"/>
      <c r="H27" s="969"/>
    </row>
    <row r="28" spans="1:8" ht="15">
      <c r="A28" s="969"/>
      <c r="B28" s="969"/>
      <c r="C28" s="969"/>
      <c r="D28" s="969"/>
      <c r="E28" s="969"/>
      <c r="F28" s="969"/>
      <c r="G28" s="969"/>
      <c r="H28" s="969"/>
    </row>
    <row r="29" spans="1:8" ht="15">
      <c r="A29" s="675"/>
      <c r="B29" s="675"/>
      <c r="C29" s="675"/>
      <c r="D29" s="675"/>
      <c r="E29" s="675"/>
      <c r="F29" s="675"/>
      <c r="G29" s="675"/>
      <c r="H29" s="675"/>
    </row>
    <row r="30" spans="1:8" ht="15">
      <c r="A30" s="1069" t="s">
        <v>686</v>
      </c>
      <c r="B30" s="1070"/>
      <c r="C30" s="1070"/>
      <c r="D30" s="1070"/>
      <c r="E30" s="1070"/>
      <c r="F30" s="1070"/>
      <c r="G30" s="1070"/>
      <c r="H30" s="1070"/>
    </row>
    <row r="31" spans="1:8" ht="15">
      <c r="A31" s="1070"/>
      <c r="B31" s="1070"/>
      <c r="C31" s="1070"/>
      <c r="D31" s="1070"/>
      <c r="E31" s="1070"/>
      <c r="F31" s="1070"/>
      <c r="G31" s="1070"/>
      <c r="H31" s="1070"/>
    </row>
    <row r="32" spans="1:8" ht="15">
      <c r="A32" s="675"/>
      <c r="B32" s="675"/>
      <c r="C32" s="675"/>
      <c r="D32" s="675"/>
      <c r="E32" s="675"/>
      <c r="F32" s="675"/>
      <c r="G32" s="675"/>
      <c r="H32" s="675"/>
    </row>
    <row r="33" spans="1:8" ht="15">
      <c r="A33" s="708">
        <v>1</v>
      </c>
      <c r="B33" s="1068" t="s">
        <v>687</v>
      </c>
      <c r="C33" s="1068"/>
      <c r="D33" s="1068"/>
      <c r="E33" s="1068"/>
      <c r="F33" s="1068"/>
      <c r="G33" s="1068"/>
      <c r="H33" s="1068"/>
    </row>
    <row r="34" spans="1:8" ht="15">
      <c r="A34" s="675"/>
      <c r="B34" s="1068"/>
      <c r="C34" s="1068"/>
      <c r="D34" s="1068"/>
      <c r="E34" s="1068"/>
      <c r="F34" s="1068"/>
      <c r="G34" s="1068"/>
      <c r="H34" s="1068"/>
    </row>
    <row r="35" spans="1:8" ht="119.25" customHeight="1">
      <c r="A35" s="675"/>
      <c r="B35" s="1067" t="s">
        <v>0</v>
      </c>
      <c r="C35" s="1068"/>
      <c r="D35" s="1068"/>
      <c r="E35" s="1068"/>
      <c r="F35" s="1068"/>
      <c r="G35" s="1068"/>
      <c r="H35" s="1068"/>
    </row>
    <row r="36" spans="1:8" ht="15">
      <c r="A36" s="708">
        <v>2</v>
      </c>
      <c r="B36" s="1071" t="s">
        <v>1</v>
      </c>
      <c r="C36" s="1071"/>
      <c r="D36" s="1071"/>
      <c r="E36" s="1071"/>
      <c r="F36" s="1071"/>
      <c r="G36" s="1071"/>
      <c r="H36" s="1071"/>
    </row>
    <row r="37" spans="1:8" ht="15">
      <c r="A37" s="675"/>
      <c r="B37" s="1071"/>
      <c r="C37" s="1071"/>
      <c r="D37" s="1071"/>
      <c r="E37" s="1071"/>
      <c r="F37" s="1071"/>
      <c r="G37" s="1071"/>
      <c r="H37" s="1071"/>
    </row>
    <row r="38" spans="1:8" ht="15">
      <c r="A38" s="675"/>
      <c r="B38" s="1071"/>
      <c r="C38" s="1071"/>
      <c r="D38" s="1071"/>
      <c r="E38" s="1071"/>
      <c r="F38" s="1071"/>
      <c r="G38" s="1071"/>
      <c r="H38" s="1071"/>
    </row>
    <row r="39" spans="1:8" ht="30" customHeight="1">
      <c r="A39" s="675"/>
      <c r="B39" s="1067" t="s">
        <v>2</v>
      </c>
      <c r="C39" s="1068"/>
      <c r="D39" s="1068"/>
      <c r="E39" s="1068"/>
      <c r="F39" s="1068"/>
      <c r="G39" s="1068"/>
      <c r="H39" s="1068"/>
    </row>
    <row r="40" spans="1:8" ht="15">
      <c r="A40" s="708">
        <v>3</v>
      </c>
      <c r="B40" s="1068" t="s">
        <v>3</v>
      </c>
      <c r="C40" s="1068"/>
      <c r="D40" s="1068"/>
      <c r="E40" s="1068"/>
      <c r="F40" s="1068"/>
      <c r="G40" s="1068"/>
      <c r="H40" s="1068"/>
    </row>
    <row r="41" spans="1:8" ht="15">
      <c r="A41" s="675"/>
      <c r="B41" s="1068"/>
      <c r="C41" s="1068"/>
      <c r="D41" s="1068"/>
      <c r="E41" s="1068"/>
      <c r="F41" s="1068"/>
      <c r="G41" s="1068"/>
      <c r="H41" s="1068"/>
    </row>
    <row r="42" spans="1:8" ht="15">
      <c r="A42" s="675"/>
      <c r="B42" s="1068"/>
      <c r="C42" s="1068"/>
      <c r="D42" s="1068"/>
      <c r="E42" s="1068"/>
      <c r="F42" s="1068"/>
      <c r="G42" s="1068"/>
      <c r="H42" s="1068"/>
    </row>
    <row r="43" spans="1:8" ht="19.5" customHeight="1">
      <c r="A43" s="675"/>
      <c r="B43" s="1068"/>
      <c r="C43" s="1068"/>
      <c r="D43" s="1068"/>
      <c r="E43" s="1068"/>
      <c r="F43" s="1068"/>
      <c r="G43" s="1068"/>
      <c r="H43" s="1068"/>
    </row>
    <row r="44" spans="1:8" ht="54" customHeight="1">
      <c r="A44" s="675"/>
      <c r="B44" s="1067" t="s">
        <v>4</v>
      </c>
      <c r="C44" s="1068"/>
      <c r="D44" s="1068"/>
      <c r="E44" s="1068"/>
      <c r="F44" s="1068"/>
      <c r="G44" s="1068"/>
      <c r="H44" s="1068"/>
    </row>
    <row r="45" spans="1:8" ht="15">
      <c r="A45" s="675"/>
      <c r="B45" s="1068" t="s">
        <v>845</v>
      </c>
      <c r="C45" s="1068"/>
      <c r="D45" s="1068"/>
      <c r="E45" s="1068"/>
      <c r="F45" s="1068"/>
      <c r="G45" s="1068"/>
      <c r="H45" s="1068"/>
    </row>
    <row r="46" spans="1:8" ht="15">
      <c r="A46" s="675"/>
      <c r="B46" s="1068"/>
      <c r="C46" s="1068"/>
      <c r="D46" s="1068"/>
      <c r="E46" s="1068"/>
      <c r="F46" s="1068"/>
      <c r="G46" s="1068"/>
      <c r="H46" s="1068"/>
    </row>
    <row r="47" spans="1:8" ht="15">
      <c r="A47" s="675"/>
      <c r="B47" s="1068"/>
      <c r="C47" s="1068"/>
      <c r="D47" s="1068"/>
      <c r="E47" s="1068"/>
      <c r="F47" s="1068"/>
      <c r="G47" s="1068"/>
      <c r="H47" s="1068"/>
    </row>
    <row r="48" spans="1:8" ht="15">
      <c r="A48" s="675"/>
      <c r="B48" s="1068"/>
      <c r="C48" s="1068"/>
      <c r="D48" s="1068"/>
      <c r="E48" s="1068"/>
      <c r="F48" s="1068"/>
      <c r="G48" s="1068"/>
      <c r="H48" s="1068"/>
    </row>
    <row r="49" spans="1:8" ht="15">
      <c r="A49" s="675"/>
      <c r="B49" s="675" t="s">
        <v>428</v>
      </c>
      <c r="C49" s="1068" t="s">
        <v>846</v>
      </c>
      <c r="D49" s="1068"/>
      <c r="E49" s="1068"/>
      <c r="F49" s="1068"/>
      <c r="G49" s="1068"/>
      <c r="H49" s="1068"/>
    </row>
    <row r="50" spans="1:8" ht="15">
      <c r="A50" s="675"/>
      <c r="B50" s="675"/>
      <c r="C50" s="1068"/>
      <c r="D50" s="1068"/>
      <c r="E50" s="1068"/>
      <c r="F50" s="1068"/>
      <c r="G50" s="1068"/>
      <c r="H50" s="1068"/>
    </row>
    <row r="51" spans="1:8" ht="33.75" customHeight="1">
      <c r="A51" s="675"/>
      <c r="B51" s="675"/>
      <c r="C51" s="1067" t="s">
        <v>5</v>
      </c>
      <c r="D51" s="1067"/>
      <c r="E51" s="1067"/>
      <c r="F51" s="1067"/>
      <c r="G51" s="1067"/>
      <c r="H51" s="1067"/>
    </row>
    <row r="52" spans="1:8" ht="15">
      <c r="A52" s="675"/>
      <c r="B52" s="675" t="s">
        <v>449</v>
      </c>
      <c r="C52" s="969" t="s">
        <v>848</v>
      </c>
      <c r="D52" s="969"/>
      <c r="E52" s="969"/>
      <c r="F52" s="969"/>
      <c r="G52" s="969"/>
      <c r="H52" s="969"/>
    </row>
    <row r="53" spans="1:8" ht="15">
      <c r="A53" s="675"/>
      <c r="B53" s="675"/>
      <c r="C53" s="969"/>
      <c r="D53" s="969"/>
      <c r="E53" s="969"/>
      <c r="F53" s="969"/>
      <c r="G53" s="969"/>
      <c r="H53" s="969"/>
    </row>
    <row r="54" spans="1:8" ht="15">
      <c r="A54" s="675"/>
      <c r="B54" s="675"/>
      <c r="C54" s="969"/>
      <c r="D54" s="969"/>
      <c r="E54" s="969"/>
      <c r="F54" s="969"/>
      <c r="G54" s="969"/>
      <c r="H54" s="969"/>
    </row>
    <row r="55" spans="1:8" ht="15">
      <c r="A55" s="675"/>
      <c r="B55" s="675"/>
      <c r="C55" s="969"/>
      <c r="D55" s="969"/>
      <c r="E55" s="969"/>
      <c r="F55" s="969"/>
      <c r="G55" s="969"/>
      <c r="H55" s="969"/>
    </row>
    <row r="56" spans="1:8" ht="30.75" customHeight="1">
      <c r="A56" s="675"/>
      <c r="B56" s="675"/>
      <c r="C56" s="1067" t="s">
        <v>6</v>
      </c>
      <c r="D56" s="1067"/>
      <c r="E56" s="1067"/>
      <c r="F56" s="1067"/>
      <c r="G56" s="1067"/>
      <c r="H56" s="1067"/>
    </row>
    <row r="57" spans="1:8" ht="15">
      <c r="A57" s="675"/>
      <c r="B57" s="675" t="s">
        <v>474</v>
      </c>
      <c r="C57" s="969" t="s">
        <v>850</v>
      </c>
      <c r="D57" s="969"/>
      <c r="E57" s="969"/>
      <c r="F57" s="969"/>
      <c r="G57" s="969"/>
      <c r="H57" s="969"/>
    </row>
    <row r="58" spans="1:8" ht="15">
      <c r="A58" s="675"/>
      <c r="B58" s="675"/>
      <c r="C58" s="969"/>
      <c r="D58" s="969"/>
      <c r="E58" s="969"/>
      <c r="F58" s="969"/>
      <c r="G58" s="969"/>
      <c r="H58" s="969"/>
    </row>
    <row r="59" spans="1:8" ht="15">
      <c r="A59" s="675"/>
      <c r="B59" s="675"/>
      <c r="C59" s="969"/>
      <c r="D59" s="969"/>
      <c r="E59" s="969"/>
      <c r="F59" s="969"/>
      <c r="G59" s="969"/>
      <c r="H59" s="969"/>
    </row>
    <row r="60" spans="1:8" ht="84.75" customHeight="1">
      <c r="A60" s="675"/>
      <c r="B60" s="675"/>
      <c r="C60" s="1067" t="s">
        <v>7</v>
      </c>
      <c r="D60" s="1067"/>
      <c r="E60" s="1067"/>
      <c r="F60" s="1067"/>
      <c r="G60" s="1067"/>
      <c r="H60" s="1067"/>
    </row>
    <row r="61" spans="1:8" ht="15">
      <c r="A61" s="737"/>
      <c r="B61" s="738"/>
      <c r="C61" s="738"/>
      <c r="D61" s="738"/>
      <c r="E61" s="738"/>
      <c r="F61" s="738"/>
      <c r="G61" s="738"/>
      <c r="H61" s="738"/>
    </row>
  </sheetData>
  <mergeCells count="18">
    <mergeCell ref="A9:H9"/>
    <mergeCell ref="A10:H10"/>
    <mergeCell ref="B24:H24"/>
    <mergeCell ref="A25:H28"/>
    <mergeCell ref="A30:H31"/>
    <mergeCell ref="B33:H34"/>
    <mergeCell ref="B35:H35"/>
    <mergeCell ref="B36:H38"/>
    <mergeCell ref="B39:H39"/>
    <mergeCell ref="B40:H43"/>
    <mergeCell ref="B44:H44"/>
    <mergeCell ref="B45:H48"/>
    <mergeCell ref="C57:H59"/>
    <mergeCell ref="C60:H60"/>
    <mergeCell ref="C49:H50"/>
    <mergeCell ref="C51:H51"/>
    <mergeCell ref="C52:H55"/>
    <mergeCell ref="C56:H56"/>
  </mergeCells>
  <dataValidations count="1">
    <dataValidation allowBlank="1" showInputMessage="1" showErrorMessage="1" promptTitle="Date Format" prompt="E.g:  &quot;August 1, 2011&quot;" sqref="H7"/>
  </dataValidations>
  <printOptions/>
  <pageMargins left="0.75" right="0.75" top="0.72" bottom="0.37" header="0.5" footer="0.22"/>
  <pageSetup fitToHeight="2"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dimension ref="B1:B3"/>
  <sheetViews>
    <sheetView workbookViewId="0" topLeftCell="A1">
      <selection activeCell="B1" sqref="B1"/>
    </sheetView>
  </sheetViews>
  <sheetFormatPr defaultColWidth="9.140625" defaultRowHeight="15"/>
  <sheetData>
    <row r="1" ht="15">
      <c r="B1" t="s">
        <v>304</v>
      </c>
    </row>
    <row r="3" ht="15">
      <c r="B3" t="s">
        <v>9</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H57"/>
  <sheetViews>
    <sheetView workbookViewId="0" topLeftCell="A31">
      <selection activeCell="B36" sqref="B36"/>
    </sheetView>
  </sheetViews>
  <sheetFormatPr defaultColWidth="9.140625" defaultRowHeight="15"/>
  <cols>
    <col min="1" max="1" width="4.8515625" style="0" customWidth="1"/>
    <col min="2" max="2" width="66.00390625" style="0" customWidth="1"/>
    <col min="5" max="5" width="11.421875" style="0" customWidth="1"/>
    <col min="6" max="6" width="11.7109375" style="0" customWidth="1"/>
    <col min="7" max="7" width="11.8515625" style="0" customWidth="1"/>
  </cols>
  <sheetData>
    <row r="1" spans="1:8" ht="15">
      <c r="A1" s="675"/>
      <c r="B1" s="675"/>
      <c r="C1" s="675"/>
      <c r="D1" s="675"/>
      <c r="E1" s="675"/>
      <c r="F1" s="676" t="s">
        <v>10</v>
      </c>
      <c r="G1" s="677" t="s">
        <v>11</v>
      </c>
      <c r="H1" s="675"/>
    </row>
    <row r="2" spans="1:8" ht="15">
      <c r="A2" s="675"/>
      <c r="B2" s="675"/>
      <c r="C2" s="675"/>
      <c r="D2" s="675"/>
      <c r="E2" s="675"/>
      <c r="F2" s="676" t="s">
        <v>12</v>
      </c>
      <c r="G2" s="677" t="s">
        <v>619</v>
      </c>
      <c r="H2" s="675"/>
    </row>
    <row r="3" spans="1:8" ht="15">
      <c r="A3" s="675"/>
      <c r="B3" s="675"/>
      <c r="C3" s="675"/>
      <c r="D3" s="675"/>
      <c r="E3" s="675"/>
      <c r="F3" s="676" t="s">
        <v>14</v>
      </c>
      <c r="G3" s="677" t="s">
        <v>620</v>
      </c>
      <c r="H3" s="675"/>
    </row>
    <row r="4" spans="1:8" ht="15">
      <c r="A4" s="675"/>
      <c r="B4" s="675"/>
      <c r="C4" s="675"/>
      <c r="D4" s="675"/>
      <c r="E4" s="675"/>
      <c r="F4" s="676" t="s">
        <v>16</v>
      </c>
      <c r="G4" s="677" t="s">
        <v>621</v>
      </c>
      <c r="H4" s="675"/>
    </row>
    <row r="5" spans="1:8" ht="15">
      <c r="A5" s="675"/>
      <c r="B5" s="675"/>
      <c r="C5" s="675"/>
      <c r="D5" s="675"/>
      <c r="E5" s="675"/>
      <c r="F5" s="676" t="s">
        <v>18</v>
      </c>
      <c r="G5" s="677" t="s">
        <v>622</v>
      </c>
      <c r="H5" s="675"/>
    </row>
    <row r="6" spans="1:8" ht="15">
      <c r="A6" s="675"/>
      <c r="B6" s="675"/>
      <c r="C6" s="675"/>
      <c r="D6" s="675"/>
      <c r="E6" s="675"/>
      <c r="F6" s="676" t="s">
        <v>19</v>
      </c>
      <c r="G6" s="678">
        <v>41037</v>
      </c>
      <c r="H6" s="675"/>
    </row>
    <row r="7" spans="1:8" ht="15">
      <c r="A7" s="675"/>
      <c r="B7" s="675"/>
      <c r="C7" s="675"/>
      <c r="D7" s="675"/>
      <c r="E7" s="675"/>
      <c r="F7" s="675"/>
      <c r="G7" s="675"/>
      <c r="H7" s="675"/>
    </row>
    <row r="8" spans="1:8" ht="18">
      <c r="A8" s="675"/>
      <c r="B8" s="918" t="s">
        <v>621</v>
      </c>
      <c r="C8" s="918"/>
      <c r="D8" s="918"/>
      <c r="E8" s="918"/>
      <c r="F8" s="675"/>
      <c r="G8" s="675"/>
      <c r="H8" s="675"/>
    </row>
    <row r="9" spans="1:8" ht="18">
      <c r="A9" s="675"/>
      <c r="B9" s="918" t="s">
        <v>623</v>
      </c>
      <c r="C9" s="918"/>
      <c r="D9" s="918"/>
      <c r="E9" s="918"/>
      <c r="F9" s="675"/>
      <c r="G9" s="675"/>
      <c r="H9" s="675"/>
    </row>
    <row r="10" spans="1:8" ht="15">
      <c r="A10" s="675"/>
      <c r="B10" s="675"/>
      <c r="C10" s="675"/>
      <c r="D10" s="675"/>
      <c r="E10" s="675"/>
      <c r="F10" s="675"/>
      <c r="G10" s="675"/>
      <c r="H10" s="675"/>
    </row>
    <row r="11" spans="1:8" ht="30.75" customHeight="1">
      <c r="A11" s="675"/>
      <c r="B11" s="974" t="s">
        <v>624</v>
      </c>
      <c r="C11" s="974"/>
      <c r="D11" s="974"/>
      <c r="E11" s="974"/>
      <c r="F11" s="974"/>
      <c r="G11" s="974"/>
      <c r="H11" s="675"/>
    </row>
    <row r="12" spans="1:8" ht="15.75" thickBot="1">
      <c r="A12" s="675"/>
      <c r="B12" s="675"/>
      <c r="C12" s="675"/>
      <c r="D12" s="675"/>
      <c r="E12" s="675"/>
      <c r="F12" s="675"/>
      <c r="G12" s="675"/>
      <c r="H12" s="675"/>
    </row>
    <row r="13" spans="1:8" ht="15">
      <c r="A13" s="675"/>
      <c r="B13" s="680" t="s">
        <v>625</v>
      </c>
      <c r="C13" s="681"/>
      <c r="D13" s="682"/>
      <c r="E13" s="1094" t="s">
        <v>626</v>
      </c>
      <c r="F13" s="1094"/>
      <c r="G13" s="1095"/>
      <c r="H13" s="675"/>
    </row>
    <row r="14" spans="1:8" ht="15.75" thickBot="1">
      <c r="A14" s="675"/>
      <c r="B14" s="684"/>
      <c r="C14" s="685"/>
      <c r="D14" s="686"/>
      <c r="E14" s="687" t="s">
        <v>627</v>
      </c>
      <c r="F14" s="688" t="s">
        <v>628</v>
      </c>
      <c r="G14" s="689" t="s">
        <v>112</v>
      </c>
      <c r="H14" s="690" t="s">
        <v>629</v>
      </c>
    </row>
    <row r="15" spans="1:8" ht="33" customHeight="1">
      <c r="A15" s="675"/>
      <c r="B15" s="1088" t="s">
        <v>630</v>
      </c>
      <c r="C15" s="1089"/>
      <c r="D15" s="1090"/>
      <c r="E15" s="691">
        <v>-54575</v>
      </c>
      <c r="F15" s="692">
        <v>-633969</v>
      </c>
      <c r="G15" s="693">
        <f>SUM(E15:F15)</f>
        <v>-688544</v>
      </c>
      <c r="H15" s="694" t="s">
        <v>631</v>
      </c>
    </row>
    <row r="16" spans="1:8" ht="48" customHeight="1">
      <c r="A16" s="675"/>
      <c r="B16" s="1085" t="s">
        <v>661</v>
      </c>
      <c r="C16" s="1086"/>
      <c r="D16" s="1087"/>
      <c r="E16" s="695">
        <v>0</v>
      </c>
      <c r="F16" s="695">
        <v>0</v>
      </c>
      <c r="G16" s="693">
        <f aca="true" t="shared" si="0" ref="G16:G27">SUM(E16:F16)</f>
        <v>0</v>
      </c>
      <c r="H16" s="694" t="s">
        <v>632</v>
      </c>
    </row>
    <row r="17" spans="1:8" ht="15">
      <c r="A17" s="675"/>
      <c r="B17" s="1088" t="s">
        <v>633</v>
      </c>
      <c r="C17" s="1089"/>
      <c r="D17" s="1090"/>
      <c r="E17" s="695">
        <v>0</v>
      </c>
      <c r="F17" s="695">
        <v>0</v>
      </c>
      <c r="G17" s="693">
        <f t="shared" si="0"/>
        <v>0</v>
      </c>
      <c r="H17" s="696">
        <v>3</v>
      </c>
    </row>
    <row r="18" spans="1:8" ht="15">
      <c r="A18" s="675"/>
      <c r="B18" s="1091" t="s">
        <v>634</v>
      </c>
      <c r="C18" s="1092"/>
      <c r="D18" s="1093"/>
      <c r="E18" s="695">
        <v>0</v>
      </c>
      <c r="F18" s="695">
        <v>0</v>
      </c>
      <c r="G18" s="693">
        <f t="shared" si="0"/>
        <v>0</v>
      </c>
      <c r="H18" s="696">
        <v>3</v>
      </c>
    </row>
    <row r="19" spans="1:8" ht="15">
      <c r="A19" s="675"/>
      <c r="B19" s="1085" t="s">
        <v>635</v>
      </c>
      <c r="C19" s="1086"/>
      <c r="D19" s="1087"/>
      <c r="E19" s="695">
        <v>0</v>
      </c>
      <c r="F19" s="695">
        <v>0</v>
      </c>
      <c r="G19" s="693">
        <f t="shared" si="0"/>
        <v>0</v>
      </c>
      <c r="H19" s="696">
        <v>3</v>
      </c>
    </row>
    <row r="20" spans="1:8" ht="15">
      <c r="A20" s="675"/>
      <c r="B20" s="1088" t="s">
        <v>636</v>
      </c>
      <c r="C20" s="1089"/>
      <c r="D20" s="1090"/>
      <c r="E20" s="695">
        <v>0</v>
      </c>
      <c r="F20" s="695">
        <v>0</v>
      </c>
      <c r="G20" s="693">
        <f t="shared" si="0"/>
        <v>0</v>
      </c>
      <c r="H20" s="696">
        <v>3</v>
      </c>
    </row>
    <row r="21" spans="1:8" ht="15">
      <c r="A21" s="675"/>
      <c r="B21" s="1091" t="s">
        <v>637</v>
      </c>
      <c r="C21" s="1092"/>
      <c r="D21" s="1093"/>
      <c r="E21" s="695">
        <v>0</v>
      </c>
      <c r="F21" s="695">
        <v>0</v>
      </c>
      <c r="G21" s="693">
        <f t="shared" si="0"/>
        <v>0</v>
      </c>
      <c r="H21" s="696">
        <v>3</v>
      </c>
    </row>
    <row r="22" spans="1:8" ht="15">
      <c r="A22" s="675"/>
      <c r="B22" s="1091" t="s">
        <v>638</v>
      </c>
      <c r="C22" s="1092"/>
      <c r="D22" s="1093"/>
      <c r="E22" s="695">
        <v>0</v>
      </c>
      <c r="F22" s="695">
        <v>0</v>
      </c>
      <c r="G22" s="693">
        <f t="shared" si="0"/>
        <v>0</v>
      </c>
      <c r="H22" s="696">
        <v>3</v>
      </c>
    </row>
    <row r="23" spans="1:8" ht="15">
      <c r="A23" s="675"/>
      <c r="B23" s="1085" t="s">
        <v>639</v>
      </c>
      <c r="C23" s="1086"/>
      <c r="D23" s="1087"/>
      <c r="E23" s="695">
        <v>0</v>
      </c>
      <c r="F23" s="695">
        <v>0</v>
      </c>
      <c r="G23" s="693">
        <f t="shared" si="0"/>
        <v>0</v>
      </c>
      <c r="H23" s="696">
        <v>3</v>
      </c>
    </row>
    <row r="24" spans="1:8" ht="15">
      <c r="A24" s="675"/>
      <c r="B24" s="1088" t="s">
        <v>640</v>
      </c>
      <c r="C24" s="1089"/>
      <c r="D24" s="1090"/>
      <c r="E24" s="695">
        <v>0</v>
      </c>
      <c r="F24" s="695">
        <v>0</v>
      </c>
      <c r="G24" s="693">
        <f t="shared" si="0"/>
        <v>0</v>
      </c>
      <c r="H24" s="696">
        <v>3</v>
      </c>
    </row>
    <row r="25" spans="1:8" ht="15">
      <c r="A25" s="675"/>
      <c r="B25" s="1085" t="s">
        <v>641</v>
      </c>
      <c r="C25" s="1086"/>
      <c r="D25" s="1087"/>
      <c r="E25" s="695">
        <v>0</v>
      </c>
      <c r="F25" s="695">
        <v>0</v>
      </c>
      <c r="G25" s="693">
        <f t="shared" si="0"/>
        <v>0</v>
      </c>
      <c r="H25" s="696">
        <v>3</v>
      </c>
    </row>
    <row r="26" spans="1:8" ht="30" customHeight="1">
      <c r="A26" s="675"/>
      <c r="B26" s="1085" t="s">
        <v>642</v>
      </c>
      <c r="C26" s="1086"/>
      <c r="D26" s="1087"/>
      <c r="E26" s="695">
        <v>0</v>
      </c>
      <c r="F26" s="695">
        <v>0</v>
      </c>
      <c r="G26" s="693">
        <f t="shared" si="0"/>
        <v>0</v>
      </c>
      <c r="H26" s="696">
        <v>3</v>
      </c>
    </row>
    <row r="27" spans="1:8" ht="15.75" thickBot="1">
      <c r="A27" s="675"/>
      <c r="B27" s="1078" t="s">
        <v>643</v>
      </c>
      <c r="C27" s="1079"/>
      <c r="D27" s="1080"/>
      <c r="E27" s="695">
        <v>0</v>
      </c>
      <c r="F27" s="695">
        <v>0</v>
      </c>
      <c r="G27" s="693">
        <f t="shared" si="0"/>
        <v>0</v>
      </c>
      <c r="H27" s="675"/>
    </row>
    <row r="28" spans="1:8" ht="15.75" thickBot="1">
      <c r="A28" s="675"/>
      <c r="B28" s="1081" t="s">
        <v>112</v>
      </c>
      <c r="C28" s="1082"/>
      <c r="D28" s="1083"/>
      <c r="E28" s="697">
        <f>SUM(E15:E27)</f>
        <v>-54575</v>
      </c>
      <c r="F28" s="697">
        <f>SUM(F15:F27)</f>
        <v>-633969</v>
      </c>
      <c r="G28" s="697">
        <f>SUM(G15:G27)</f>
        <v>-688544</v>
      </c>
      <c r="H28" s="675"/>
    </row>
    <row r="29" spans="1:8" ht="15">
      <c r="A29" s="675"/>
      <c r="B29" s="675"/>
      <c r="C29" s="675"/>
      <c r="D29" s="675"/>
      <c r="E29" s="675"/>
      <c r="F29" s="675"/>
      <c r="G29" s="675"/>
      <c r="H29" s="675"/>
    </row>
    <row r="30" spans="1:8" ht="15">
      <c r="A30" s="698" t="s">
        <v>644</v>
      </c>
      <c r="B30" s="698"/>
      <c r="C30" s="698"/>
      <c r="D30" s="699"/>
      <c r="E30" s="675"/>
      <c r="F30" s="675"/>
      <c r="G30" s="675"/>
      <c r="H30" s="675"/>
    </row>
    <row r="31" spans="1:8" ht="9" customHeight="1">
      <c r="A31" s="699"/>
      <c r="B31" s="699"/>
      <c r="C31" s="699"/>
      <c r="D31" s="699"/>
      <c r="E31" s="675"/>
      <c r="F31" s="675"/>
      <c r="G31" s="675"/>
      <c r="H31" s="675"/>
    </row>
    <row r="32" spans="1:8" ht="29.25" customHeight="1">
      <c r="A32" s="700" t="str">
        <f>"(1)"</f>
        <v>(1)</v>
      </c>
      <c r="B32" s="1076" t="s">
        <v>645</v>
      </c>
      <c r="C32" s="1076"/>
      <c r="D32" s="1076"/>
      <c r="E32" s="1076"/>
      <c r="F32" s="1076"/>
      <c r="G32" s="1076"/>
      <c r="H32" s="1076"/>
    </row>
    <row r="33" spans="1:8" ht="15">
      <c r="A33" s="700"/>
      <c r="B33" s="1084" t="s">
        <v>646</v>
      </c>
      <c r="C33" s="1084"/>
      <c r="D33" s="1084"/>
      <c r="E33" s="1084"/>
      <c r="F33" s="1084"/>
      <c r="G33" s="1084"/>
      <c r="H33" s="675"/>
    </row>
    <row r="34" spans="1:8" ht="15">
      <c r="A34" s="700"/>
      <c r="B34" s="702"/>
      <c r="C34" s="702"/>
      <c r="D34" s="702"/>
      <c r="E34" s="702"/>
      <c r="F34" s="702"/>
      <c r="G34" s="702"/>
      <c r="H34" s="675"/>
    </row>
    <row r="35" spans="1:8" ht="15">
      <c r="A35" s="700"/>
      <c r="B35" s="702"/>
      <c r="C35" s="702"/>
      <c r="D35" s="702"/>
      <c r="E35" s="702"/>
      <c r="F35" s="676" t="s">
        <v>10</v>
      </c>
      <c r="G35" s="677" t="s">
        <v>11</v>
      </c>
      <c r="H35" s="675"/>
    </row>
    <row r="36" spans="1:8" ht="15">
      <c r="A36" s="700"/>
      <c r="B36" s="702"/>
      <c r="C36" s="702"/>
      <c r="D36" s="702"/>
      <c r="E36" s="702"/>
      <c r="F36" s="676" t="s">
        <v>12</v>
      </c>
      <c r="G36" s="677" t="s">
        <v>619</v>
      </c>
      <c r="H36" s="675"/>
    </row>
    <row r="37" spans="1:8" ht="15">
      <c r="A37" s="700"/>
      <c r="B37" s="702"/>
      <c r="C37" s="702"/>
      <c r="D37" s="702"/>
      <c r="E37" s="702"/>
      <c r="F37" s="676" t="s">
        <v>14</v>
      </c>
      <c r="G37" s="677" t="s">
        <v>620</v>
      </c>
      <c r="H37" s="675"/>
    </row>
    <row r="38" spans="1:8" ht="15">
      <c r="A38" s="700"/>
      <c r="B38" s="702"/>
      <c r="C38" s="702"/>
      <c r="D38" s="702"/>
      <c r="E38" s="702"/>
      <c r="F38" s="676" t="s">
        <v>16</v>
      </c>
      <c r="G38" s="677" t="s">
        <v>621</v>
      </c>
      <c r="H38" s="675"/>
    </row>
    <row r="39" spans="1:8" ht="15">
      <c r="A39" s="700"/>
      <c r="B39" s="699"/>
      <c r="C39" s="699"/>
      <c r="D39" s="699"/>
      <c r="E39" s="675"/>
      <c r="F39" s="676" t="s">
        <v>18</v>
      </c>
      <c r="G39" s="677" t="s">
        <v>647</v>
      </c>
      <c r="H39" s="675"/>
    </row>
    <row r="40" spans="1:8" ht="15">
      <c r="A40" s="700"/>
      <c r="B40" s="699"/>
      <c r="C40" s="699"/>
      <c r="D40" s="699"/>
      <c r="E40" s="675"/>
      <c r="F40" s="676" t="s">
        <v>19</v>
      </c>
      <c r="G40" s="678">
        <v>41037</v>
      </c>
      <c r="H40" s="675"/>
    </row>
    <row r="41" spans="1:8" ht="15">
      <c r="A41" s="700" t="str">
        <f>"(2)"</f>
        <v>(2)</v>
      </c>
      <c r="B41" s="1076" t="s">
        <v>648</v>
      </c>
      <c r="C41" s="1076"/>
      <c r="D41" s="1076"/>
      <c r="E41" s="675"/>
      <c r="F41" s="675"/>
      <c r="G41" s="675"/>
      <c r="H41" s="675"/>
    </row>
    <row r="42" spans="1:8" ht="38.25" customHeight="1">
      <c r="A42" s="700"/>
      <c r="B42" s="1077" t="s">
        <v>649</v>
      </c>
      <c r="C42" s="1077"/>
      <c r="D42" s="1077"/>
      <c r="E42" s="1077"/>
      <c r="F42" s="1077"/>
      <c r="G42" s="1077"/>
      <c r="H42" s="1077"/>
    </row>
    <row r="43" spans="1:8" ht="15">
      <c r="A43" s="700"/>
      <c r="B43" s="701"/>
      <c r="C43" s="701"/>
      <c r="D43" s="701"/>
      <c r="E43" s="701"/>
      <c r="F43" s="701"/>
      <c r="G43" s="701"/>
      <c r="H43" s="701"/>
    </row>
    <row r="44" spans="1:8" ht="15">
      <c r="A44" s="700" t="str">
        <f>"(3)"</f>
        <v>(3)</v>
      </c>
      <c r="B44" s="1074" t="s">
        <v>650</v>
      </c>
      <c r="C44" s="1074"/>
      <c r="D44" s="1074"/>
      <c r="E44" s="1074"/>
      <c r="F44" s="1074"/>
      <c r="G44" s="1074"/>
      <c r="H44" s="1074"/>
    </row>
    <row r="45" spans="1:8" ht="42.75" customHeight="1">
      <c r="A45" s="700"/>
      <c r="B45" s="1073" t="s">
        <v>651</v>
      </c>
      <c r="C45" s="1073"/>
      <c r="D45" s="1073"/>
      <c r="E45" s="1073"/>
      <c r="F45" s="1073"/>
      <c r="G45" s="1073"/>
      <c r="H45" s="1073"/>
    </row>
    <row r="46" spans="1:8" ht="48" customHeight="1">
      <c r="A46" s="700"/>
      <c r="B46" s="1073" t="s">
        <v>652</v>
      </c>
      <c r="C46" s="1073"/>
      <c r="D46" s="1073"/>
      <c r="E46" s="1073"/>
      <c r="F46" s="1073"/>
      <c r="G46" s="1073"/>
      <c r="H46" s="1073"/>
    </row>
    <row r="47" spans="1:8" ht="35.25" customHeight="1">
      <c r="A47" s="700"/>
      <c r="B47" s="1073" t="s">
        <v>653</v>
      </c>
      <c r="C47" s="1073"/>
      <c r="D47" s="1073"/>
      <c r="E47" s="1073"/>
      <c r="F47" s="1073"/>
      <c r="G47" s="1073"/>
      <c r="H47" s="1073"/>
    </row>
    <row r="48" spans="1:8" ht="22.5" customHeight="1">
      <c r="A48" s="700"/>
      <c r="B48" s="1073" t="s">
        <v>654</v>
      </c>
      <c r="C48" s="1073"/>
      <c r="D48" s="1073"/>
      <c r="E48" s="1073"/>
      <c r="F48" s="1073"/>
      <c r="G48" s="1073"/>
      <c r="H48" s="1073"/>
    </row>
    <row r="49" spans="1:8" ht="15">
      <c r="A49" s="700"/>
      <c r="B49" s="699"/>
      <c r="C49" s="699"/>
      <c r="D49" s="699"/>
      <c r="E49" s="675"/>
      <c r="F49" s="675"/>
      <c r="G49" s="675"/>
      <c r="H49" s="675"/>
    </row>
    <row r="50" spans="1:8" ht="15">
      <c r="A50" s="700" t="str">
        <f>"(4)"</f>
        <v>(4)</v>
      </c>
      <c r="B50" s="1074" t="s">
        <v>655</v>
      </c>
      <c r="C50" s="1074"/>
      <c r="D50" s="1074"/>
      <c r="E50" s="1074"/>
      <c r="F50" s="1074"/>
      <c r="G50" s="1074"/>
      <c r="H50" s="1074"/>
    </row>
    <row r="51" spans="1:8" ht="42.75" customHeight="1">
      <c r="A51" s="700"/>
      <c r="B51" s="1073" t="s">
        <v>656</v>
      </c>
      <c r="C51" s="1073"/>
      <c r="D51" s="1073"/>
      <c r="E51" s="1073"/>
      <c r="F51" s="1073"/>
      <c r="G51" s="1073"/>
      <c r="H51" s="675"/>
    </row>
    <row r="52" spans="1:8" ht="15">
      <c r="A52" s="700"/>
      <c r="B52" s="705"/>
      <c r="C52" s="705"/>
      <c r="D52" s="705"/>
      <c r="E52" s="675"/>
      <c r="F52" s="675"/>
      <c r="G52" s="675"/>
      <c r="H52" s="675"/>
    </row>
    <row r="53" spans="1:8" ht="15">
      <c r="A53" s="706" t="str">
        <f>"(5)"</f>
        <v>(5)</v>
      </c>
      <c r="B53" s="1074" t="s">
        <v>657</v>
      </c>
      <c r="C53" s="1074"/>
      <c r="D53" s="1074"/>
      <c r="E53" s="1074"/>
      <c r="F53" s="1074"/>
      <c r="G53" s="1074"/>
      <c r="H53" s="675"/>
    </row>
    <row r="54" spans="1:8" ht="33" customHeight="1">
      <c r="A54" s="700"/>
      <c r="B54" s="1075" t="s">
        <v>658</v>
      </c>
      <c r="C54" s="1075"/>
      <c r="D54" s="1075"/>
      <c r="E54" s="1075"/>
      <c r="F54" s="1075"/>
      <c r="G54" s="1075"/>
      <c r="H54" s="675"/>
    </row>
    <row r="55" spans="1:8" ht="15">
      <c r="A55" s="700"/>
      <c r="B55" s="699"/>
      <c r="C55" s="699"/>
      <c r="D55" s="699"/>
      <c r="E55" s="675"/>
      <c r="F55" s="675"/>
      <c r="G55" s="675"/>
      <c r="H55" s="675"/>
    </row>
    <row r="56" spans="1:8" ht="15">
      <c r="A56" s="700" t="str">
        <f>"(6)"</f>
        <v>(6)</v>
      </c>
      <c r="B56" s="1074" t="s">
        <v>659</v>
      </c>
      <c r="C56" s="1074"/>
      <c r="D56" s="1074"/>
      <c r="E56" s="1074"/>
      <c r="F56" s="1074"/>
      <c r="G56" s="1074"/>
      <c r="H56" s="1074"/>
    </row>
    <row r="57" spans="1:8" ht="15">
      <c r="A57" s="707"/>
      <c r="B57" s="704" t="s">
        <v>660</v>
      </c>
      <c r="C57" s="703"/>
      <c r="D57" s="703"/>
      <c r="E57" s="708"/>
      <c r="F57" s="708"/>
      <c r="G57" s="708"/>
      <c r="H57" s="708"/>
    </row>
  </sheetData>
  <mergeCells count="32">
    <mergeCell ref="B8:E8"/>
    <mergeCell ref="B9:E9"/>
    <mergeCell ref="B11:G11"/>
    <mergeCell ref="E13:G13"/>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32:H32"/>
    <mergeCell ref="B33:G33"/>
    <mergeCell ref="B41:D41"/>
    <mergeCell ref="B42:H42"/>
    <mergeCell ref="B44:H44"/>
    <mergeCell ref="B45:H45"/>
    <mergeCell ref="B46:H46"/>
    <mergeCell ref="B47:H47"/>
    <mergeCell ref="B48:H48"/>
    <mergeCell ref="B50:H50"/>
    <mergeCell ref="B51:G51"/>
    <mergeCell ref="B53:G53"/>
    <mergeCell ref="B54:G54"/>
    <mergeCell ref="B56:H56"/>
  </mergeCells>
  <dataValidations count="1">
    <dataValidation allowBlank="1" showInputMessage="1" showErrorMessage="1" promptTitle="Date Format" prompt="E.g:  &quot;August 1, 2011&quot;" sqref="G40 G6"/>
  </dataValidations>
  <printOptions/>
  <pageMargins left="0.52" right="0.54" top="0.54" bottom="0.38" header="0.5" footer="0.23"/>
  <pageSetup fitToHeight="2" horizontalDpi="600" verticalDpi="600" orientation="landscape" scale="91" r:id="rId1"/>
  <rowBreaks count="1" manualBreakCount="1">
    <brk id="33" max="255" man="1"/>
  </rowBreaks>
</worksheet>
</file>

<file path=xl/worksheets/sheet27.xml><?xml version="1.0" encoding="utf-8"?>
<worksheet xmlns="http://schemas.openxmlformats.org/spreadsheetml/2006/main" xmlns:r="http://schemas.openxmlformats.org/officeDocument/2006/relationships">
  <sheetPr>
    <pageSetUpPr fitToPage="1"/>
  </sheetPr>
  <dimension ref="B1:Q29"/>
  <sheetViews>
    <sheetView showGridLines="0" zoomScalePageLayoutView="0" workbookViewId="0" topLeftCell="A1">
      <selection activeCell="I38" sqref="I38"/>
    </sheetView>
  </sheetViews>
  <sheetFormatPr defaultColWidth="9.140625" defaultRowHeight="15"/>
  <cols>
    <col min="1" max="1" width="2.7109375" style="1" customWidth="1"/>
    <col min="2" max="2" width="23.28125" style="1" customWidth="1"/>
    <col min="3" max="3" width="12.7109375" style="1" customWidth="1"/>
    <col min="4" max="5" width="11.7109375" style="1" customWidth="1"/>
    <col min="6" max="6" width="13.7109375" style="1" customWidth="1"/>
    <col min="7" max="7" width="14.00390625" style="1" bestFit="1" customWidth="1"/>
    <col min="8" max="8" width="12.7109375" style="1" customWidth="1"/>
    <col min="9" max="11" width="10.7109375" style="1" customWidth="1"/>
    <col min="12" max="12" width="15.57421875" style="1" customWidth="1"/>
    <col min="13" max="13" width="0.85546875" style="1" customWidth="1"/>
    <col min="14" max="17" width="13.57421875" style="1" customWidth="1"/>
    <col min="18" max="16384" width="9.140625" style="1" customWidth="1"/>
  </cols>
  <sheetData>
    <row r="1" spans="16:17" ht="12.75">
      <c r="P1" s="2" t="s">
        <v>10</v>
      </c>
      <c r="Q1" s="3" t="s">
        <v>11</v>
      </c>
    </row>
    <row r="2" spans="16:17" ht="12.75">
      <c r="P2" s="2" t="s">
        <v>12</v>
      </c>
      <c r="Q2" s="3" t="s">
        <v>497</v>
      </c>
    </row>
    <row r="3" spans="16:17" ht="12.75">
      <c r="P3" s="2" t="s">
        <v>14</v>
      </c>
      <c r="Q3" s="3">
        <v>6</v>
      </c>
    </row>
    <row r="4" spans="16:17" ht="12.75">
      <c r="P4" s="2" t="s">
        <v>16</v>
      </c>
      <c r="Q4" s="3">
        <v>6</v>
      </c>
    </row>
    <row r="5" spans="16:17" ht="12.75">
      <c r="P5" s="2" t="s">
        <v>18</v>
      </c>
      <c r="Q5" s="3"/>
    </row>
    <row r="6" ht="12.75">
      <c r="P6" s="2"/>
    </row>
    <row r="7" spans="16:17" ht="12.75">
      <c r="P7" s="2" t="s">
        <v>19</v>
      </c>
      <c r="Q7" s="6">
        <v>41033</v>
      </c>
    </row>
    <row r="9" spans="2:17" ht="18">
      <c r="B9" s="919" t="s">
        <v>539</v>
      </c>
      <c r="C9" s="919"/>
      <c r="D9" s="919"/>
      <c r="E9" s="919"/>
      <c r="F9" s="919"/>
      <c r="G9" s="919"/>
      <c r="H9" s="919"/>
      <c r="I9" s="919"/>
      <c r="J9" s="919"/>
      <c r="K9" s="919"/>
      <c r="L9" s="919"/>
      <c r="M9" s="919"/>
      <c r="N9" s="919"/>
      <c r="O9" s="919"/>
      <c r="P9" s="919"/>
      <c r="Q9" s="919"/>
    </row>
    <row r="10" spans="2:17" ht="18">
      <c r="B10" s="919" t="s">
        <v>540</v>
      </c>
      <c r="C10" s="919"/>
      <c r="D10" s="919"/>
      <c r="E10" s="919"/>
      <c r="F10" s="919"/>
      <c r="G10" s="919"/>
      <c r="H10" s="919"/>
      <c r="I10" s="919"/>
      <c r="J10" s="919"/>
      <c r="K10" s="919"/>
      <c r="L10" s="919"/>
      <c r="M10" s="919"/>
      <c r="N10" s="919"/>
      <c r="O10" s="919"/>
      <c r="P10" s="919"/>
      <c r="Q10" s="919"/>
    </row>
    <row r="11" ht="13.5" thickBot="1"/>
    <row r="12" spans="2:17" ht="13.5" customHeight="1" thickBot="1">
      <c r="B12" s="518" t="s">
        <v>541</v>
      </c>
      <c r="C12" s="1096" t="s">
        <v>542</v>
      </c>
      <c r="D12" s="1098" t="s">
        <v>543</v>
      </c>
      <c r="E12" s="1099"/>
      <c r="F12" s="1100"/>
      <c r="G12" s="1101" t="s">
        <v>544</v>
      </c>
      <c r="H12" s="1102"/>
      <c r="I12" s="1103" t="s">
        <v>545</v>
      </c>
      <c r="J12" s="1101"/>
      <c r="K12" s="1102"/>
      <c r="L12" s="1096" t="s">
        <v>546</v>
      </c>
      <c r="M12" s="519"/>
      <c r="N12" s="1096" t="s">
        <v>547</v>
      </c>
      <c r="O12" s="1096" t="s">
        <v>548</v>
      </c>
      <c r="P12" s="1096" t="s">
        <v>112</v>
      </c>
      <c r="Q12" s="1104" t="s">
        <v>549</v>
      </c>
    </row>
    <row r="13" spans="2:17" ht="39" thickBot="1">
      <c r="B13" s="520"/>
      <c r="C13" s="1097"/>
      <c r="D13" s="521" t="s">
        <v>550</v>
      </c>
      <c r="E13" s="521" t="s">
        <v>551</v>
      </c>
      <c r="F13" s="522" t="s">
        <v>552</v>
      </c>
      <c r="G13" s="522" t="s">
        <v>553</v>
      </c>
      <c r="H13" s="523" t="s">
        <v>554</v>
      </c>
      <c r="I13" s="521" t="s">
        <v>555</v>
      </c>
      <c r="J13" s="1106" t="s">
        <v>556</v>
      </c>
      <c r="K13" s="1107"/>
      <c r="L13" s="1097"/>
      <c r="M13" s="524"/>
      <c r="N13" s="1097"/>
      <c r="O13" s="1097"/>
      <c r="P13" s="1097"/>
      <c r="Q13" s="1105"/>
    </row>
    <row r="14" spans="2:17" ht="12.75">
      <c r="B14" s="525"/>
      <c r="C14" s="525"/>
      <c r="D14" s="525"/>
      <c r="E14" s="525"/>
      <c r="F14" s="525"/>
      <c r="G14" s="525"/>
      <c r="H14" s="526"/>
      <c r="I14" s="525"/>
      <c r="J14" s="527" t="s">
        <v>553</v>
      </c>
      <c r="K14" s="527" t="s">
        <v>554</v>
      </c>
      <c r="L14" s="528"/>
      <c r="M14" s="529"/>
      <c r="N14" s="528"/>
      <c r="O14" s="528"/>
      <c r="P14" s="528"/>
      <c r="Q14" s="526"/>
    </row>
    <row r="15" spans="2:17" ht="12.75">
      <c r="B15" s="525"/>
      <c r="C15" s="525"/>
      <c r="D15" s="525"/>
      <c r="E15" s="525"/>
      <c r="F15" s="525"/>
      <c r="G15" s="525"/>
      <c r="H15" s="526"/>
      <c r="I15" s="525"/>
      <c r="J15" s="525"/>
      <c r="K15" s="525"/>
      <c r="L15" s="525"/>
      <c r="M15" s="529"/>
      <c r="N15" s="525"/>
      <c r="O15" s="525"/>
      <c r="P15" s="525"/>
      <c r="Q15" s="526"/>
    </row>
    <row r="16" spans="2:17" ht="12.75">
      <c r="B16" s="530" t="s">
        <v>433</v>
      </c>
      <c r="C16" s="531" t="s">
        <v>557</v>
      </c>
      <c r="D16" s="532">
        <v>305233</v>
      </c>
      <c r="E16" s="532">
        <v>311385</v>
      </c>
      <c r="F16" s="533">
        <f aca="true" t="shared" si="0" ref="F16:F23">IF(SUM(D16:E16)=0,0,AVERAGE(D16:E16))</f>
        <v>308309</v>
      </c>
      <c r="G16" s="532">
        <v>2727901710.658247</v>
      </c>
      <c r="H16" s="534"/>
      <c r="I16" s="535">
        <v>13.57</v>
      </c>
      <c r="J16" s="536">
        <v>0.0154</v>
      </c>
      <c r="K16" s="536"/>
      <c r="L16" s="537">
        <f aca="true" t="shared" si="1" ref="L16:L23">I16*F16*12+J16*G16+K16*H16</f>
        <v>92214723.90413702</v>
      </c>
      <c r="M16" s="529"/>
      <c r="N16" s="538">
        <v>92190287.91852027</v>
      </c>
      <c r="O16" s="538"/>
      <c r="P16" s="537">
        <f aca="true" t="shared" si="2" ref="P16:P23">SUM(N16:O16)</f>
        <v>92190287.91852027</v>
      </c>
      <c r="Q16" s="539">
        <f aca="true" t="shared" si="3" ref="Q16:Q23">P16-L16</f>
        <v>-24435.985616743565</v>
      </c>
    </row>
    <row r="17" spans="2:17" ht="12.75">
      <c r="B17" s="530" t="s">
        <v>434</v>
      </c>
      <c r="C17" s="531" t="s">
        <v>557</v>
      </c>
      <c r="D17" s="532">
        <v>30966</v>
      </c>
      <c r="E17" s="532">
        <v>31432</v>
      </c>
      <c r="F17" s="533">
        <f t="shared" si="0"/>
        <v>31199</v>
      </c>
      <c r="G17" s="532">
        <v>1049877267.7177614</v>
      </c>
      <c r="H17" s="534"/>
      <c r="I17" s="535">
        <v>27.91</v>
      </c>
      <c r="J17" s="536">
        <v>0.0151</v>
      </c>
      <c r="K17" s="536"/>
      <c r="L17" s="537">
        <f t="shared" si="1"/>
        <v>26302315.822538197</v>
      </c>
      <c r="M17" s="529"/>
      <c r="N17" s="538">
        <v>26328439.282699335</v>
      </c>
      <c r="O17" s="538"/>
      <c r="P17" s="537">
        <f t="shared" si="2"/>
        <v>26328439.282699335</v>
      </c>
      <c r="Q17" s="539">
        <f t="shared" si="3"/>
        <v>26123.460161138326</v>
      </c>
    </row>
    <row r="18" spans="2:17" ht="12.75">
      <c r="B18" s="530" t="s">
        <v>558</v>
      </c>
      <c r="C18" s="531" t="s">
        <v>557</v>
      </c>
      <c r="D18" s="532">
        <v>4647</v>
      </c>
      <c r="E18" s="532">
        <v>4676</v>
      </c>
      <c r="F18" s="533">
        <f t="shared" si="0"/>
        <v>4661.5</v>
      </c>
      <c r="G18" s="532"/>
      <c r="H18" s="534">
        <v>12130724.264376055</v>
      </c>
      <c r="I18" s="535">
        <v>148.18</v>
      </c>
      <c r="J18" s="536"/>
      <c r="K18" s="536">
        <v>3.664</v>
      </c>
      <c r="L18" s="537">
        <f t="shared" si="1"/>
        <v>52735866.544673875</v>
      </c>
      <c r="M18" s="529"/>
      <c r="N18" s="538">
        <v>50412289.13036639</v>
      </c>
      <c r="O18" s="538">
        <v>2322897.0677031786</v>
      </c>
      <c r="P18" s="537">
        <f t="shared" si="2"/>
        <v>52735186.19806957</v>
      </c>
      <c r="Q18" s="539">
        <f t="shared" si="3"/>
        <v>-680.3466043025255</v>
      </c>
    </row>
    <row r="19" spans="2:17" ht="12.75">
      <c r="B19" s="530" t="s">
        <v>559</v>
      </c>
      <c r="C19" s="531" t="s">
        <v>557</v>
      </c>
      <c r="D19" s="532">
        <v>2</v>
      </c>
      <c r="E19" s="532">
        <v>2</v>
      </c>
      <c r="F19" s="533">
        <f t="shared" si="0"/>
        <v>2</v>
      </c>
      <c r="G19" s="532"/>
      <c r="H19" s="534">
        <v>187932.25748812794</v>
      </c>
      <c r="I19" s="535">
        <v>6017.469999999999</v>
      </c>
      <c r="J19" s="536"/>
      <c r="K19" s="536">
        <v>1.9407999999999999</v>
      </c>
      <c r="L19" s="537">
        <f t="shared" si="1"/>
        <v>509158.20533295866</v>
      </c>
      <c r="M19" s="529"/>
      <c r="N19" s="538">
        <v>396399.7030343777</v>
      </c>
      <c r="O19" s="538">
        <v>112759.2</v>
      </c>
      <c r="P19" s="537">
        <f t="shared" si="2"/>
        <v>509158.9030343777</v>
      </c>
      <c r="Q19" s="539">
        <f t="shared" si="3"/>
        <v>0.6977014190633781</v>
      </c>
    </row>
    <row r="20" spans="2:17" ht="12.75">
      <c r="B20" s="530" t="s">
        <v>560</v>
      </c>
      <c r="C20" s="531" t="s">
        <v>561</v>
      </c>
      <c r="D20" s="532">
        <v>82656</v>
      </c>
      <c r="E20" s="532">
        <v>84084</v>
      </c>
      <c r="F20" s="533">
        <f t="shared" si="0"/>
        <v>83370</v>
      </c>
      <c r="G20" s="532"/>
      <c r="H20" s="534">
        <v>176787.3242700957</v>
      </c>
      <c r="I20" s="535">
        <v>1.34</v>
      </c>
      <c r="J20" s="536"/>
      <c r="K20" s="536">
        <v>5.9768</v>
      </c>
      <c r="L20" s="537">
        <f t="shared" si="1"/>
        <v>2397212.0796975084</v>
      </c>
      <c r="M20" s="529"/>
      <c r="N20" s="538">
        <v>2397217.3950946606</v>
      </c>
      <c r="O20" s="538"/>
      <c r="P20" s="537">
        <f t="shared" si="2"/>
        <v>2397217.3950946606</v>
      </c>
      <c r="Q20" s="539">
        <f t="shared" si="3"/>
        <v>5.315397152211517</v>
      </c>
    </row>
    <row r="21" spans="2:17" ht="12.75">
      <c r="B21" s="530" t="s">
        <v>438</v>
      </c>
      <c r="C21" s="531" t="s">
        <v>561</v>
      </c>
      <c r="D21" s="532">
        <v>120</v>
      </c>
      <c r="E21" s="532">
        <v>120</v>
      </c>
      <c r="F21" s="533">
        <f t="shared" si="0"/>
        <v>120</v>
      </c>
      <c r="G21" s="532"/>
      <c r="H21" s="534">
        <v>1240.2832501719377</v>
      </c>
      <c r="I21" s="535">
        <v>3.51</v>
      </c>
      <c r="J21" s="536"/>
      <c r="K21" s="536">
        <v>8.8506</v>
      </c>
      <c r="L21" s="537">
        <f t="shared" si="1"/>
        <v>16031.65093397175</v>
      </c>
      <c r="M21" s="529"/>
      <c r="N21" s="538">
        <v>16031.6090531068</v>
      </c>
      <c r="O21" s="538"/>
      <c r="P21" s="537">
        <f t="shared" si="2"/>
        <v>16031.6090531068</v>
      </c>
      <c r="Q21" s="539">
        <f t="shared" si="3"/>
        <v>-0.041880864950144314</v>
      </c>
    </row>
    <row r="22" spans="2:17" ht="12.75">
      <c r="B22" s="530" t="s">
        <v>562</v>
      </c>
      <c r="C22" s="531" t="s">
        <v>561</v>
      </c>
      <c r="D22" s="532">
        <v>2804</v>
      </c>
      <c r="E22" s="532">
        <v>2824</v>
      </c>
      <c r="F22" s="533">
        <f t="shared" si="0"/>
        <v>2814</v>
      </c>
      <c r="G22" s="532">
        <v>12918548.558988646</v>
      </c>
      <c r="H22" s="534"/>
      <c r="I22" s="535">
        <v>8.059999999999999</v>
      </c>
      <c r="J22" s="536">
        <v>0.0159</v>
      </c>
      <c r="K22" s="536"/>
      <c r="L22" s="537">
        <f t="shared" si="1"/>
        <v>477575.00208791945</v>
      </c>
      <c r="M22" s="529"/>
      <c r="N22" s="538">
        <v>478595.06681559567</v>
      </c>
      <c r="O22" s="538"/>
      <c r="P22" s="537">
        <f t="shared" si="2"/>
        <v>478595.06681559567</v>
      </c>
      <c r="Q22" s="539">
        <f t="shared" si="3"/>
        <v>1020.0647276762174</v>
      </c>
    </row>
    <row r="23" spans="2:17" ht="13.5" thickBot="1">
      <c r="B23" s="530"/>
      <c r="C23" s="531"/>
      <c r="D23" s="532"/>
      <c r="E23" s="532"/>
      <c r="F23" s="533">
        <f t="shared" si="0"/>
        <v>0</v>
      </c>
      <c r="G23" s="532"/>
      <c r="H23" s="534"/>
      <c r="I23" s="535"/>
      <c r="J23" s="536"/>
      <c r="K23" s="536"/>
      <c r="L23" s="540">
        <f t="shared" si="1"/>
        <v>0</v>
      </c>
      <c r="M23" s="529"/>
      <c r="N23" s="538"/>
      <c r="O23" s="538"/>
      <c r="P23" s="540">
        <f t="shared" si="2"/>
        <v>0</v>
      </c>
      <c r="Q23" s="540">
        <f t="shared" si="3"/>
        <v>0</v>
      </c>
    </row>
    <row r="24" spans="2:17" ht="13.5" thickTop="1">
      <c r="B24" s="525"/>
      <c r="C24" s="525"/>
      <c r="D24" s="525"/>
      <c r="E24" s="525"/>
      <c r="F24" s="525"/>
      <c r="G24" s="525"/>
      <c r="H24" s="526"/>
      <c r="I24" s="525"/>
      <c r="J24" s="525"/>
      <c r="K24" s="525"/>
      <c r="L24" s="541"/>
      <c r="M24" s="529"/>
      <c r="N24" s="542"/>
      <c r="O24" s="542"/>
      <c r="P24" s="525"/>
      <c r="Q24" s="526"/>
    </row>
    <row r="25" spans="2:17" ht="13.5" thickBot="1">
      <c r="B25" s="543" t="s">
        <v>112</v>
      </c>
      <c r="C25" s="544"/>
      <c r="D25" s="544"/>
      <c r="E25" s="544"/>
      <c r="F25" s="544"/>
      <c r="G25" s="544"/>
      <c r="H25" s="545"/>
      <c r="I25" s="544"/>
      <c r="J25" s="544"/>
      <c r="K25" s="544"/>
      <c r="L25" s="546">
        <f>SUM(L16:L23)</f>
        <v>174652883.20940146</v>
      </c>
      <c r="M25" s="547"/>
      <c r="N25" s="546">
        <f>SUM(N16:N23)</f>
        <v>172219260.10558373</v>
      </c>
      <c r="O25" s="546">
        <f>SUM(O16:O23)</f>
        <v>2435656.267703179</v>
      </c>
      <c r="P25" s="546">
        <f>N25+O25</f>
        <v>174654916.3732869</v>
      </c>
      <c r="Q25" s="548">
        <f>P25-L25</f>
        <v>2033.1638854444027</v>
      </c>
    </row>
    <row r="28" ht="12.75">
      <c r="C28" s="210"/>
    </row>
    <row r="29" ht="12.75">
      <c r="C29" s="210"/>
    </row>
  </sheetData>
  <sheetProtection/>
  <mergeCells count="12">
    <mergeCell ref="Q12:Q13"/>
    <mergeCell ref="J13:K13"/>
    <mergeCell ref="B9:Q9"/>
    <mergeCell ref="B10:Q10"/>
    <mergeCell ref="C12:C13"/>
    <mergeCell ref="D12:F12"/>
    <mergeCell ref="G12:H12"/>
    <mergeCell ref="I12:K12"/>
    <mergeCell ref="L12:L13"/>
    <mergeCell ref="N12:N13"/>
    <mergeCell ref="O12:O13"/>
    <mergeCell ref="P12:P13"/>
  </mergeCells>
  <dataValidations count="2">
    <dataValidation allowBlank="1" showInputMessage="1" showErrorMessage="1" promptTitle="Date Format" prompt="E.g:  &quot;August 1, 2011&quot;" sqref="Q7"/>
    <dataValidation type="list" allowBlank="1" showInputMessage="1" showErrorMessage="1" sqref="C16:C23">
      <formula1>"Customers, Connections"</formula1>
    </dataValidation>
  </dataValidations>
  <printOptions/>
  <pageMargins left="0.57" right="0.53" top="1" bottom="1" header="0.5" footer="0.5"/>
  <pageSetup fitToHeight="1" fitToWidth="1" horizontalDpi="600" verticalDpi="600" orientation="landscape" scale="61" r:id="rId1"/>
</worksheet>
</file>

<file path=xl/worksheets/sheet28.xml><?xml version="1.0" encoding="utf-8"?>
<worksheet xmlns="http://schemas.openxmlformats.org/spreadsheetml/2006/main" xmlns:r="http://schemas.openxmlformats.org/officeDocument/2006/relationships">
  <sheetPr>
    <pageSetUpPr fitToPage="1"/>
  </sheetPr>
  <dimension ref="A1:X357"/>
  <sheetViews>
    <sheetView showGridLines="0" zoomScale="75" zoomScaleNormal="75" zoomScalePageLayoutView="0" workbookViewId="0" topLeftCell="A1">
      <selection activeCell="U27" sqref="U27"/>
    </sheetView>
  </sheetViews>
  <sheetFormatPr defaultColWidth="9.140625" defaultRowHeight="15"/>
  <cols>
    <col min="1" max="1" width="2.7109375" style="560" customWidth="1"/>
    <col min="2" max="2" width="4.57421875" style="395" customWidth="1"/>
    <col min="3" max="3" width="5.57421875" style="395" customWidth="1"/>
    <col min="4" max="4" width="33.28125" style="561" customWidth="1"/>
    <col min="5" max="5" width="1.28515625" style="561" customWidth="1"/>
    <col min="6" max="6" width="14.00390625" style="561" customWidth="1"/>
    <col min="7" max="7" width="1.28515625" style="561" customWidth="1"/>
    <col min="8" max="8" width="12.28125" style="561" customWidth="1"/>
    <col min="9" max="9" width="10.28125" style="561" bestFit="1" customWidth="1"/>
    <col min="10" max="10" width="15.28125" style="561" customWidth="1"/>
    <col min="11" max="11" width="2.8515625" style="561" customWidth="1"/>
    <col min="12" max="12" width="12.140625" style="561" customWidth="1"/>
    <col min="13" max="13" width="10.28125" style="561" bestFit="1" customWidth="1"/>
    <col min="14" max="14" width="15.00390625" style="561" customWidth="1"/>
    <col min="15" max="15" width="2.8515625" style="561" customWidth="1"/>
    <col min="16" max="16" width="12.7109375" style="561" bestFit="1" customWidth="1"/>
    <col min="17" max="17" width="8.7109375" style="561" customWidth="1"/>
    <col min="18" max="18" width="3.8515625" style="395" customWidth="1"/>
    <col min="19" max="19" width="9.140625" style="395" customWidth="1"/>
    <col min="20" max="24" width="9.140625" style="258" customWidth="1"/>
    <col min="25" max="16384" width="9.140625" style="395" customWidth="1"/>
  </cols>
  <sheetData>
    <row r="1" spans="1:24" s="549" customFormat="1" ht="34.5" customHeight="1">
      <c r="A1" s="452"/>
      <c r="C1" s="550"/>
      <c r="D1" s="551"/>
      <c r="E1" s="552"/>
      <c r="F1" s="552"/>
      <c r="G1" s="552"/>
      <c r="H1" s="552"/>
      <c r="I1" s="552"/>
      <c r="J1" s="552"/>
      <c r="K1" s="552"/>
      <c r="L1" s="552"/>
      <c r="M1" s="552"/>
      <c r="N1" s="2" t="s">
        <v>10</v>
      </c>
      <c r="O1" s="463"/>
      <c r="P1" s="463" t="s">
        <v>11</v>
      </c>
      <c r="Q1" s="463"/>
      <c r="R1" s="1"/>
      <c r="T1" s="259"/>
      <c r="U1" s="259"/>
      <c r="V1" s="259"/>
      <c r="W1" s="259"/>
      <c r="X1" s="259"/>
    </row>
    <row r="2" spans="1:24" s="549" customFormat="1" ht="19.5" customHeight="1">
      <c r="A2" s="553"/>
      <c r="C2" s="554"/>
      <c r="D2" s="453"/>
      <c r="E2" s="554"/>
      <c r="F2" s="554"/>
      <c r="G2" s="554"/>
      <c r="H2" s="554"/>
      <c r="I2" s="554"/>
      <c r="J2" s="554"/>
      <c r="K2" s="554"/>
      <c r="L2" s="554"/>
      <c r="M2" s="554"/>
      <c r="N2" s="2" t="s">
        <v>12</v>
      </c>
      <c r="O2" s="463"/>
      <c r="P2" s="463" t="s">
        <v>497</v>
      </c>
      <c r="Q2" s="463"/>
      <c r="R2" s="1"/>
      <c r="T2" s="259"/>
      <c r="U2" s="259"/>
      <c r="V2" s="259"/>
      <c r="W2" s="259"/>
      <c r="X2" s="259"/>
    </row>
    <row r="3" spans="1:24" s="549" customFormat="1" ht="21.75" customHeight="1">
      <c r="A3" s="553"/>
      <c r="C3" s="554"/>
      <c r="D3" s="453" t="s">
        <v>482</v>
      </c>
      <c r="E3" s="554"/>
      <c r="F3" s="554"/>
      <c r="G3" s="554"/>
      <c r="H3" s="554"/>
      <c r="I3" s="554"/>
      <c r="J3" s="554"/>
      <c r="K3" s="554"/>
      <c r="L3" s="554"/>
      <c r="M3" s="554"/>
      <c r="N3" s="2" t="s">
        <v>14</v>
      </c>
      <c r="O3" s="463"/>
      <c r="P3" s="463">
        <v>6</v>
      </c>
      <c r="Q3" s="463"/>
      <c r="R3" s="1"/>
      <c r="T3" s="259"/>
      <c r="U3" s="259"/>
      <c r="V3" s="259"/>
      <c r="W3" s="259"/>
      <c r="X3" s="259"/>
    </row>
    <row r="4" spans="1:24" s="549" customFormat="1" ht="19.5" customHeight="1">
      <c r="A4" s="553"/>
      <c r="C4" s="554"/>
      <c r="D4" s="555" t="s">
        <v>563</v>
      </c>
      <c r="E4" s="554"/>
      <c r="F4" s="554"/>
      <c r="G4" s="554"/>
      <c r="H4" s="554"/>
      <c r="I4" s="554"/>
      <c r="J4" s="554"/>
      <c r="K4" s="556"/>
      <c r="L4" s="556"/>
      <c r="M4" s="556"/>
      <c r="N4" s="2" t="s">
        <v>16</v>
      </c>
      <c r="O4" s="463"/>
      <c r="P4" s="463">
        <v>3</v>
      </c>
      <c r="Q4" s="463"/>
      <c r="R4" s="1"/>
      <c r="T4" s="259"/>
      <c r="U4" s="259"/>
      <c r="V4" s="259"/>
      <c r="W4" s="259"/>
      <c r="X4" s="259"/>
    </row>
    <row r="5" spans="1:24" s="549" customFormat="1" ht="15" customHeight="1">
      <c r="A5" s="553"/>
      <c r="D5" s="557"/>
      <c r="E5" s="558"/>
      <c r="F5" s="558"/>
      <c r="G5" s="558"/>
      <c r="H5" s="557"/>
      <c r="I5" s="557"/>
      <c r="J5" s="557"/>
      <c r="K5" s="557"/>
      <c r="L5" s="557"/>
      <c r="M5" s="557"/>
      <c r="N5" s="2" t="s">
        <v>18</v>
      </c>
      <c r="O5" s="463"/>
      <c r="P5" s="463"/>
      <c r="Q5" s="463"/>
      <c r="R5" s="1"/>
      <c r="T5" s="259"/>
      <c r="U5" s="259"/>
      <c r="V5" s="259"/>
      <c r="W5" s="259"/>
      <c r="X5" s="259"/>
    </row>
    <row r="6" spans="1:24" s="549" customFormat="1" ht="15" customHeight="1">
      <c r="A6" s="553"/>
      <c r="D6" s="557"/>
      <c r="E6" s="557"/>
      <c r="F6" s="557"/>
      <c r="G6" s="557"/>
      <c r="H6" s="557"/>
      <c r="I6" s="557"/>
      <c r="J6" s="557"/>
      <c r="K6" s="557"/>
      <c r="L6" s="557"/>
      <c r="M6" s="557"/>
      <c r="N6" s="2" t="s">
        <v>19</v>
      </c>
      <c r="O6" s="463"/>
      <c r="P6" s="559">
        <v>41033</v>
      </c>
      <c r="Q6" s="463"/>
      <c r="R6" s="1"/>
      <c r="T6" s="259"/>
      <c r="U6" s="259"/>
      <c r="V6" s="259"/>
      <c r="W6" s="259"/>
      <c r="X6" s="259"/>
    </row>
    <row r="7" spans="14:18" ht="7.5" customHeight="1">
      <c r="N7" s="463"/>
      <c r="O7" s="463"/>
      <c r="P7" s="463"/>
      <c r="Q7" s="463"/>
      <c r="R7" s="1"/>
    </row>
    <row r="8" spans="2:17" ht="15.75">
      <c r="B8" s="562" t="s">
        <v>564</v>
      </c>
      <c r="D8" s="563" t="s">
        <v>565</v>
      </c>
      <c r="F8" s="1123" t="s">
        <v>433</v>
      </c>
      <c r="G8" s="1123"/>
      <c r="H8" s="1123"/>
      <c r="I8" s="1123"/>
      <c r="J8" s="1123"/>
      <c r="K8" s="1123"/>
      <c r="L8" s="1123"/>
      <c r="M8" s="1123"/>
      <c r="N8" s="1123"/>
      <c r="O8" s="1123"/>
      <c r="P8" s="1123"/>
      <c r="Q8" s="1123"/>
    </row>
    <row r="9" spans="2:17" ht="7.5" customHeight="1">
      <c r="B9" s="562"/>
      <c r="D9" s="564"/>
      <c r="F9" s="565"/>
      <c r="G9" s="565"/>
      <c r="H9" s="565"/>
      <c r="I9" s="565"/>
      <c r="J9" s="565"/>
      <c r="K9" s="565"/>
      <c r="L9" s="565"/>
      <c r="M9" s="565"/>
      <c r="N9" s="565"/>
      <c r="O9" s="565"/>
      <c r="P9" s="565"/>
      <c r="Q9" s="565"/>
    </row>
    <row r="10" spans="2:9" ht="12.75">
      <c r="B10" s="562" t="s">
        <v>566</v>
      </c>
      <c r="F10" s="400" t="s">
        <v>567</v>
      </c>
      <c r="G10" s="400"/>
      <c r="H10" s="566">
        <v>800</v>
      </c>
      <c r="I10" s="400" t="s">
        <v>568</v>
      </c>
    </row>
    <row r="11" ht="10.5" customHeight="1">
      <c r="B11" s="562" t="s">
        <v>569</v>
      </c>
    </row>
    <row r="12" spans="2:17" ht="12.75">
      <c r="B12" s="567"/>
      <c r="F12" s="568"/>
      <c r="G12" s="568"/>
      <c r="H12" s="1124" t="s">
        <v>570</v>
      </c>
      <c r="I12" s="1125"/>
      <c r="J12" s="1126"/>
      <c r="L12" s="1124" t="s">
        <v>571</v>
      </c>
      <c r="M12" s="1125"/>
      <c r="N12" s="1126"/>
      <c r="P12" s="1124" t="s">
        <v>572</v>
      </c>
      <c r="Q12" s="1126"/>
    </row>
    <row r="13" spans="2:17" ht="12.75">
      <c r="B13" s="567"/>
      <c r="F13" s="1108" t="s">
        <v>573</v>
      </c>
      <c r="G13" s="569"/>
      <c r="H13" s="570" t="s">
        <v>574</v>
      </c>
      <c r="I13" s="570" t="s">
        <v>575</v>
      </c>
      <c r="J13" s="571" t="s">
        <v>576</v>
      </c>
      <c r="L13" s="570" t="s">
        <v>574</v>
      </c>
      <c r="M13" s="572" t="s">
        <v>575</v>
      </c>
      <c r="N13" s="571" t="s">
        <v>576</v>
      </c>
      <c r="P13" s="1110" t="s">
        <v>577</v>
      </c>
      <c r="Q13" s="1112" t="s">
        <v>578</v>
      </c>
    </row>
    <row r="14" spans="2:17" ht="12.75">
      <c r="B14" s="567"/>
      <c r="F14" s="1109"/>
      <c r="G14" s="569"/>
      <c r="H14" s="573" t="s">
        <v>410</v>
      </c>
      <c r="I14" s="573"/>
      <c r="J14" s="574" t="s">
        <v>410</v>
      </c>
      <c r="L14" s="573" t="s">
        <v>410</v>
      </c>
      <c r="M14" s="574"/>
      <c r="N14" s="574" t="s">
        <v>410</v>
      </c>
      <c r="P14" s="1111"/>
      <c r="Q14" s="1113"/>
    </row>
    <row r="15" spans="1:17" ht="12.75">
      <c r="A15" s="575"/>
      <c r="B15" s="576"/>
      <c r="D15" s="577" t="s">
        <v>555</v>
      </c>
      <c r="E15" s="577"/>
      <c r="F15" s="578" t="s">
        <v>564</v>
      </c>
      <c r="G15" s="579"/>
      <c r="H15" s="580">
        <v>11.99</v>
      </c>
      <c r="I15" s="581">
        <v>1</v>
      </c>
      <c r="J15" s="582">
        <f aca="true" t="shared" si="0" ref="J15:J29">I15*H15</f>
        <v>11.99</v>
      </c>
      <c r="K15" s="577"/>
      <c r="L15" s="580">
        <v>13.57</v>
      </c>
      <c r="M15" s="583">
        <v>1</v>
      </c>
      <c r="N15" s="582">
        <f aca="true" t="shared" si="1" ref="N15:N29">M15*L15</f>
        <v>13.57</v>
      </c>
      <c r="O15" s="577"/>
      <c r="P15" s="584">
        <f aca="true" t="shared" si="2" ref="P15:P46">N15-J15</f>
        <v>1.58</v>
      </c>
      <c r="Q15" s="585">
        <f aca="true" t="shared" si="3" ref="Q15:Q46">IF((J15)=0,"",(P15/J15))</f>
        <v>0.13177648040033363</v>
      </c>
    </row>
    <row r="16" spans="1:17" ht="12.75">
      <c r="A16" s="575"/>
      <c r="B16" s="576"/>
      <c r="D16" s="577" t="s">
        <v>579</v>
      </c>
      <c r="E16" s="577"/>
      <c r="F16" s="578" t="s">
        <v>564</v>
      </c>
      <c r="G16" s="579"/>
      <c r="H16" s="580">
        <v>1.28</v>
      </c>
      <c r="I16" s="581">
        <v>1</v>
      </c>
      <c r="J16" s="582">
        <f t="shared" si="0"/>
        <v>1.28</v>
      </c>
      <c r="K16" s="577"/>
      <c r="L16" s="580">
        <v>0</v>
      </c>
      <c r="M16" s="583">
        <v>1</v>
      </c>
      <c r="N16" s="582">
        <f t="shared" si="1"/>
        <v>0</v>
      </c>
      <c r="O16" s="577"/>
      <c r="P16" s="584">
        <f t="shared" si="2"/>
        <v>-1.28</v>
      </c>
      <c r="Q16" s="585">
        <f t="shared" si="3"/>
        <v>-1</v>
      </c>
    </row>
    <row r="17" spans="1:17" ht="12.75">
      <c r="A17" s="575"/>
      <c r="B17" s="576"/>
      <c r="D17" s="586" t="s">
        <v>580</v>
      </c>
      <c r="E17" s="577"/>
      <c r="F17" s="578" t="s">
        <v>564</v>
      </c>
      <c r="G17" s="579"/>
      <c r="H17" s="580">
        <v>0</v>
      </c>
      <c r="I17" s="581">
        <v>1</v>
      </c>
      <c r="J17" s="582">
        <f t="shared" si="0"/>
        <v>0</v>
      </c>
      <c r="K17" s="577"/>
      <c r="L17" s="580">
        <v>0.2</v>
      </c>
      <c r="M17" s="583">
        <v>1</v>
      </c>
      <c r="N17" s="582">
        <f t="shared" si="1"/>
        <v>0.2</v>
      </c>
      <c r="O17" s="577"/>
      <c r="P17" s="584">
        <f t="shared" si="2"/>
        <v>0.2</v>
      </c>
      <c r="Q17" s="585">
        <f t="shared" si="3"/>
      </c>
    </row>
    <row r="18" spans="1:17" ht="12.75">
      <c r="A18" s="575"/>
      <c r="B18" s="576"/>
      <c r="D18" s="577" t="s">
        <v>581</v>
      </c>
      <c r="E18" s="577"/>
      <c r="F18" s="578" t="s">
        <v>564</v>
      </c>
      <c r="G18" s="579"/>
      <c r="H18" s="587">
        <v>0.14</v>
      </c>
      <c r="I18" s="581">
        <v>1</v>
      </c>
      <c r="J18" s="582">
        <f t="shared" si="0"/>
        <v>0.14</v>
      </c>
      <c r="K18" s="577"/>
      <c r="L18" s="587">
        <v>0</v>
      </c>
      <c r="M18" s="583">
        <v>1</v>
      </c>
      <c r="N18" s="582">
        <f t="shared" si="1"/>
        <v>0</v>
      </c>
      <c r="O18" s="577"/>
      <c r="P18" s="584">
        <f t="shared" si="2"/>
        <v>-0.14</v>
      </c>
      <c r="Q18" s="585">
        <f t="shared" si="3"/>
        <v>-1</v>
      </c>
    </row>
    <row r="19" spans="1:17" ht="12.75">
      <c r="A19" s="575"/>
      <c r="B19" s="576"/>
      <c r="D19" s="577" t="s">
        <v>582</v>
      </c>
      <c r="E19" s="577"/>
      <c r="F19" s="578" t="s">
        <v>566</v>
      </c>
      <c r="G19" s="579"/>
      <c r="H19" s="587">
        <v>0.0135</v>
      </c>
      <c r="I19" s="581">
        <f>H10</f>
        <v>800</v>
      </c>
      <c r="J19" s="582">
        <f t="shared" si="0"/>
        <v>10.8</v>
      </c>
      <c r="K19" s="577"/>
      <c r="L19" s="587">
        <v>0.0151</v>
      </c>
      <c r="M19" s="583">
        <f>H10</f>
        <v>800</v>
      </c>
      <c r="N19" s="582">
        <f t="shared" si="1"/>
        <v>12.08</v>
      </c>
      <c r="O19" s="577"/>
      <c r="P19" s="584">
        <f t="shared" si="2"/>
        <v>1.2799999999999994</v>
      </c>
      <c r="Q19" s="585">
        <f t="shared" si="3"/>
        <v>0.11851851851851845</v>
      </c>
    </row>
    <row r="20" spans="1:17" ht="12.75">
      <c r="A20" s="575"/>
      <c r="B20" s="576"/>
      <c r="D20" s="577" t="s">
        <v>583</v>
      </c>
      <c r="E20" s="577"/>
      <c r="F20" s="578" t="s">
        <v>566</v>
      </c>
      <c r="G20" s="579"/>
      <c r="H20" s="587">
        <v>0.0001</v>
      </c>
      <c r="I20" s="581">
        <f aca="true" t="shared" si="4" ref="I20:I25">I19</f>
        <v>800</v>
      </c>
      <c r="J20" s="582">
        <f t="shared" si="0"/>
        <v>0.08</v>
      </c>
      <c r="K20" s="577"/>
      <c r="L20" s="587">
        <v>0.0003</v>
      </c>
      <c r="M20" s="583">
        <f aca="true" t="shared" si="5" ref="M20:M25">M19</f>
        <v>800</v>
      </c>
      <c r="N20" s="582">
        <f t="shared" si="1"/>
        <v>0.24</v>
      </c>
      <c r="O20" s="577"/>
      <c r="P20" s="584">
        <f t="shared" si="2"/>
        <v>0.15999999999999998</v>
      </c>
      <c r="Q20" s="585">
        <f t="shared" si="3"/>
        <v>1.9999999999999996</v>
      </c>
    </row>
    <row r="21" spans="1:17" ht="12.75">
      <c r="A21" s="575"/>
      <c r="B21" s="576"/>
      <c r="D21" s="577" t="s">
        <v>584</v>
      </c>
      <c r="E21" s="577"/>
      <c r="F21" s="578" t="s">
        <v>566</v>
      </c>
      <c r="G21" s="579"/>
      <c r="H21" s="587">
        <v>0</v>
      </c>
      <c r="I21" s="581">
        <f t="shared" si="4"/>
        <v>800</v>
      </c>
      <c r="J21" s="582">
        <f t="shared" si="0"/>
        <v>0</v>
      </c>
      <c r="K21" s="577"/>
      <c r="L21" s="587">
        <v>0</v>
      </c>
      <c r="M21" s="583">
        <f t="shared" si="5"/>
        <v>800</v>
      </c>
      <c r="N21" s="582">
        <f t="shared" si="1"/>
        <v>0</v>
      </c>
      <c r="O21" s="577"/>
      <c r="P21" s="584">
        <f t="shared" si="2"/>
        <v>0</v>
      </c>
      <c r="Q21" s="585">
        <f t="shared" si="3"/>
      </c>
    </row>
    <row r="22" spans="1:17" ht="12.75">
      <c r="A22" s="575"/>
      <c r="B22" s="576"/>
      <c r="D22" s="577" t="s">
        <v>585</v>
      </c>
      <c r="E22" s="577"/>
      <c r="F22" s="578" t="s">
        <v>566</v>
      </c>
      <c r="G22" s="579"/>
      <c r="H22" s="587">
        <v>-0.0004</v>
      </c>
      <c r="I22" s="581">
        <f t="shared" si="4"/>
        <v>800</v>
      </c>
      <c r="J22" s="582">
        <f t="shared" si="0"/>
        <v>-0.32</v>
      </c>
      <c r="K22" s="577"/>
      <c r="L22" s="587">
        <v>0</v>
      </c>
      <c r="M22" s="583">
        <f t="shared" si="5"/>
        <v>800</v>
      </c>
      <c r="N22" s="582">
        <f t="shared" si="1"/>
        <v>0</v>
      </c>
      <c r="O22" s="577"/>
      <c r="P22" s="584">
        <f t="shared" si="2"/>
        <v>0.32</v>
      </c>
      <c r="Q22" s="585">
        <f t="shared" si="3"/>
        <v>-1</v>
      </c>
    </row>
    <row r="23" spans="1:17" ht="12.75">
      <c r="A23" s="575"/>
      <c r="B23" s="576"/>
      <c r="D23" s="577" t="s">
        <v>586</v>
      </c>
      <c r="E23" s="577"/>
      <c r="F23" s="578" t="s">
        <v>566</v>
      </c>
      <c r="G23" s="579"/>
      <c r="H23" s="587">
        <v>0</v>
      </c>
      <c r="I23" s="581">
        <f t="shared" si="4"/>
        <v>800</v>
      </c>
      <c r="J23" s="582">
        <f t="shared" si="0"/>
        <v>0</v>
      </c>
      <c r="K23" s="577"/>
      <c r="L23" s="587">
        <v>0</v>
      </c>
      <c r="M23" s="583">
        <f t="shared" si="5"/>
        <v>800</v>
      </c>
      <c r="N23" s="582">
        <f t="shared" si="1"/>
        <v>0</v>
      </c>
      <c r="O23" s="577"/>
      <c r="P23" s="584">
        <f t="shared" si="2"/>
        <v>0</v>
      </c>
      <c r="Q23" s="585">
        <f t="shared" si="3"/>
      </c>
    </row>
    <row r="24" spans="1:17" ht="12.75">
      <c r="A24" s="575"/>
      <c r="B24" s="576"/>
      <c r="D24" s="577" t="s">
        <v>587</v>
      </c>
      <c r="E24" s="577"/>
      <c r="F24" s="578" t="s">
        <v>566</v>
      </c>
      <c r="G24" s="579"/>
      <c r="H24" s="587">
        <v>0</v>
      </c>
      <c r="I24" s="581">
        <f t="shared" si="4"/>
        <v>800</v>
      </c>
      <c r="J24" s="582">
        <f t="shared" si="0"/>
        <v>0</v>
      </c>
      <c r="K24" s="577"/>
      <c r="L24" s="587">
        <v>0</v>
      </c>
      <c r="M24" s="583">
        <f t="shared" si="5"/>
        <v>800</v>
      </c>
      <c r="N24" s="582">
        <f t="shared" si="1"/>
        <v>0</v>
      </c>
      <c r="O24" s="577"/>
      <c r="P24" s="584">
        <f t="shared" si="2"/>
        <v>0</v>
      </c>
      <c r="Q24" s="585">
        <f t="shared" si="3"/>
      </c>
    </row>
    <row r="25" spans="1:17" ht="25.5">
      <c r="A25" s="588"/>
      <c r="B25" s="576"/>
      <c r="D25" s="589" t="s">
        <v>588</v>
      </c>
      <c r="E25" s="577"/>
      <c r="F25" s="578" t="s">
        <v>566</v>
      </c>
      <c r="G25" s="579"/>
      <c r="H25" s="587">
        <v>0</v>
      </c>
      <c r="I25" s="581">
        <f t="shared" si="4"/>
        <v>800</v>
      </c>
      <c r="J25" s="582">
        <f t="shared" si="0"/>
        <v>0</v>
      </c>
      <c r="K25" s="577"/>
      <c r="L25" s="587">
        <v>0</v>
      </c>
      <c r="M25" s="583">
        <f t="shared" si="5"/>
        <v>800</v>
      </c>
      <c r="N25" s="582">
        <f t="shared" si="1"/>
        <v>0</v>
      </c>
      <c r="O25" s="577"/>
      <c r="P25" s="584">
        <f t="shared" si="2"/>
        <v>0</v>
      </c>
      <c r="Q25" s="585">
        <f t="shared" si="3"/>
      </c>
    </row>
    <row r="26" spans="1:17" ht="12.75">
      <c r="A26" s="588"/>
      <c r="D26" s="589"/>
      <c r="E26" s="577"/>
      <c r="F26" s="578"/>
      <c r="G26" s="579"/>
      <c r="H26" s="587">
        <v>0</v>
      </c>
      <c r="I26" s="581"/>
      <c r="J26" s="582">
        <f t="shared" si="0"/>
        <v>0</v>
      </c>
      <c r="K26" s="577"/>
      <c r="L26" s="587">
        <v>0</v>
      </c>
      <c r="M26" s="583"/>
      <c r="N26" s="582">
        <f t="shared" si="1"/>
        <v>0</v>
      </c>
      <c r="O26" s="577"/>
      <c r="P26" s="584">
        <f t="shared" si="2"/>
        <v>0</v>
      </c>
      <c r="Q26" s="585">
        <f t="shared" si="3"/>
      </c>
    </row>
    <row r="27" spans="4:17" ht="12.75">
      <c r="D27" s="590"/>
      <c r="E27" s="577"/>
      <c r="F27" s="578"/>
      <c r="G27" s="579"/>
      <c r="H27" s="587"/>
      <c r="I27" s="591"/>
      <c r="J27" s="582">
        <f t="shared" si="0"/>
        <v>0</v>
      </c>
      <c r="K27" s="577"/>
      <c r="L27" s="587"/>
      <c r="M27" s="592"/>
      <c r="N27" s="582">
        <f t="shared" si="1"/>
        <v>0</v>
      </c>
      <c r="O27" s="577"/>
      <c r="P27" s="584">
        <f t="shared" si="2"/>
        <v>0</v>
      </c>
      <c r="Q27" s="585">
        <f t="shared" si="3"/>
      </c>
    </row>
    <row r="28" spans="4:17" ht="12.75">
      <c r="D28" s="590"/>
      <c r="E28" s="577"/>
      <c r="F28" s="578"/>
      <c r="G28" s="579"/>
      <c r="H28" s="587"/>
      <c r="I28" s="591"/>
      <c r="J28" s="582">
        <f t="shared" si="0"/>
        <v>0</v>
      </c>
      <c r="K28" s="577"/>
      <c r="L28" s="587"/>
      <c r="M28" s="592"/>
      <c r="N28" s="582">
        <f t="shared" si="1"/>
        <v>0</v>
      </c>
      <c r="O28" s="577"/>
      <c r="P28" s="584">
        <f t="shared" si="2"/>
        <v>0</v>
      </c>
      <c r="Q28" s="585">
        <f t="shared" si="3"/>
      </c>
    </row>
    <row r="29" spans="4:17" ht="13.5" thickBot="1">
      <c r="D29" s="590"/>
      <c r="E29" s="577"/>
      <c r="F29" s="578"/>
      <c r="G29" s="579"/>
      <c r="H29" s="587"/>
      <c r="I29" s="591"/>
      <c r="J29" s="582">
        <f t="shared" si="0"/>
        <v>0</v>
      </c>
      <c r="K29" s="577"/>
      <c r="L29" s="587"/>
      <c r="M29" s="592"/>
      <c r="N29" s="582">
        <f t="shared" si="1"/>
        <v>0</v>
      </c>
      <c r="O29" s="577"/>
      <c r="P29" s="584">
        <f t="shared" si="2"/>
        <v>0</v>
      </c>
      <c r="Q29" s="585">
        <f t="shared" si="3"/>
      </c>
    </row>
    <row r="30" spans="4:17" ht="13.5" thickBot="1">
      <c r="D30" s="400" t="s">
        <v>589</v>
      </c>
      <c r="G30" s="551"/>
      <c r="H30" s="593"/>
      <c r="I30" s="594"/>
      <c r="J30" s="595">
        <f>SUM(J15:J29)</f>
        <v>23.97</v>
      </c>
      <c r="L30" s="593"/>
      <c r="M30" s="596"/>
      <c r="N30" s="595">
        <f>SUM(N15:N29)</f>
        <v>26.09</v>
      </c>
      <c r="P30" s="597">
        <f t="shared" si="2"/>
        <v>2.120000000000001</v>
      </c>
      <c r="Q30" s="598">
        <f t="shared" si="3"/>
        <v>0.08844388819357535</v>
      </c>
    </row>
    <row r="31" spans="4:17" ht="12.75">
      <c r="D31" s="599" t="s">
        <v>590</v>
      </c>
      <c r="E31" s="599"/>
      <c r="F31" s="600" t="s">
        <v>566</v>
      </c>
      <c r="G31" s="601"/>
      <c r="H31" s="602">
        <v>0.0073</v>
      </c>
      <c r="I31" s="603">
        <f>H10*(1+H48)</f>
        <v>823.9200000000001</v>
      </c>
      <c r="J31" s="604">
        <f>I31*H31</f>
        <v>6.014616</v>
      </c>
      <c r="K31" s="599"/>
      <c r="L31" s="602">
        <v>0.0071</v>
      </c>
      <c r="M31" s="605">
        <f>H10*(1+L48)</f>
        <v>827.6</v>
      </c>
      <c r="N31" s="604">
        <f>M31*L31</f>
        <v>5.87596</v>
      </c>
      <c r="O31" s="599"/>
      <c r="P31" s="606">
        <f t="shared" si="2"/>
        <v>-0.1386560000000001</v>
      </c>
      <c r="Q31" s="607">
        <f t="shared" si="3"/>
        <v>-0.023053175797091634</v>
      </c>
    </row>
    <row r="32" spans="4:17" ht="26.25" thickBot="1">
      <c r="D32" s="608" t="s">
        <v>591</v>
      </c>
      <c r="E32" s="599"/>
      <c r="F32" s="600" t="s">
        <v>566</v>
      </c>
      <c r="G32" s="601"/>
      <c r="H32" s="602">
        <v>0.0027</v>
      </c>
      <c r="I32" s="603">
        <f>I31</f>
        <v>823.9200000000001</v>
      </c>
      <c r="J32" s="604">
        <f>I32*H32</f>
        <v>2.224584</v>
      </c>
      <c r="K32" s="599"/>
      <c r="L32" s="602">
        <v>0.0032</v>
      </c>
      <c r="M32" s="605">
        <f>M31</f>
        <v>827.6</v>
      </c>
      <c r="N32" s="604">
        <f>M32*L32</f>
        <v>2.64832</v>
      </c>
      <c r="O32" s="599"/>
      <c r="P32" s="606">
        <f t="shared" si="2"/>
        <v>0.4237359999999999</v>
      </c>
      <c r="Q32" s="607">
        <f t="shared" si="3"/>
        <v>0.19047875917474902</v>
      </c>
    </row>
    <row r="33" spans="4:17" ht="26.25" thickBot="1">
      <c r="D33" s="609" t="s">
        <v>592</v>
      </c>
      <c r="E33" s="577"/>
      <c r="F33" s="577"/>
      <c r="G33" s="579"/>
      <c r="H33" s="610"/>
      <c r="I33" s="611"/>
      <c r="J33" s="612">
        <f>SUM(J30:J32)</f>
        <v>32.209199999999996</v>
      </c>
      <c r="K33" s="613"/>
      <c r="L33" s="614"/>
      <c r="M33" s="615"/>
      <c r="N33" s="612">
        <f>SUM(N30:N32)</f>
        <v>34.61428</v>
      </c>
      <c r="O33" s="613"/>
      <c r="P33" s="616">
        <f t="shared" si="2"/>
        <v>2.405080000000005</v>
      </c>
      <c r="Q33" s="617">
        <f t="shared" si="3"/>
        <v>0.07467059101126404</v>
      </c>
    </row>
    <row r="34" spans="4:17" ht="25.5">
      <c r="D34" s="589" t="s">
        <v>593</v>
      </c>
      <c r="E34" s="577"/>
      <c r="F34" s="578" t="s">
        <v>566</v>
      </c>
      <c r="G34" s="579"/>
      <c r="H34" s="587">
        <v>0.0052</v>
      </c>
      <c r="I34" s="581">
        <f>I32</f>
        <v>823.9200000000001</v>
      </c>
      <c r="J34" s="582">
        <f aca="true" t="shared" si="6" ref="J34:J41">I34*H34</f>
        <v>4.284384</v>
      </c>
      <c r="K34" s="577"/>
      <c r="L34" s="587">
        <f aca="true" t="shared" si="7" ref="L34:L40">H34</f>
        <v>0.0052</v>
      </c>
      <c r="M34" s="618">
        <f>M32</f>
        <v>827.6</v>
      </c>
      <c r="N34" s="582">
        <f aca="true" t="shared" si="8" ref="N34:N41">M34*L34</f>
        <v>4.30352</v>
      </c>
      <c r="O34" s="577"/>
      <c r="P34" s="584">
        <f t="shared" si="2"/>
        <v>0.019135999999999598</v>
      </c>
      <c r="Q34" s="585">
        <f t="shared" si="3"/>
        <v>0.004466453053694439</v>
      </c>
    </row>
    <row r="35" spans="4:17" ht="25.5">
      <c r="D35" s="589" t="s">
        <v>594</v>
      </c>
      <c r="E35" s="577"/>
      <c r="F35" s="578" t="s">
        <v>566</v>
      </c>
      <c r="G35" s="579"/>
      <c r="H35" s="587">
        <v>0.0011</v>
      </c>
      <c r="I35" s="581">
        <f>I32</f>
        <v>823.9200000000001</v>
      </c>
      <c r="J35" s="582">
        <f t="shared" si="6"/>
        <v>0.9063120000000001</v>
      </c>
      <c r="K35" s="577"/>
      <c r="L35" s="587">
        <f t="shared" si="7"/>
        <v>0.0011</v>
      </c>
      <c r="M35" s="618">
        <f>M32</f>
        <v>827.6</v>
      </c>
      <c r="N35" s="582">
        <f t="shared" si="8"/>
        <v>0.9103600000000001</v>
      </c>
      <c r="O35" s="577"/>
      <c r="P35" s="584">
        <f t="shared" si="2"/>
        <v>0.0040479999999999405</v>
      </c>
      <c r="Q35" s="585">
        <f t="shared" si="3"/>
        <v>0.004466453053694467</v>
      </c>
    </row>
    <row r="36" spans="4:17" ht="12.75">
      <c r="D36" s="589" t="s">
        <v>595</v>
      </c>
      <c r="E36" s="577"/>
      <c r="F36" s="578" t="s">
        <v>566</v>
      </c>
      <c r="G36" s="579"/>
      <c r="H36" s="587">
        <v>0</v>
      </c>
      <c r="I36" s="581">
        <f>I32</f>
        <v>823.9200000000001</v>
      </c>
      <c r="J36" s="582">
        <f t="shared" si="6"/>
        <v>0</v>
      </c>
      <c r="K36" s="577"/>
      <c r="L36" s="587">
        <f t="shared" si="7"/>
        <v>0</v>
      </c>
      <c r="M36" s="618">
        <f>M32</f>
        <v>827.6</v>
      </c>
      <c r="N36" s="582">
        <f t="shared" si="8"/>
        <v>0</v>
      </c>
      <c r="O36" s="577"/>
      <c r="P36" s="584">
        <f t="shared" si="2"/>
        <v>0</v>
      </c>
      <c r="Q36" s="585">
        <f t="shared" si="3"/>
      </c>
    </row>
    <row r="37" spans="4:17" ht="12.75">
      <c r="D37" s="577" t="s">
        <v>596</v>
      </c>
      <c r="E37" s="577"/>
      <c r="F37" s="578" t="s">
        <v>564</v>
      </c>
      <c r="G37" s="579"/>
      <c r="H37" s="587">
        <v>0.25</v>
      </c>
      <c r="I37" s="581">
        <v>1</v>
      </c>
      <c r="J37" s="582">
        <f t="shared" si="6"/>
        <v>0.25</v>
      </c>
      <c r="K37" s="577"/>
      <c r="L37" s="587">
        <f t="shared" si="7"/>
        <v>0.25</v>
      </c>
      <c r="M37" s="619">
        <v>1</v>
      </c>
      <c r="N37" s="582">
        <f t="shared" si="8"/>
        <v>0.25</v>
      </c>
      <c r="O37" s="577"/>
      <c r="P37" s="584">
        <f t="shared" si="2"/>
        <v>0</v>
      </c>
      <c r="Q37" s="585">
        <f t="shared" si="3"/>
        <v>0</v>
      </c>
    </row>
    <row r="38" spans="4:17" ht="12.75">
      <c r="D38" s="577" t="s">
        <v>597</v>
      </c>
      <c r="E38" s="577"/>
      <c r="F38" s="578" t="s">
        <v>566</v>
      </c>
      <c r="G38" s="579"/>
      <c r="H38" s="587">
        <v>0.007</v>
      </c>
      <c r="I38" s="581">
        <f>H10</f>
        <v>800</v>
      </c>
      <c r="J38" s="582">
        <f t="shared" si="6"/>
        <v>5.6000000000000005</v>
      </c>
      <c r="K38" s="577"/>
      <c r="L38" s="587">
        <f t="shared" si="7"/>
        <v>0.007</v>
      </c>
      <c r="M38" s="619">
        <f>H10</f>
        <v>800</v>
      </c>
      <c r="N38" s="582">
        <f t="shared" si="8"/>
        <v>5.6000000000000005</v>
      </c>
      <c r="O38" s="577"/>
      <c r="P38" s="584">
        <f t="shared" si="2"/>
        <v>0</v>
      </c>
      <c r="Q38" s="585">
        <f t="shared" si="3"/>
        <v>0</v>
      </c>
    </row>
    <row r="39" spans="4:17" ht="12.75">
      <c r="D39" s="577" t="s">
        <v>598</v>
      </c>
      <c r="E39" s="577"/>
      <c r="F39" s="578" t="s">
        <v>566</v>
      </c>
      <c r="G39" s="579"/>
      <c r="H39" s="587">
        <v>0.075</v>
      </c>
      <c r="I39" s="581">
        <f>IF(I31&lt;H49,I31,H49)</f>
        <v>750</v>
      </c>
      <c r="J39" s="582">
        <f t="shared" si="6"/>
        <v>56.25</v>
      </c>
      <c r="K39" s="577"/>
      <c r="L39" s="587">
        <f t="shared" si="7"/>
        <v>0.075</v>
      </c>
      <c r="M39" s="620">
        <f>IF(M31&lt;L49,M31,L49)</f>
        <v>750</v>
      </c>
      <c r="N39" s="582">
        <f t="shared" si="8"/>
        <v>56.25</v>
      </c>
      <c r="O39" s="577"/>
      <c r="P39" s="584">
        <f t="shared" si="2"/>
        <v>0</v>
      </c>
      <c r="Q39" s="585">
        <f t="shared" si="3"/>
        <v>0</v>
      </c>
    </row>
    <row r="40" spans="4:17" ht="12.75">
      <c r="D40" s="577" t="s">
        <v>599</v>
      </c>
      <c r="E40" s="577"/>
      <c r="F40" s="578" t="s">
        <v>566</v>
      </c>
      <c r="G40" s="579"/>
      <c r="H40" s="587">
        <v>0.088</v>
      </c>
      <c r="I40" s="621">
        <f>IF(I31&lt;H49,0,I34-I39)</f>
        <v>73.92000000000007</v>
      </c>
      <c r="J40" s="582">
        <f t="shared" si="6"/>
        <v>6.504960000000006</v>
      </c>
      <c r="K40" s="577"/>
      <c r="L40" s="587">
        <f t="shared" si="7"/>
        <v>0.088</v>
      </c>
      <c r="M40" s="622">
        <f>IF(M31&lt;L49,0,M31-M39)</f>
        <v>77.60000000000002</v>
      </c>
      <c r="N40" s="582">
        <f t="shared" si="8"/>
        <v>6.828800000000002</v>
      </c>
      <c r="O40" s="577"/>
      <c r="P40" s="584">
        <f t="shared" si="2"/>
        <v>0.32383999999999613</v>
      </c>
      <c r="Q40" s="585">
        <f t="shared" si="3"/>
        <v>0.049783549783549146</v>
      </c>
    </row>
    <row r="41" spans="4:17" ht="13.5" thickBot="1">
      <c r="D41" s="590"/>
      <c r="E41" s="577"/>
      <c r="F41" s="578"/>
      <c r="G41" s="579"/>
      <c r="H41" s="587"/>
      <c r="I41" s="591"/>
      <c r="J41" s="582">
        <f t="shared" si="6"/>
        <v>0</v>
      </c>
      <c r="K41" s="577"/>
      <c r="L41" s="587"/>
      <c r="M41" s="592"/>
      <c r="N41" s="582">
        <f t="shared" si="8"/>
        <v>0</v>
      </c>
      <c r="O41" s="577"/>
      <c r="P41" s="584">
        <f t="shared" si="2"/>
        <v>0</v>
      </c>
      <c r="Q41" s="585">
        <f t="shared" si="3"/>
      </c>
    </row>
    <row r="42" spans="4:17" ht="13.5" thickBot="1">
      <c r="D42" s="623" t="s">
        <v>600</v>
      </c>
      <c r="E42" s="577"/>
      <c r="F42" s="577"/>
      <c r="G42" s="577"/>
      <c r="H42" s="624"/>
      <c r="I42" s="625"/>
      <c r="J42" s="612">
        <f>SUM(J33:J41)</f>
        <v>106.00485600000002</v>
      </c>
      <c r="K42" s="613"/>
      <c r="L42" s="626"/>
      <c r="M42" s="627"/>
      <c r="N42" s="612">
        <f>SUM(N33:N41)</f>
        <v>108.75695999999999</v>
      </c>
      <c r="O42" s="613"/>
      <c r="P42" s="616">
        <f t="shared" si="2"/>
        <v>2.7521039999999743</v>
      </c>
      <c r="Q42" s="617">
        <f t="shared" si="3"/>
        <v>0.0259620559269471</v>
      </c>
    </row>
    <row r="43" spans="4:17" ht="13.5" thickBot="1">
      <c r="D43" s="579" t="s">
        <v>601</v>
      </c>
      <c r="E43" s="577"/>
      <c r="F43" s="577"/>
      <c r="G43" s="577"/>
      <c r="H43" s="628">
        <v>0.13</v>
      </c>
      <c r="I43" s="629"/>
      <c r="J43" s="630">
        <f>J42*H43</f>
        <v>13.780631280000003</v>
      </c>
      <c r="K43" s="577"/>
      <c r="L43" s="628">
        <v>0.13</v>
      </c>
      <c r="M43" s="631"/>
      <c r="N43" s="630">
        <f>N42*L43</f>
        <v>14.1384048</v>
      </c>
      <c r="O43" s="577"/>
      <c r="P43" s="584">
        <f t="shared" si="2"/>
        <v>0.35777351999999674</v>
      </c>
      <c r="Q43" s="585">
        <f t="shared" si="3"/>
        <v>0.025962055926947104</v>
      </c>
    </row>
    <row r="44" spans="4:17" ht="26.25" thickBot="1">
      <c r="D44" s="609" t="s">
        <v>602</v>
      </c>
      <c r="E44" s="577"/>
      <c r="F44" s="577"/>
      <c r="G44" s="577"/>
      <c r="H44" s="610"/>
      <c r="I44" s="611"/>
      <c r="J44" s="612">
        <f>ROUND(SUM(J42:J43),2)</f>
        <v>119.79</v>
      </c>
      <c r="K44" s="577"/>
      <c r="L44" s="614"/>
      <c r="M44" s="615"/>
      <c r="N44" s="612">
        <f>ROUND(SUM(N42:N43),2)</f>
        <v>122.9</v>
      </c>
      <c r="O44" s="577"/>
      <c r="P44" s="616">
        <f>N44-J44</f>
        <v>3.1099999999999994</v>
      </c>
      <c r="Q44" s="617">
        <f>IF((J44)=0,"",(P44/J44))</f>
        <v>0.025962100342265624</v>
      </c>
    </row>
    <row r="45" spans="4:17" ht="13.5" thickBot="1">
      <c r="D45" s="579" t="s">
        <v>603</v>
      </c>
      <c r="E45" s="577"/>
      <c r="F45" s="577"/>
      <c r="G45" s="577"/>
      <c r="H45" s="632"/>
      <c r="I45" s="629"/>
      <c r="J45" s="633">
        <f>ROUND(-J44*10%,2)</f>
        <v>-11.98</v>
      </c>
      <c r="K45" s="577"/>
      <c r="L45" s="632"/>
      <c r="M45" s="631"/>
      <c r="N45" s="633">
        <f>ROUND(-N44*10%,2)</f>
        <v>-12.29</v>
      </c>
      <c r="O45" s="577"/>
      <c r="P45" s="584">
        <f>N45-J45</f>
        <v>-0.3099999999999987</v>
      </c>
      <c r="Q45" s="585">
        <f>IF((J45)=0,"",(P45/J45))</f>
        <v>0.02587646076794647</v>
      </c>
    </row>
    <row r="46" spans="4:17" ht="13.5" thickBot="1">
      <c r="D46" s="609" t="s">
        <v>604</v>
      </c>
      <c r="E46" s="577"/>
      <c r="F46" s="577"/>
      <c r="G46" s="577"/>
      <c r="H46" s="610"/>
      <c r="I46" s="611"/>
      <c r="J46" s="612">
        <f>ROUND(SUM(J44:J45),2)</f>
        <v>107.81</v>
      </c>
      <c r="K46" s="613"/>
      <c r="L46" s="614"/>
      <c r="M46" s="615"/>
      <c r="N46" s="612">
        <f>ROUND(SUM(N44:N45),2)</f>
        <v>110.61</v>
      </c>
      <c r="O46" s="613"/>
      <c r="P46" s="616">
        <f t="shared" si="2"/>
        <v>2.799999999999997</v>
      </c>
      <c r="Q46" s="617">
        <f t="shared" si="3"/>
        <v>0.025971616733141613</v>
      </c>
    </row>
    <row r="47" ht="10.5" customHeight="1"/>
    <row r="48" spans="4:14" ht="12.75">
      <c r="D48" s="400" t="s">
        <v>605</v>
      </c>
      <c r="H48" s="634">
        <v>0.029900000000000038</v>
      </c>
      <c r="J48" s="635"/>
      <c r="L48" s="634">
        <v>0.034499999999999975</v>
      </c>
      <c r="N48" s="636"/>
    </row>
    <row r="49" spans="4:12" ht="18.75" customHeight="1">
      <c r="D49" s="637" t="s">
        <v>606</v>
      </c>
      <c r="H49" s="638">
        <v>750</v>
      </c>
      <c r="L49" s="638">
        <f>H49</f>
        <v>750</v>
      </c>
    </row>
    <row r="50" ht="12.75">
      <c r="B50" s="400" t="s">
        <v>265</v>
      </c>
    </row>
    <row r="51" spans="2:17" ht="12.75">
      <c r="B51" s="1114"/>
      <c r="C51" s="1115"/>
      <c r="D51" s="1115"/>
      <c r="E51" s="1115"/>
      <c r="F51" s="1115"/>
      <c r="G51" s="1115"/>
      <c r="H51" s="1115"/>
      <c r="I51" s="1115"/>
      <c r="J51" s="1115"/>
      <c r="K51" s="1115"/>
      <c r="L51" s="1115"/>
      <c r="M51" s="1115"/>
      <c r="N51" s="1115"/>
      <c r="O51" s="1115"/>
      <c r="P51" s="1115"/>
      <c r="Q51" s="1116"/>
    </row>
    <row r="52" spans="2:17" ht="12.75">
      <c r="B52" s="1117"/>
      <c r="C52" s="1118"/>
      <c r="D52" s="1118"/>
      <c r="E52" s="1118"/>
      <c r="F52" s="1118"/>
      <c r="G52" s="1118"/>
      <c r="H52" s="1118"/>
      <c r="I52" s="1118"/>
      <c r="J52" s="1118"/>
      <c r="K52" s="1118"/>
      <c r="L52" s="1118"/>
      <c r="M52" s="1118"/>
      <c r="N52" s="1118"/>
      <c r="O52" s="1118"/>
      <c r="P52" s="1118"/>
      <c r="Q52" s="1119"/>
    </row>
    <row r="53" spans="2:17" ht="12.75">
      <c r="B53" s="1117"/>
      <c r="C53" s="1118"/>
      <c r="D53" s="1118"/>
      <c r="E53" s="1118"/>
      <c r="F53" s="1118"/>
      <c r="G53" s="1118"/>
      <c r="H53" s="1118"/>
      <c r="I53" s="1118"/>
      <c r="J53" s="1118"/>
      <c r="K53" s="1118"/>
      <c r="L53" s="1118"/>
      <c r="M53" s="1118"/>
      <c r="N53" s="1118"/>
      <c r="O53" s="1118"/>
      <c r="P53" s="1118"/>
      <c r="Q53" s="1119"/>
    </row>
    <row r="54" spans="2:17" ht="12.75">
      <c r="B54" s="1117"/>
      <c r="C54" s="1118"/>
      <c r="D54" s="1118"/>
      <c r="E54" s="1118"/>
      <c r="F54" s="1118"/>
      <c r="G54" s="1118"/>
      <c r="H54" s="1118"/>
      <c r="I54" s="1118"/>
      <c r="J54" s="1118"/>
      <c r="K54" s="1118"/>
      <c r="L54" s="1118"/>
      <c r="M54" s="1118"/>
      <c r="N54" s="1118"/>
      <c r="O54" s="1118"/>
      <c r="P54" s="1118"/>
      <c r="Q54" s="1119"/>
    </row>
    <row r="55" spans="2:17" ht="12.75">
      <c r="B55" s="1120"/>
      <c r="C55" s="1121"/>
      <c r="D55" s="1121"/>
      <c r="E55" s="1121"/>
      <c r="F55" s="1121"/>
      <c r="G55" s="1121"/>
      <c r="H55" s="1121"/>
      <c r="I55" s="1121"/>
      <c r="J55" s="1121"/>
      <c r="K55" s="1121"/>
      <c r="L55" s="1121"/>
      <c r="M55" s="1121"/>
      <c r="N55" s="1121"/>
      <c r="O55" s="1121"/>
      <c r="P55" s="1121"/>
      <c r="Q55" s="1122"/>
    </row>
    <row r="56" ht="12.75"/>
    <row r="57" ht="12.75"/>
    <row r="58" ht="12.75"/>
    <row r="59" ht="12.75"/>
    <row r="60" spans="2:17" ht="15.75">
      <c r="B60" s="562" t="s">
        <v>564</v>
      </c>
      <c r="D60" s="563" t="s">
        <v>565</v>
      </c>
      <c r="F60" s="1123" t="s">
        <v>607</v>
      </c>
      <c r="G60" s="1123"/>
      <c r="H60" s="1123"/>
      <c r="I60" s="1123"/>
      <c r="J60" s="1123"/>
      <c r="K60" s="1123"/>
      <c r="L60" s="1123"/>
      <c r="M60" s="1123"/>
      <c r="N60" s="1123"/>
      <c r="O60" s="1123"/>
      <c r="P60" s="1123"/>
      <c r="Q60" s="1123"/>
    </row>
    <row r="61" spans="2:17" ht="7.5" customHeight="1">
      <c r="B61" s="562"/>
      <c r="D61" s="564"/>
      <c r="F61" s="565"/>
      <c r="G61" s="565"/>
      <c r="H61" s="565"/>
      <c r="I61" s="565"/>
      <c r="J61" s="565"/>
      <c r="K61" s="565"/>
      <c r="L61" s="565"/>
      <c r="M61" s="565"/>
      <c r="N61" s="565"/>
      <c r="O61" s="565"/>
      <c r="P61" s="565"/>
      <c r="Q61" s="565"/>
    </row>
    <row r="62" spans="2:9" ht="12.75">
      <c r="B62" s="562" t="s">
        <v>566</v>
      </c>
      <c r="F62" s="400" t="s">
        <v>567</v>
      </c>
      <c r="G62" s="400"/>
      <c r="H62" s="566">
        <v>2000</v>
      </c>
      <c r="I62" s="400" t="s">
        <v>568</v>
      </c>
    </row>
    <row r="63" ht="10.5" customHeight="1">
      <c r="B63" s="562" t="s">
        <v>569</v>
      </c>
    </row>
    <row r="64" spans="2:17" ht="12.75">
      <c r="B64" s="567"/>
      <c r="F64" s="568"/>
      <c r="G64" s="568"/>
      <c r="H64" s="1124" t="s">
        <v>570</v>
      </c>
      <c r="I64" s="1125"/>
      <c r="J64" s="1126"/>
      <c r="L64" s="1124" t="s">
        <v>571</v>
      </c>
      <c r="M64" s="1125"/>
      <c r="N64" s="1126"/>
      <c r="P64" s="1124" t="s">
        <v>572</v>
      </c>
      <c r="Q64" s="1126"/>
    </row>
    <row r="65" spans="2:17" ht="12.75">
      <c r="B65" s="567"/>
      <c r="F65" s="1108" t="s">
        <v>573</v>
      </c>
      <c r="G65" s="569"/>
      <c r="H65" s="570" t="s">
        <v>574</v>
      </c>
      <c r="I65" s="570" t="s">
        <v>575</v>
      </c>
      <c r="J65" s="571" t="s">
        <v>576</v>
      </c>
      <c r="L65" s="570" t="s">
        <v>574</v>
      </c>
      <c r="M65" s="572" t="s">
        <v>575</v>
      </c>
      <c r="N65" s="571" t="s">
        <v>576</v>
      </c>
      <c r="P65" s="1110" t="s">
        <v>577</v>
      </c>
      <c r="Q65" s="1112" t="s">
        <v>578</v>
      </c>
    </row>
    <row r="66" spans="2:17" ht="12.75">
      <c r="B66" s="567"/>
      <c r="F66" s="1109"/>
      <c r="G66" s="569"/>
      <c r="H66" s="573" t="s">
        <v>410</v>
      </c>
      <c r="I66" s="573"/>
      <c r="J66" s="574" t="s">
        <v>410</v>
      </c>
      <c r="L66" s="573" t="s">
        <v>410</v>
      </c>
      <c r="M66" s="574"/>
      <c r="N66" s="574" t="s">
        <v>410</v>
      </c>
      <c r="P66" s="1111"/>
      <c r="Q66" s="1113"/>
    </row>
    <row r="67" spans="1:17" ht="12.75">
      <c r="A67" s="575"/>
      <c r="B67" s="576"/>
      <c r="D67" s="577" t="s">
        <v>555</v>
      </c>
      <c r="E67" s="577"/>
      <c r="F67" s="578" t="s">
        <v>564</v>
      </c>
      <c r="G67" s="579"/>
      <c r="H67" s="580">
        <v>28.64</v>
      </c>
      <c r="I67" s="581">
        <v>1</v>
      </c>
      <c r="J67" s="582">
        <f aca="true" t="shared" si="9" ref="J67:J81">I67*H67</f>
        <v>28.64</v>
      </c>
      <c r="K67" s="577"/>
      <c r="L67" s="580">
        <v>27.91</v>
      </c>
      <c r="M67" s="583">
        <v>1</v>
      </c>
      <c r="N67" s="582">
        <f aca="true" t="shared" si="10" ref="N67:N81">M67*L67</f>
        <v>27.91</v>
      </c>
      <c r="O67" s="577"/>
      <c r="P67" s="584">
        <f aca="true" t="shared" si="11" ref="P67:P98">N67-J67</f>
        <v>-0.7300000000000004</v>
      </c>
      <c r="Q67" s="585">
        <f aca="true" t="shared" si="12" ref="Q67:Q98">IF((J67)=0,"",(P67/J67))</f>
        <v>-0.025488826815642473</v>
      </c>
    </row>
    <row r="68" spans="1:17" ht="12.75">
      <c r="A68" s="575"/>
      <c r="B68" s="576"/>
      <c r="D68" s="577" t="s">
        <v>579</v>
      </c>
      <c r="E68" s="577"/>
      <c r="F68" s="578" t="s">
        <v>564</v>
      </c>
      <c r="G68" s="579"/>
      <c r="H68" s="587">
        <v>1.01</v>
      </c>
      <c r="I68" s="581">
        <v>1</v>
      </c>
      <c r="J68" s="582">
        <f t="shared" si="9"/>
        <v>1.01</v>
      </c>
      <c r="K68" s="577"/>
      <c r="L68" s="587">
        <v>0</v>
      </c>
      <c r="M68" s="583">
        <v>1</v>
      </c>
      <c r="N68" s="582">
        <f t="shared" si="10"/>
        <v>0</v>
      </c>
      <c r="O68" s="577"/>
      <c r="P68" s="584">
        <f t="shared" si="11"/>
        <v>-1.01</v>
      </c>
      <c r="Q68" s="585">
        <f t="shared" si="12"/>
        <v>-1</v>
      </c>
    </row>
    <row r="69" spans="1:17" ht="12.75">
      <c r="A69" s="575"/>
      <c r="B69" s="576"/>
      <c r="D69" s="586" t="s">
        <v>580</v>
      </c>
      <c r="E69" s="577"/>
      <c r="F69" s="578" t="s">
        <v>564</v>
      </c>
      <c r="G69" s="579"/>
      <c r="H69" s="587">
        <v>0</v>
      </c>
      <c r="I69" s="581">
        <v>1</v>
      </c>
      <c r="J69" s="582">
        <f t="shared" si="9"/>
        <v>0</v>
      </c>
      <c r="K69" s="577"/>
      <c r="L69" s="580">
        <v>0.2</v>
      </c>
      <c r="M69" s="583">
        <v>1</v>
      </c>
      <c r="N69" s="582">
        <f t="shared" si="10"/>
        <v>0.2</v>
      </c>
      <c r="O69" s="577"/>
      <c r="P69" s="584">
        <f t="shared" si="11"/>
        <v>0.2</v>
      </c>
      <c r="Q69" s="585">
        <f t="shared" si="12"/>
      </c>
    </row>
    <row r="70" spans="1:17" ht="12.75">
      <c r="A70" s="575"/>
      <c r="B70" s="576"/>
      <c r="D70" s="577" t="s">
        <v>581</v>
      </c>
      <c r="E70" s="577"/>
      <c r="F70" s="578" t="s">
        <v>564</v>
      </c>
      <c r="G70" s="579"/>
      <c r="H70" s="587">
        <v>3.37</v>
      </c>
      <c r="I70" s="581">
        <v>1</v>
      </c>
      <c r="J70" s="582">
        <f t="shared" si="9"/>
        <v>3.37</v>
      </c>
      <c r="K70" s="577"/>
      <c r="L70" s="587">
        <v>0</v>
      </c>
      <c r="M70" s="583">
        <v>1</v>
      </c>
      <c r="N70" s="582">
        <f t="shared" si="10"/>
        <v>0</v>
      </c>
      <c r="O70" s="577"/>
      <c r="P70" s="584">
        <f t="shared" si="11"/>
        <v>-3.37</v>
      </c>
      <c r="Q70" s="585">
        <f t="shared" si="12"/>
        <v>-1</v>
      </c>
    </row>
    <row r="71" spans="1:17" ht="12.75">
      <c r="A71" s="575"/>
      <c r="B71" s="576"/>
      <c r="D71" s="577" t="s">
        <v>582</v>
      </c>
      <c r="E71" s="577"/>
      <c r="F71" s="578" t="s">
        <v>566</v>
      </c>
      <c r="G71" s="579"/>
      <c r="H71" s="587">
        <v>0.0116</v>
      </c>
      <c r="I71" s="581">
        <f>H62</f>
        <v>2000</v>
      </c>
      <c r="J71" s="582">
        <f t="shared" si="9"/>
        <v>23.2</v>
      </c>
      <c r="K71" s="577"/>
      <c r="L71" s="587">
        <v>0.0148</v>
      </c>
      <c r="M71" s="583">
        <f>H62</f>
        <v>2000</v>
      </c>
      <c r="N71" s="582">
        <f t="shared" si="10"/>
        <v>29.6</v>
      </c>
      <c r="O71" s="577"/>
      <c r="P71" s="584">
        <f t="shared" si="11"/>
        <v>6.400000000000002</v>
      </c>
      <c r="Q71" s="585">
        <f t="shared" si="12"/>
        <v>0.27586206896551735</v>
      </c>
    </row>
    <row r="72" spans="1:17" ht="12.75">
      <c r="A72" s="575"/>
      <c r="B72" s="576"/>
      <c r="D72" s="577" t="s">
        <v>583</v>
      </c>
      <c r="E72" s="577"/>
      <c r="F72" s="578" t="s">
        <v>566</v>
      </c>
      <c r="G72" s="579"/>
      <c r="H72" s="587">
        <v>0.0001</v>
      </c>
      <c r="I72" s="581">
        <f aca="true" t="shared" si="13" ref="I72:I77">I71</f>
        <v>2000</v>
      </c>
      <c r="J72" s="582">
        <f t="shared" si="9"/>
        <v>0.2</v>
      </c>
      <c r="K72" s="577"/>
      <c r="L72" s="587">
        <v>0.0003</v>
      </c>
      <c r="M72" s="583">
        <f aca="true" t="shared" si="14" ref="M72:M77">M71</f>
        <v>2000</v>
      </c>
      <c r="N72" s="582">
        <f t="shared" si="10"/>
        <v>0.6</v>
      </c>
      <c r="O72" s="577"/>
      <c r="P72" s="584">
        <f t="shared" si="11"/>
        <v>0.39999999999999997</v>
      </c>
      <c r="Q72" s="585">
        <f t="shared" si="12"/>
        <v>1.9999999999999998</v>
      </c>
    </row>
    <row r="73" spans="1:17" ht="12.75">
      <c r="A73" s="575"/>
      <c r="B73" s="576"/>
      <c r="D73" s="577" t="s">
        <v>584</v>
      </c>
      <c r="E73" s="577"/>
      <c r="F73" s="578" t="s">
        <v>566</v>
      </c>
      <c r="G73" s="579"/>
      <c r="H73" s="587">
        <v>0</v>
      </c>
      <c r="I73" s="581">
        <f t="shared" si="13"/>
        <v>2000</v>
      </c>
      <c r="J73" s="582">
        <f t="shared" si="9"/>
        <v>0</v>
      </c>
      <c r="K73" s="577"/>
      <c r="L73" s="587">
        <v>0</v>
      </c>
      <c r="M73" s="583">
        <f t="shared" si="14"/>
        <v>2000</v>
      </c>
      <c r="N73" s="582">
        <f t="shared" si="10"/>
        <v>0</v>
      </c>
      <c r="O73" s="577"/>
      <c r="P73" s="584">
        <f t="shared" si="11"/>
        <v>0</v>
      </c>
      <c r="Q73" s="585">
        <f t="shared" si="12"/>
      </c>
    </row>
    <row r="74" spans="1:17" ht="12.75">
      <c r="A74" s="575"/>
      <c r="B74" s="576"/>
      <c r="D74" s="577" t="s">
        <v>585</v>
      </c>
      <c r="E74" s="577"/>
      <c r="F74" s="578" t="s">
        <v>566</v>
      </c>
      <c r="G74" s="579"/>
      <c r="H74" s="587">
        <v>-0.0003</v>
      </c>
      <c r="I74" s="581">
        <f t="shared" si="13"/>
        <v>2000</v>
      </c>
      <c r="J74" s="582">
        <f t="shared" si="9"/>
        <v>-0.6</v>
      </c>
      <c r="K74" s="577"/>
      <c r="L74" s="587">
        <v>0</v>
      </c>
      <c r="M74" s="583">
        <f t="shared" si="14"/>
        <v>2000</v>
      </c>
      <c r="N74" s="582">
        <f t="shared" si="10"/>
        <v>0</v>
      </c>
      <c r="O74" s="577"/>
      <c r="P74" s="584">
        <f t="shared" si="11"/>
        <v>0.6</v>
      </c>
      <c r="Q74" s="585">
        <f t="shared" si="12"/>
        <v>-1</v>
      </c>
    </row>
    <row r="75" spans="1:17" ht="12.75">
      <c r="A75" s="575"/>
      <c r="B75" s="576"/>
      <c r="D75" s="577" t="s">
        <v>586</v>
      </c>
      <c r="E75" s="577"/>
      <c r="F75" s="578" t="s">
        <v>566</v>
      </c>
      <c r="G75" s="579"/>
      <c r="H75" s="587">
        <v>0</v>
      </c>
      <c r="I75" s="581">
        <f t="shared" si="13"/>
        <v>2000</v>
      </c>
      <c r="J75" s="582">
        <f t="shared" si="9"/>
        <v>0</v>
      </c>
      <c r="K75" s="577"/>
      <c r="L75" s="587">
        <v>0</v>
      </c>
      <c r="M75" s="583">
        <f t="shared" si="14"/>
        <v>2000</v>
      </c>
      <c r="N75" s="582">
        <f t="shared" si="10"/>
        <v>0</v>
      </c>
      <c r="O75" s="577"/>
      <c r="P75" s="584">
        <f t="shared" si="11"/>
        <v>0</v>
      </c>
      <c r="Q75" s="585">
        <f t="shared" si="12"/>
      </c>
    </row>
    <row r="76" spans="1:17" ht="12.75">
      <c r="A76" s="575"/>
      <c r="B76" s="576"/>
      <c r="D76" s="577" t="s">
        <v>587</v>
      </c>
      <c r="E76" s="577"/>
      <c r="F76" s="578" t="s">
        <v>566</v>
      </c>
      <c r="G76" s="579"/>
      <c r="H76" s="587">
        <v>0</v>
      </c>
      <c r="I76" s="581">
        <f t="shared" si="13"/>
        <v>2000</v>
      </c>
      <c r="J76" s="582">
        <f t="shared" si="9"/>
        <v>0</v>
      </c>
      <c r="K76" s="577"/>
      <c r="L76" s="587">
        <v>0</v>
      </c>
      <c r="M76" s="583">
        <f t="shared" si="14"/>
        <v>2000</v>
      </c>
      <c r="N76" s="582">
        <f t="shared" si="10"/>
        <v>0</v>
      </c>
      <c r="O76" s="577"/>
      <c r="P76" s="584">
        <f t="shared" si="11"/>
        <v>0</v>
      </c>
      <c r="Q76" s="585">
        <f t="shared" si="12"/>
      </c>
    </row>
    <row r="77" spans="1:17" ht="25.5">
      <c r="A77" s="588"/>
      <c r="B77" s="576"/>
      <c r="D77" s="589" t="s">
        <v>588</v>
      </c>
      <c r="E77" s="577"/>
      <c r="F77" s="578" t="s">
        <v>566</v>
      </c>
      <c r="G77" s="579"/>
      <c r="H77" s="587">
        <v>0</v>
      </c>
      <c r="I77" s="581">
        <f t="shared" si="13"/>
        <v>2000</v>
      </c>
      <c r="J77" s="582">
        <f t="shared" si="9"/>
        <v>0</v>
      </c>
      <c r="K77" s="577"/>
      <c r="L77" s="587">
        <v>-0.0012</v>
      </c>
      <c r="M77" s="583">
        <f t="shared" si="14"/>
        <v>2000</v>
      </c>
      <c r="N77" s="582">
        <f t="shared" si="10"/>
        <v>-2.4</v>
      </c>
      <c r="O77" s="577"/>
      <c r="P77" s="584">
        <f t="shared" si="11"/>
        <v>-2.4</v>
      </c>
      <c r="Q77" s="585">
        <f t="shared" si="12"/>
      </c>
    </row>
    <row r="78" spans="1:17" ht="12.75">
      <c r="A78" s="588"/>
      <c r="D78" s="589"/>
      <c r="E78" s="577"/>
      <c r="F78" s="578"/>
      <c r="G78" s="579"/>
      <c r="H78" s="587">
        <v>0</v>
      </c>
      <c r="I78" s="591"/>
      <c r="J78" s="582">
        <f t="shared" si="9"/>
        <v>0</v>
      </c>
      <c r="K78" s="577"/>
      <c r="L78" s="587"/>
      <c r="M78" s="583"/>
      <c r="N78" s="582">
        <f t="shared" si="10"/>
        <v>0</v>
      </c>
      <c r="O78" s="577"/>
      <c r="P78" s="584">
        <f t="shared" si="11"/>
        <v>0</v>
      </c>
      <c r="Q78" s="585">
        <f t="shared" si="12"/>
      </c>
    </row>
    <row r="79" spans="1:17" ht="12.75">
      <c r="A79" s="599"/>
      <c r="D79" s="590"/>
      <c r="E79" s="577"/>
      <c r="F79" s="578"/>
      <c r="G79" s="579"/>
      <c r="H79" s="587"/>
      <c r="I79" s="591"/>
      <c r="J79" s="582">
        <f t="shared" si="9"/>
        <v>0</v>
      </c>
      <c r="K79" s="577"/>
      <c r="L79" s="587"/>
      <c r="M79" s="592"/>
      <c r="N79" s="582">
        <f t="shared" si="10"/>
        <v>0</v>
      </c>
      <c r="O79" s="577"/>
      <c r="P79" s="584">
        <f t="shared" si="11"/>
        <v>0</v>
      </c>
      <c r="Q79" s="585">
        <f t="shared" si="12"/>
      </c>
    </row>
    <row r="80" spans="4:17" ht="12.75">
      <c r="D80" s="590"/>
      <c r="E80" s="577"/>
      <c r="F80" s="578"/>
      <c r="G80" s="579"/>
      <c r="H80" s="587"/>
      <c r="I80" s="591"/>
      <c r="J80" s="582">
        <f t="shared" si="9"/>
        <v>0</v>
      </c>
      <c r="K80" s="577"/>
      <c r="L80" s="587"/>
      <c r="M80" s="592"/>
      <c r="N80" s="582">
        <f t="shared" si="10"/>
        <v>0</v>
      </c>
      <c r="O80" s="577"/>
      <c r="P80" s="584">
        <f t="shared" si="11"/>
        <v>0</v>
      </c>
      <c r="Q80" s="585">
        <f t="shared" si="12"/>
      </c>
    </row>
    <row r="81" spans="4:17" ht="13.5" thickBot="1">
      <c r="D81" s="590"/>
      <c r="E81" s="577"/>
      <c r="F81" s="578"/>
      <c r="G81" s="579"/>
      <c r="H81" s="587"/>
      <c r="I81" s="591"/>
      <c r="J81" s="582">
        <f t="shared" si="9"/>
        <v>0</v>
      </c>
      <c r="K81" s="577"/>
      <c r="L81" s="587"/>
      <c r="M81" s="592"/>
      <c r="N81" s="582">
        <f t="shared" si="10"/>
        <v>0</v>
      </c>
      <c r="O81" s="577"/>
      <c r="P81" s="584">
        <f t="shared" si="11"/>
        <v>0</v>
      </c>
      <c r="Q81" s="585">
        <f t="shared" si="12"/>
      </c>
    </row>
    <row r="82" spans="4:17" ht="13.5" thickBot="1">
      <c r="D82" s="400" t="s">
        <v>589</v>
      </c>
      <c r="G82" s="551"/>
      <c r="H82" s="593"/>
      <c r="I82" s="594"/>
      <c r="J82" s="595">
        <f>SUM(J67:J81)</f>
        <v>55.82</v>
      </c>
      <c r="L82" s="593"/>
      <c r="M82" s="596"/>
      <c r="N82" s="595">
        <f>SUM(N67:N81)</f>
        <v>55.910000000000004</v>
      </c>
      <c r="P82" s="597">
        <f t="shared" si="11"/>
        <v>0.09000000000000341</v>
      </c>
      <c r="Q82" s="598">
        <f t="shared" si="12"/>
        <v>0.0016123253314224903</v>
      </c>
    </row>
    <row r="83" spans="4:17" ht="12.75">
      <c r="D83" s="599" t="s">
        <v>590</v>
      </c>
      <c r="E83" s="599"/>
      <c r="F83" s="600" t="s">
        <v>566</v>
      </c>
      <c r="G83" s="601"/>
      <c r="H83" s="602">
        <v>0.0066</v>
      </c>
      <c r="I83" s="639">
        <f>H62*(1+H100)</f>
        <v>2059.8</v>
      </c>
      <c r="J83" s="604">
        <f>I83*H83</f>
        <v>13.59468</v>
      </c>
      <c r="K83" s="599"/>
      <c r="L83" s="602">
        <v>0.0065</v>
      </c>
      <c r="M83" s="640">
        <f>H62*(1+L100)</f>
        <v>2069</v>
      </c>
      <c r="N83" s="604">
        <f>M83*L83</f>
        <v>13.4485</v>
      </c>
      <c r="O83" s="599"/>
      <c r="P83" s="606">
        <f t="shared" si="11"/>
        <v>-0.1461800000000011</v>
      </c>
      <c r="Q83" s="607">
        <f t="shared" si="12"/>
        <v>-0.010752735628937282</v>
      </c>
    </row>
    <row r="84" spans="4:17" ht="26.25" thickBot="1">
      <c r="D84" s="608" t="s">
        <v>591</v>
      </c>
      <c r="E84" s="599"/>
      <c r="F84" s="600" t="s">
        <v>566</v>
      </c>
      <c r="G84" s="601"/>
      <c r="H84" s="602">
        <v>0.0024</v>
      </c>
      <c r="I84" s="639">
        <f>I83</f>
        <v>2059.8</v>
      </c>
      <c r="J84" s="604">
        <f>I84*H84</f>
        <v>4.94352</v>
      </c>
      <c r="K84" s="599"/>
      <c r="L84" s="602">
        <v>0.0028</v>
      </c>
      <c r="M84" s="640">
        <f>M83</f>
        <v>2069</v>
      </c>
      <c r="N84" s="604">
        <f>M84*L84</f>
        <v>5.7932</v>
      </c>
      <c r="O84" s="599"/>
      <c r="P84" s="606">
        <f t="shared" si="11"/>
        <v>0.8496799999999993</v>
      </c>
      <c r="Q84" s="607">
        <f t="shared" si="12"/>
        <v>0.17187752856264346</v>
      </c>
    </row>
    <row r="85" spans="4:17" ht="26.25" thickBot="1">
      <c r="D85" s="609" t="s">
        <v>592</v>
      </c>
      <c r="E85" s="577"/>
      <c r="F85" s="577"/>
      <c r="G85" s="579"/>
      <c r="H85" s="610"/>
      <c r="I85" s="611"/>
      <c r="J85" s="612">
        <f>SUM(J82:J84)</f>
        <v>74.35820000000001</v>
      </c>
      <c r="K85" s="613"/>
      <c r="L85" s="614"/>
      <c r="M85" s="615"/>
      <c r="N85" s="612">
        <f>SUM(N82:N84)</f>
        <v>75.1517</v>
      </c>
      <c r="O85" s="613"/>
      <c r="P85" s="616">
        <f t="shared" si="11"/>
        <v>0.7934999999999945</v>
      </c>
      <c r="Q85" s="617">
        <f t="shared" si="12"/>
        <v>0.010671318025449707</v>
      </c>
    </row>
    <row r="86" spans="4:17" ht="25.5">
      <c r="D86" s="589" t="s">
        <v>593</v>
      </c>
      <c r="E86" s="577"/>
      <c r="F86" s="578" t="s">
        <v>566</v>
      </c>
      <c r="G86" s="579"/>
      <c r="H86" s="587">
        <v>0.0052</v>
      </c>
      <c r="I86" s="581">
        <f>I84</f>
        <v>2059.8</v>
      </c>
      <c r="J86" s="582">
        <f aca="true" t="shared" si="15" ref="J86:J93">I86*H86</f>
        <v>10.71096</v>
      </c>
      <c r="K86" s="577"/>
      <c r="L86" s="587">
        <f aca="true" t="shared" si="16" ref="L86:L92">H86</f>
        <v>0.0052</v>
      </c>
      <c r="M86" s="583">
        <f>M84</f>
        <v>2069</v>
      </c>
      <c r="N86" s="582">
        <f aca="true" t="shared" si="17" ref="N86:N93">M86*L86</f>
        <v>10.758799999999999</v>
      </c>
      <c r="O86" s="577"/>
      <c r="P86" s="584">
        <f t="shared" si="11"/>
        <v>0.047839999999998994</v>
      </c>
      <c r="Q86" s="585">
        <f t="shared" si="12"/>
        <v>0.00446645305369444</v>
      </c>
    </row>
    <row r="87" spans="4:17" ht="25.5">
      <c r="D87" s="589" t="s">
        <v>594</v>
      </c>
      <c r="E87" s="577"/>
      <c r="F87" s="578" t="s">
        <v>566</v>
      </c>
      <c r="G87" s="579"/>
      <c r="H87" s="587">
        <v>0.0011</v>
      </c>
      <c r="I87" s="581">
        <f>I84</f>
        <v>2059.8</v>
      </c>
      <c r="J87" s="582">
        <f t="shared" si="15"/>
        <v>2.2657800000000003</v>
      </c>
      <c r="K87" s="577"/>
      <c r="L87" s="587">
        <f t="shared" si="16"/>
        <v>0.0011</v>
      </c>
      <c r="M87" s="583">
        <f>M84</f>
        <v>2069</v>
      </c>
      <c r="N87" s="582">
        <f t="shared" si="17"/>
        <v>2.2759</v>
      </c>
      <c r="O87" s="577"/>
      <c r="P87" s="584">
        <f t="shared" si="11"/>
        <v>0.010119999999999685</v>
      </c>
      <c r="Q87" s="585">
        <f t="shared" si="12"/>
        <v>0.004466453053694394</v>
      </c>
    </row>
    <row r="88" spans="4:17" ht="12.75">
      <c r="D88" s="589" t="s">
        <v>595</v>
      </c>
      <c r="E88" s="577"/>
      <c r="F88" s="578" t="s">
        <v>566</v>
      </c>
      <c r="G88" s="579"/>
      <c r="H88" s="587">
        <v>0</v>
      </c>
      <c r="I88" s="581">
        <f>I84</f>
        <v>2059.8</v>
      </c>
      <c r="J88" s="582">
        <f t="shared" si="15"/>
        <v>0</v>
      </c>
      <c r="K88" s="577"/>
      <c r="L88" s="587">
        <f t="shared" si="16"/>
        <v>0</v>
      </c>
      <c r="M88" s="583">
        <f>M84</f>
        <v>2069</v>
      </c>
      <c r="N88" s="582">
        <f t="shared" si="17"/>
        <v>0</v>
      </c>
      <c r="O88" s="577"/>
      <c r="P88" s="584">
        <f t="shared" si="11"/>
        <v>0</v>
      </c>
      <c r="Q88" s="585">
        <f t="shared" si="12"/>
      </c>
    </row>
    <row r="89" spans="4:17" ht="12.75">
      <c r="D89" s="577" t="s">
        <v>596</v>
      </c>
      <c r="E89" s="577"/>
      <c r="F89" s="578" t="s">
        <v>564</v>
      </c>
      <c r="G89" s="579"/>
      <c r="H89" s="587">
        <v>0.25</v>
      </c>
      <c r="I89" s="581">
        <v>1</v>
      </c>
      <c r="J89" s="582">
        <f t="shared" si="15"/>
        <v>0.25</v>
      </c>
      <c r="K89" s="577"/>
      <c r="L89" s="587">
        <f t="shared" si="16"/>
        <v>0.25</v>
      </c>
      <c r="M89" s="583">
        <v>1</v>
      </c>
      <c r="N89" s="582">
        <f t="shared" si="17"/>
        <v>0.25</v>
      </c>
      <c r="O89" s="577"/>
      <c r="P89" s="584">
        <f t="shared" si="11"/>
        <v>0</v>
      </c>
      <c r="Q89" s="585">
        <f t="shared" si="12"/>
        <v>0</v>
      </c>
    </row>
    <row r="90" spans="4:17" ht="12.75">
      <c r="D90" s="577" t="s">
        <v>597</v>
      </c>
      <c r="E90" s="577"/>
      <c r="F90" s="578" t="s">
        <v>566</v>
      </c>
      <c r="G90" s="579"/>
      <c r="H90" s="587">
        <v>0.007</v>
      </c>
      <c r="I90" s="581">
        <f>H62</f>
        <v>2000</v>
      </c>
      <c r="J90" s="582">
        <f t="shared" si="15"/>
        <v>14</v>
      </c>
      <c r="K90" s="577"/>
      <c r="L90" s="587">
        <f t="shared" si="16"/>
        <v>0.007</v>
      </c>
      <c r="M90" s="583">
        <f>H62</f>
        <v>2000</v>
      </c>
      <c r="N90" s="582">
        <f t="shared" si="17"/>
        <v>14</v>
      </c>
      <c r="O90" s="577"/>
      <c r="P90" s="584">
        <f t="shared" si="11"/>
        <v>0</v>
      </c>
      <c r="Q90" s="585">
        <f t="shared" si="12"/>
        <v>0</v>
      </c>
    </row>
    <row r="91" spans="4:17" ht="12.75">
      <c r="D91" s="577" t="s">
        <v>608</v>
      </c>
      <c r="E91" s="577"/>
      <c r="F91" s="578" t="s">
        <v>566</v>
      </c>
      <c r="G91" s="579"/>
      <c r="H91" s="587">
        <v>0.075</v>
      </c>
      <c r="I91" s="581">
        <f>IF(I83&lt;H101,I83,H101)</f>
        <v>750</v>
      </c>
      <c r="J91" s="582">
        <f t="shared" si="15"/>
        <v>56.25</v>
      </c>
      <c r="K91" s="577"/>
      <c r="L91" s="587">
        <f t="shared" si="16"/>
        <v>0.075</v>
      </c>
      <c r="M91" s="583">
        <f>IF(M83&lt;L101,M83,L101)</f>
        <v>750</v>
      </c>
      <c r="N91" s="582">
        <f t="shared" si="17"/>
        <v>56.25</v>
      </c>
      <c r="O91" s="577"/>
      <c r="P91" s="584">
        <f t="shared" si="11"/>
        <v>0</v>
      </c>
      <c r="Q91" s="585">
        <f t="shared" si="12"/>
        <v>0</v>
      </c>
    </row>
    <row r="92" spans="4:17" ht="12.75">
      <c r="D92" s="641"/>
      <c r="E92" s="577"/>
      <c r="F92" s="578"/>
      <c r="G92" s="579"/>
      <c r="H92" s="587">
        <v>0.088</v>
      </c>
      <c r="I92" s="621">
        <f>IF(I83&lt;H101,0,I86-I91)</f>
        <v>1309.8000000000002</v>
      </c>
      <c r="J92" s="582">
        <f t="shared" si="15"/>
        <v>115.26240000000001</v>
      </c>
      <c r="K92" s="577"/>
      <c r="L92" s="587">
        <f t="shared" si="16"/>
        <v>0.088</v>
      </c>
      <c r="M92" s="642">
        <f>IF(M83&lt;L101,0,M83-M91)</f>
        <v>1319</v>
      </c>
      <c r="N92" s="582">
        <f t="shared" si="17"/>
        <v>116.07199999999999</v>
      </c>
      <c r="O92" s="577"/>
      <c r="P92" s="584">
        <f t="shared" si="11"/>
        <v>0.8095999999999748</v>
      </c>
      <c r="Q92" s="585">
        <f t="shared" si="12"/>
        <v>0.007023973125667821</v>
      </c>
    </row>
    <row r="93" spans="4:17" ht="13.5" thickBot="1">
      <c r="D93" s="590"/>
      <c r="E93" s="577"/>
      <c r="F93" s="578"/>
      <c r="G93" s="579"/>
      <c r="H93" s="587"/>
      <c r="I93" s="591"/>
      <c r="J93" s="582">
        <f t="shared" si="15"/>
        <v>0</v>
      </c>
      <c r="K93" s="577"/>
      <c r="L93" s="587"/>
      <c r="M93" s="592"/>
      <c r="N93" s="582">
        <f t="shared" si="17"/>
        <v>0</v>
      </c>
      <c r="O93" s="577"/>
      <c r="P93" s="584">
        <f t="shared" si="11"/>
        <v>0</v>
      </c>
      <c r="Q93" s="585">
        <f t="shared" si="12"/>
      </c>
    </row>
    <row r="94" spans="4:17" ht="13.5" thickBot="1">
      <c r="D94" s="623" t="s">
        <v>600</v>
      </c>
      <c r="E94" s="577"/>
      <c r="F94" s="577"/>
      <c r="G94" s="577"/>
      <c r="H94" s="624"/>
      <c r="I94" s="625"/>
      <c r="J94" s="612">
        <f>SUM(J85:J93)</f>
        <v>273.09734000000003</v>
      </c>
      <c r="K94" s="613"/>
      <c r="L94" s="626"/>
      <c r="M94" s="627"/>
      <c r="N94" s="612">
        <f>SUM(N85:N93)</f>
        <v>274.7584</v>
      </c>
      <c r="O94" s="613"/>
      <c r="P94" s="616">
        <f t="shared" si="11"/>
        <v>1.6610599999999636</v>
      </c>
      <c r="Q94" s="617">
        <f t="shared" si="12"/>
        <v>0.006082300179122812</v>
      </c>
    </row>
    <row r="95" spans="4:17" ht="13.5" thickBot="1">
      <c r="D95" s="579" t="s">
        <v>601</v>
      </c>
      <c r="E95" s="577"/>
      <c r="F95" s="577"/>
      <c r="G95" s="577"/>
      <c r="H95" s="628">
        <v>0.13</v>
      </c>
      <c r="I95" s="629"/>
      <c r="J95" s="630">
        <f>J94*H95</f>
        <v>35.5026542</v>
      </c>
      <c r="K95" s="577"/>
      <c r="L95" s="628">
        <v>0.13</v>
      </c>
      <c r="M95" s="631"/>
      <c r="N95" s="630">
        <f>N94*L95</f>
        <v>35.718592</v>
      </c>
      <c r="O95" s="577"/>
      <c r="P95" s="584">
        <f t="shared" si="11"/>
        <v>0.21593779999999896</v>
      </c>
      <c r="Q95" s="585">
        <f t="shared" si="12"/>
        <v>0.006082300179122916</v>
      </c>
    </row>
    <row r="96" spans="4:17" ht="26.25" thickBot="1">
      <c r="D96" s="609" t="s">
        <v>602</v>
      </c>
      <c r="E96" s="577"/>
      <c r="F96" s="577"/>
      <c r="G96" s="577"/>
      <c r="H96" s="610"/>
      <c r="I96" s="611"/>
      <c r="J96" s="612">
        <f>ROUND(SUM(J94:J95),2)</f>
        <v>308.6</v>
      </c>
      <c r="K96" s="577"/>
      <c r="L96" s="614"/>
      <c r="M96" s="615"/>
      <c r="N96" s="612">
        <f>ROUND(SUM(N94:N95),2)</f>
        <v>310.48</v>
      </c>
      <c r="O96" s="577"/>
      <c r="P96" s="616">
        <f t="shared" si="11"/>
        <v>1.8799999999999955</v>
      </c>
      <c r="Q96" s="617">
        <f t="shared" si="12"/>
        <v>0.006092028515878144</v>
      </c>
    </row>
    <row r="97" spans="4:17" ht="13.5" thickBot="1">
      <c r="D97" s="579" t="s">
        <v>603</v>
      </c>
      <c r="E97" s="577"/>
      <c r="F97" s="577"/>
      <c r="G97" s="577"/>
      <c r="H97" s="632"/>
      <c r="I97" s="629"/>
      <c r="J97" s="633">
        <f>ROUND(-J96*10%,2)</f>
        <v>-30.86</v>
      </c>
      <c r="K97" s="577"/>
      <c r="L97" s="632"/>
      <c r="M97" s="631"/>
      <c r="N97" s="633">
        <f>ROUND(-N96*10%,2)</f>
        <v>-31.05</v>
      </c>
      <c r="O97" s="577"/>
      <c r="P97" s="584">
        <f t="shared" si="11"/>
        <v>-0.19000000000000128</v>
      </c>
      <c r="Q97" s="585">
        <f t="shared" si="12"/>
        <v>0.0061568373298769045</v>
      </c>
    </row>
    <row r="98" spans="4:17" ht="13.5" thickBot="1">
      <c r="D98" s="609" t="s">
        <v>604</v>
      </c>
      <c r="E98" s="577"/>
      <c r="F98" s="577"/>
      <c r="G98" s="577"/>
      <c r="H98" s="610"/>
      <c r="I98" s="611"/>
      <c r="J98" s="612">
        <f>ROUND(SUM(J96:J97),2)</f>
        <v>277.74</v>
      </c>
      <c r="K98" s="613"/>
      <c r="L98" s="614"/>
      <c r="M98" s="615"/>
      <c r="N98" s="612">
        <f>ROUND(SUM(N96:N97),2)</f>
        <v>279.43</v>
      </c>
      <c r="O98" s="613"/>
      <c r="P98" s="616">
        <f t="shared" si="11"/>
        <v>1.6899999999999977</v>
      </c>
      <c r="Q98" s="617">
        <f t="shared" si="12"/>
        <v>0.006084827536544961</v>
      </c>
    </row>
    <row r="99" ht="10.5" customHeight="1"/>
    <row r="100" spans="4:14" ht="12.75">
      <c r="D100" s="400" t="s">
        <v>605</v>
      </c>
      <c r="H100" s="634">
        <v>0.029900000000000038</v>
      </c>
      <c r="J100" s="635"/>
      <c r="L100" s="634">
        <v>0.034499999999999975</v>
      </c>
      <c r="N100" s="636"/>
    </row>
    <row r="101" spans="4:12" ht="18.75" customHeight="1">
      <c r="D101" s="637" t="s">
        <v>606</v>
      </c>
      <c r="H101" s="638">
        <v>750</v>
      </c>
      <c r="L101" s="638">
        <f>H101</f>
        <v>750</v>
      </c>
    </row>
    <row r="102" ht="12.75">
      <c r="B102" s="400" t="s">
        <v>265</v>
      </c>
    </row>
    <row r="103" spans="2:17" ht="12.75">
      <c r="B103" s="1114"/>
      <c r="C103" s="1115"/>
      <c r="D103" s="1115"/>
      <c r="E103" s="1115"/>
      <c r="F103" s="1115"/>
      <c r="G103" s="1115"/>
      <c r="H103" s="1115"/>
      <c r="I103" s="1115"/>
      <c r="J103" s="1115"/>
      <c r="K103" s="1115"/>
      <c r="L103" s="1115"/>
      <c r="M103" s="1115"/>
      <c r="N103" s="1115"/>
      <c r="O103" s="1115"/>
      <c r="P103" s="1115"/>
      <c r="Q103" s="1116"/>
    </row>
    <row r="104" spans="2:17" ht="12.75">
      <c r="B104" s="1117"/>
      <c r="C104" s="1118"/>
      <c r="D104" s="1118"/>
      <c r="E104" s="1118"/>
      <c r="F104" s="1118"/>
      <c r="G104" s="1118"/>
      <c r="H104" s="1118"/>
      <c r="I104" s="1118"/>
      <c r="J104" s="1118"/>
      <c r="K104" s="1118"/>
      <c r="L104" s="1118"/>
      <c r="M104" s="1118"/>
      <c r="N104" s="1118"/>
      <c r="O104" s="1118"/>
      <c r="P104" s="1118"/>
      <c r="Q104" s="1119"/>
    </row>
    <row r="105" spans="2:17" ht="12.75">
      <c r="B105" s="1117"/>
      <c r="C105" s="1118"/>
      <c r="D105" s="1118"/>
      <c r="E105" s="1118"/>
      <c r="F105" s="1118"/>
      <c r="G105" s="1118"/>
      <c r="H105" s="1118"/>
      <c r="I105" s="1118"/>
      <c r="J105" s="1118"/>
      <c r="K105" s="1118"/>
      <c r="L105" s="1118"/>
      <c r="M105" s="1118"/>
      <c r="N105" s="1118"/>
      <c r="O105" s="1118"/>
      <c r="P105" s="1118"/>
      <c r="Q105" s="1119"/>
    </row>
    <row r="106" spans="2:17" ht="12.75">
      <c r="B106" s="1117"/>
      <c r="C106" s="1118"/>
      <c r="D106" s="1118"/>
      <c r="E106" s="1118"/>
      <c r="F106" s="1118"/>
      <c r="G106" s="1118"/>
      <c r="H106" s="1118"/>
      <c r="I106" s="1118"/>
      <c r="J106" s="1118"/>
      <c r="K106" s="1118"/>
      <c r="L106" s="1118"/>
      <c r="M106" s="1118"/>
      <c r="N106" s="1118"/>
      <c r="O106" s="1118"/>
      <c r="P106" s="1118"/>
      <c r="Q106" s="1119"/>
    </row>
    <row r="107" spans="2:17" ht="12.75">
      <c r="B107" s="1120"/>
      <c r="C107" s="1121"/>
      <c r="D107" s="1121"/>
      <c r="E107" s="1121"/>
      <c r="F107" s="1121"/>
      <c r="G107" s="1121"/>
      <c r="H107" s="1121"/>
      <c r="I107" s="1121"/>
      <c r="J107" s="1121"/>
      <c r="K107" s="1121"/>
      <c r="L107" s="1121"/>
      <c r="M107" s="1121"/>
      <c r="N107" s="1121"/>
      <c r="O107" s="1121"/>
      <c r="P107" s="1121"/>
      <c r="Q107" s="1122"/>
    </row>
    <row r="108" ht="12.75"/>
    <row r="109" ht="12.75"/>
    <row r="110" ht="12.75"/>
    <row r="111" ht="12.75"/>
    <row r="112" spans="2:17" ht="15.75">
      <c r="B112" s="562" t="s">
        <v>564</v>
      </c>
      <c r="D112" s="563" t="s">
        <v>565</v>
      </c>
      <c r="F112" s="1123" t="s">
        <v>609</v>
      </c>
      <c r="G112" s="1123"/>
      <c r="H112" s="1123"/>
      <c r="I112" s="1123"/>
      <c r="J112" s="1123"/>
      <c r="K112" s="1123"/>
      <c r="L112" s="1123"/>
      <c r="M112" s="1123"/>
      <c r="N112" s="1123"/>
      <c r="O112" s="1123"/>
      <c r="P112" s="1123"/>
      <c r="Q112" s="1123"/>
    </row>
    <row r="113" spans="2:17" ht="15.75">
      <c r="B113" s="562"/>
      <c r="D113" s="564"/>
      <c r="F113" s="565"/>
      <c r="G113" s="565"/>
      <c r="H113" s="565"/>
      <c r="I113" s="565"/>
      <c r="J113" s="565"/>
      <c r="K113" s="565"/>
      <c r="L113" s="565"/>
      <c r="M113" s="565"/>
      <c r="N113" s="565"/>
      <c r="O113" s="565"/>
      <c r="P113" s="565"/>
      <c r="Q113" s="565"/>
    </row>
    <row r="114" spans="2:9" ht="12.75">
      <c r="B114" s="562" t="s">
        <v>566</v>
      </c>
      <c r="F114" s="400" t="s">
        <v>567</v>
      </c>
      <c r="G114" s="400"/>
      <c r="H114" s="643">
        <v>80000</v>
      </c>
      <c r="I114" s="569" t="s">
        <v>568</v>
      </c>
    </row>
    <row r="115" spans="2:9" ht="12.75">
      <c r="B115" s="562" t="s">
        <v>569</v>
      </c>
      <c r="F115" s="400" t="s">
        <v>610</v>
      </c>
      <c r="H115" s="643">
        <v>250</v>
      </c>
      <c r="I115" s="569" t="s">
        <v>554</v>
      </c>
    </row>
    <row r="116" spans="2:17" ht="12.75">
      <c r="B116" s="567"/>
      <c r="F116" s="568"/>
      <c r="G116" s="568"/>
      <c r="H116" s="1124" t="s">
        <v>570</v>
      </c>
      <c r="I116" s="1125"/>
      <c r="J116" s="1126"/>
      <c r="L116" s="1124" t="s">
        <v>571</v>
      </c>
      <c r="M116" s="1125"/>
      <c r="N116" s="1126"/>
      <c r="P116" s="1124" t="s">
        <v>572</v>
      </c>
      <c r="Q116" s="1126"/>
    </row>
    <row r="117" spans="2:17" ht="12.75">
      <c r="B117" s="567"/>
      <c r="F117" s="1108" t="s">
        <v>573</v>
      </c>
      <c r="G117" s="569"/>
      <c r="H117" s="570" t="s">
        <v>574</v>
      </c>
      <c r="I117" s="570" t="s">
        <v>575</v>
      </c>
      <c r="J117" s="571" t="s">
        <v>576</v>
      </c>
      <c r="L117" s="570" t="s">
        <v>574</v>
      </c>
      <c r="M117" s="572" t="s">
        <v>575</v>
      </c>
      <c r="N117" s="571" t="s">
        <v>576</v>
      </c>
      <c r="P117" s="1110" t="s">
        <v>577</v>
      </c>
      <c r="Q117" s="1112" t="s">
        <v>578</v>
      </c>
    </row>
    <row r="118" spans="2:17" ht="12.75">
      <c r="B118" s="567"/>
      <c r="F118" s="1109"/>
      <c r="G118" s="569"/>
      <c r="H118" s="573" t="s">
        <v>410</v>
      </c>
      <c r="I118" s="573"/>
      <c r="J118" s="574" t="s">
        <v>410</v>
      </c>
      <c r="L118" s="573" t="s">
        <v>410</v>
      </c>
      <c r="M118" s="574"/>
      <c r="N118" s="574" t="s">
        <v>410</v>
      </c>
      <c r="P118" s="1111"/>
      <c r="Q118" s="1113"/>
    </row>
    <row r="119" spans="1:17" ht="12.75">
      <c r="A119" s="575"/>
      <c r="B119" s="576"/>
      <c r="D119" s="577" t="s">
        <v>555</v>
      </c>
      <c r="E119" s="577"/>
      <c r="F119" s="578" t="s">
        <v>564</v>
      </c>
      <c r="G119" s="579"/>
      <c r="H119" s="580">
        <v>84.45</v>
      </c>
      <c r="I119" s="581">
        <v>1</v>
      </c>
      <c r="J119" s="582">
        <f aca="true" t="shared" si="18" ref="J119:J133">I119*H119</f>
        <v>84.45</v>
      </c>
      <c r="K119" s="577"/>
      <c r="L119" s="580">
        <v>148.18</v>
      </c>
      <c r="M119" s="583">
        <v>1</v>
      </c>
      <c r="N119" s="582">
        <f aca="true" t="shared" si="19" ref="N119:N133">M119*L119</f>
        <v>148.18</v>
      </c>
      <c r="O119" s="577"/>
      <c r="P119" s="584">
        <f aca="true" t="shared" si="20" ref="P119:P148">N119-J119</f>
        <v>63.730000000000004</v>
      </c>
      <c r="Q119" s="585">
        <f aca="true" t="shared" si="21" ref="Q119:Q148">IF((J119)=0,"",(P119/J119))</f>
        <v>0.754647720544701</v>
      </c>
    </row>
    <row r="120" spans="1:17" ht="12.75">
      <c r="A120" s="575"/>
      <c r="B120" s="576"/>
      <c r="D120" s="577" t="s">
        <v>579</v>
      </c>
      <c r="E120" s="577"/>
      <c r="F120" s="578" t="s">
        <v>564</v>
      </c>
      <c r="G120" s="579"/>
      <c r="H120" s="587">
        <v>0</v>
      </c>
      <c r="I120" s="581">
        <v>1</v>
      </c>
      <c r="J120" s="582">
        <f t="shared" si="18"/>
        <v>0</v>
      </c>
      <c r="K120" s="577"/>
      <c r="L120" s="587">
        <v>0</v>
      </c>
      <c r="M120" s="583">
        <v>1</v>
      </c>
      <c r="N120" s="582">
        <f t="shared" si="19"/>
        <v>0</v>
      </c>
      <c r="O120" s="577"/>
      <c r="P120" s="584">
        <f t="shared" si="20"/>
        <v>0</v>
      </c>
      <c r="Q120" s="585">
        <f t="shared" si="21"/>
      </c>
    </row>
    <row r="121" spans="1:17" ht="12.75">
      <c r="A121" s="575"/>
      <c r="B121" s="576"/>
      <c r="D121" s="644" t="s">
        <v>580</v>
      </c>
      <c r="E121" s="577"/>
      <c r="F121" s="578" t="s">
        <v>564</v>
      </c>
      <c r="G121" s="579"/>
      <c r="H121" s="587">
        <v>0</v>
      </c>
      <c r="I121" s="581">
        <v>1</v>
      </c>
      <c r="J121" s="582">
        <f t="shared" si="18"/>
        <v>0</v>
      </c>
      <c r="K121" s="577"/>
      <c r="L121" s="580">
        <v>0.2</v>
      </c>
      <c r="M121" s="583">
        <v>1</v>
      </c>
      <c r="N121" s="582">
        <f t="shared" si="19"/>
        <v>0.2</v>
      </c>
      <c r="O121" s="577"/>
      <c r="P121" s="584">
        <f t="shared" si="20"/>
        <v>0.2</v>
      </c>
      <c r="Q121" s="585">
        <f t="shared" si="21"/>
      </c>
    </row>
    <row r="122" spans="1:17" ht="12.75">
      <c r="A122" s="575"/>
      <c r="B122" s="576"/>
      <c r="D122" s="577" t="s">
        <v>581</v>
      </c>
      <c r="E122" s="577"/>
      <c r="F122" s="578" t="s">
        <v>564</v>
      </c>
      <c r="G122" s="579"/>
      <c r="H122" s="587">
        <v>0</v>
      </c>
      <c r="I122" s="581">
        <v>1</v>
      </c>
      <c r="J122" s="582">
        <f t="shared" si="18"/>
        <v>0</v>
      </c>
      <c r="K122" s="577"/>
      <c r="L122" s="587">
        <v>0</v>
      </c>
      <c r="M122" s="583">
        <v>1</v>
      </c>
      <c r="N122" s="582">
        <f t="shared" si="19"/>
        <v>0</v>
      </c>
      <c r="O122" s="577"/>
      <c r="P122" s="584">
        <f t="shared" si="20"/>
        <v>0</v>
      </c>
      <c r="Q122" s="585">
        <f t="shared" si="21"/>
      </c>
    </row>
    <row r="123" spans="1:17" ht="12.75">
      <c r="A123" s="575"/>
      <c r="B123" s="576"/>
      <c r="D123" s="577" t="s">
        <v>582</v>
      </c>
      <c r="E123" s="577"/>
      <c r="F123" s="578" t="s">
        <v>569</v>
      </c>
      <c r="G123" s="579"/>
      <c r="H123" s="587">
        <v>3.5036</v>
      </c>
      <c r="I123" s="581">
        <f>H115</f>
        <v>250</v>
      </c>
      <c r="J123" s="582">
        <f t="shared" si="18"/>
        <v>875.9</v>
      </c>
      <c r="K123" s="577"/>
      <c r="L123" s="587">
        <v>3.5449</v>
      </c>
      <c r="M123" s="583">
        <f>H115</f>
        <v>250</v>
      </c>
      <c r="N123" s="582">
        <f t="shared" si="19"/>
        <v>886.225</v>
      </c>
      <c r="O123" s="577"/>
      <c r="P123" s="584">
        <f t="shared" si="20"/>
        <v>10.325000000000045</v>
      </c>
      <c r="Q123" s="585">
        <f t="shared" si="21"/>
        <v>0.011787875328233869</v>
      </c>
    </row>
    <row r="124" spans="1:17" ht="12.75">
      <c r="A124" s="575"/>
      <c r="B124" s="576"/>
      <c r="D124" s="577" t="s">
        <v>583</v>
      </c>
      <c r="E124" s="577"/>
      <c r="F124" s="578" t="s">
        <v>569</v>
      </c>
      <c r="G124" s="579"/>
      <c r="H124" s="587">
        <v>0.0472</v>
      </c>
      <c r="I124" s="581">
        <f aca="true" t="shared" si="22" ref="I124:I129">I123</f>
        <v>250</v>
      </c>
      <c r="J124" s="582">
        <f t="shared" si="18"/>
        <v>11.799999999999999</v>
      </c>
      <c r="K124" s="577"/>
      <c r="L124" s="587">
        <v>0.1191</v>
      </c>
      <c r="M124" s="583">
        <f aca="true" t="shared" si="23" ref="M124:M129">M123</f>
        <v>250</v>
      </c>
      <c r="N124" s="582">
        <f t="shared" si="19"/>
        <v>29.775</v>
      </c>
      <c r="O124" s="577"/>
      <c r="P124" s="584">
        <f t="shared" si="20"/>
        <v>17.975</v>
      </c>
      <c r="Q124" s="585">
        <f t="shared" si="21"/>
        <v>1.523305084745763</v>
      </c>
    </row>
    <row r="125" spans="1:17" ht="12.75">
      <c r="A125" s="575"/>
      <c r="B125" s="576"/>
      <c r="D125" s="577" t="s">
        <v>584</v>
      </c>
      <c r="E125" s="577"/>
      <c r="F125" s="578" t="s">
        <v>569</v>
      </c>
      <c r="G125" s="579"/>
      <c r="H125" s="587">
        <v>0</v>
      </c>
      <c r="I125" s="581">
        <f t="shared" si="22"/>
        <v>250</v>
      </c>
      <c r="J125" s="582">
        <f t="shared" si="18"/>
        <v>0</v>
      </c>
      <c r="K125" s="577"/>
      <c r="L125" s="587">
        <v>0</v>
      </c>
      <c r="M125" s="583">
        <f t="shared" si="23"/>
        <v>250</v>
      </c>
      <c r="N125" s="582">
        <f t="shared" si="19"/>
        <v>0</v>
      </c>
      <c r="O125" s="577"/>
      <c r="P125" s="584">
        <f t="shared" si="20"/>
        <v>0</v>
      </c>
      <c r="Q125" s="585">
        <f t="shared" si="21"/>
      </c>
    </row>
    <row r="126" spans="1:17" ht="12.75">
      <c r="A126" s="575"/>
      <c r="B126" s="576"/>
      <c r="D126" s="577" t="s">
        <v>585</v>
      </c>
      <c r="E126" s="577"/>
      <c r="F126" s="578" t="s">
        <v>569</v>
      </c>
      <c r="G126" s="579"/>
      <c r="H126" s="587">
        <v>-0.0501</v>
      </c>
      <c r="I126" s="581">
        <f t="shared" si="22"/>
        <v>250</v>
      </c>
      <c r="J126" s="582">
        <f t="shared" si="18"/>
        <v>-12.525</v>
      </c>
      <c r="K126" s="577"/>
      <c r="L126" s="587">
        <v>0</v>
      </c>
      <c r="M126" s="583">
        <f t="shared" si="23"/>
        <v>250</v>
      </c>
      <c r="N126" s="582">
        <f t="shared" si="19"/>
        <v>0</v>
      </c>
      <c r="O126" s="577"/>
      <c r="P126" s="584">
        <f t="shared" si="20"/>
        <v>12.525</v>
      </c>
      <c r="Q126" s="585">
        <f t="shared" si="21"/>
        <v>-1</v>
      </c>
    </row>
    <row r="127" spans="1:17" ht="12.75">
      <c r="A127" s="575"/>
      <c r="B127" s="576"/>
      <c r="D127" s="577" t="s">
        <v>586</v>
      </c>
      <c r="E127" s="577"/>
      <c r="F127" s="578" t="s">
        <v>569</v>
      </c>
      <c r="G127" s="579"/>
      <c r="H127" s="587">
        <v>0</v>
      </c>
      <c r="I127" s="581">
        <f t="shared" si="22"/>
        <v>250</v>
      </c>
      <c r="J127" s="582">
        <f t="shared" si="18"/>
        <v>0</v>
      </c>
      <c r="K127" s="577"/>
      <c r="L127" s="587">
        <v>0</v>
      </c>
      <c r="M127" s="583">
        <f t="shared" si="23"/>
        <v>250</v>
      </c>
      <c r="N127" s="582">
        <f t="shared" si="19"/>
        <v>0</v>
      </c>
      <c r="O127" s="577"/>
      <c r="P127" s="584">
        <f t="shared" si="20"/>
        <v>0</v>
      </c>
      <c r="Q127" s="585">
        <f t="shared" si="21"/>
      </c>
    </row>
    <row r="128" spans="1:17" ht="12.75">
      <c r="A128" s="575"/>
      <c r="B128" s="576"/>
      <c r="D128" s="577" t="s">
        <v>587</v>
      </c>
      <c r="E128" s="577"/>
      <c r="F128" s="578" t="s">
        <v>569</v>
      </c>
      <c r="G128" s="579"/>
      <c r="H128" s="587">
        <v>0</v>
      </c>
      <c r="I128" s="581">
        <f t="shared" si="22"/>
        <v>250</v>
      </c>
      <c r="J128" s="582">
        <f t="shared" si="18"/>
        <v>0</v>
      </c>
      <c r="K128" s="577"/>
      <c r="L128" s="587">
        <v>0</v>
      </c>
      <c r="M128" s="583">
        <f t="shared" si="23"/>
        <v>250</v>
      </c>
      <c r="N128" s="582">
        <f t="shared" si="19"/>
        <v>0</v>
      </c>
      <c r="O128" s="577"/>
      <c r="P128" s="584">
        <f t="shared" si="20"/>
        <v>0</v>
      </c>
      <c r="Q128" s="585">
        <f t="shared" si="21"/>
      </c>
    </row>
    <row r="129" spans="1:17" ht="25.5">
      <c r="A129" s="588"/>
      <c r="B129" s="576"/>
      <c r="D129" s="589" t="s">
        <v>588</v>
      </c>
      <c r="E129" s="577"/>
      <c r="F129" s="578" t="s">
        <v>569</v>
      </c>
      <c r="G129" s="579"/>
      <c r="H129" s="587">
        <v>0</v>
      </c>
      <c r="I129" s="581">
        <f t="shared" si="22"/>
        <v>250</v>
      </c>
      <c r="J129" s="582">
        <f t="shared" si="18"/>
        <v>0</v>
      </c>
      <c r="K129" s="577"/>
      <c r="L129" s="587">
        <v>-0.5397</v>
      </c>
      <c r="M129" s="583">
        <f t="shared" si="23"/>
        <v>250</v>
      </c>
      <c r="N129" s="582">
        <f t="shared" si="19"/>
        <v>-134.92499999999998</v>
      </c>
      <c r="O129" s="577"/>
      <c r="P129" s="584">
        <f t="shared" si="20"/>
        <v>-134.92499999999998</v>
      </c>
      <c r="Q129" s="585">
        <f t="shared" si="21"/>
      </c>
    </row>
    <row r="130" spans="1:17" ht="25.5">
      <c r="A130" s="588"/>
      <c r="B130" s="645"/>
      <c r="C130" s="645"/>
      <c r="D130" s="589" t="s">
        <v>611</v>
      </c>
      <c r="E130" s="577"/>
      <c r="F130" s="578" t="s">
        <v>566</v>
      </c>
      <c r="G130" s="579"/>
      <c r="H130" s="587">
        <v>0</v>
      </c>
      <c r="I130" s="646">
        <v>1</v>
      </c>
      <c r="J130" s="582">
        <f t="shared" si="18"/>
        <v>0</v>
      </c>
      <c r="K130" s="577"/>
      <c r="L130" s="587">
        <v>0.0017</v>
      </c>
      <c r="M130" s="583">
        <f>H114</f>
        <v>80000</v>
      </c>
      <c r="N130" s="582">
        <f t="shared" si="19"/>
        <v>136</v>
      </c>
      <c r="O130" s="577"/>
      <c r="P130" s="584">
        <f t="shared" si="20"/>
        <v>136</v>
      </c>
      <c r="Q130" s="585">
        <f t="shared" si="21"/>
      </c>
    </row>
    <row r="131" spans="4:17" ht="12.75">
      <c r="D131" s="590"/>
      <c r="E131" s="577"/>
      <c r="F131" s="578"/>
      <c r="G131" s="579"/>
      <c r="H131" s="587"/>
      <c r="I131" s="646"/>
      <c r="J131" s="582">
        <f t="shared" si="18"/>
        <v>0</v>
      </c>
      <c r="K131" s="577"/>
      <c r="L131" s="587"/>
      <c r="M131" s="647"/>
      <c r="N131" s="582">
        <f t="shared" si="19"/>
        <v>0</v>
      </c>
      <c r="O131" s="577"/>
      <c r="P131" s="584">
        <f t="shared" si="20"/>
        <v>0</v>
      </c>
      <c r="Q131" s="585">
        <f t="shared" si="21"/>
      </c>
    </row>
    <row r="132" spans="4:17" ht="12.75">
      <c r="D132" s="590"/>
      <c r="E132" s="577"/>
      <c r="F132" s="578"/>
      <c r="G132" s="579"/>
      <c r="H132" s="587"/>
      <c r="I132" s="646"/>
      <c r="J132" s="582">
        <f t="shared" si="18"/>
        <v>0</v>
      </c>
      <c r="K132" s="577"/>
      <c r="L132" s="587"/>
      <c r="M132" s="647"/>
      <c r="N132" s="582">
        <f t="shared" si="19"/>
        <v>0</v>
      </c>
      <c r="O132" s="577"/>
      <c r="P132" s="584">
        <f t="shared" si="20"/>
        <v>0</v>
      </c>
      <c r="Q132" s="585">
        <f t="shared" si="21"/>
      </c>
    </row>
    <row r="133" spans="4:17" ht="13.5" thickBot="1">
      <c r="D133" s="590"/>
      <c r="E133" s="577"/>
      <c r="F133" s="578"/>
      <c r="G133" s="579"/>
      <c r="H133" s="587"/>
      <c r="I133" s="646"/>
      <c r="J133" s="582">
        <f t="shared" si="18"/>
        <v>0</v>
      </c>
      <c r="K133" s="577"/>
      <c r="L133" s="587"/>
      <c r="M133" s="647"/>
      <c r="N133" s="582">
        <f t="shared" si="19"/>
        <v>0</v>
      </c>
      <c r="O133" s="577"/>
      <c r="P133" s="584">
        <f t="shared" si="20"/>
        <v>0</v>
      </c>
      <c r="Q133" s="585">
        <f t="shared" si="21"/>
      </c>
    </row>
    <row r="134" spans="4:17" ht="13.5" thickBot="1">
      <c r="D134" s="400" t="s">
        <v>589</v>
      </c>
      <c r="G134" s="551"/>
      <c r="H134" s="593"/>
      <c r="I134" s="648"/>
      <c r="J134" s="595">
        <f>SUM(J119:J133)</f>
        <v>959.625</v>
      </c>
      <c r="L134" s="593"/>
      <c r="M134" s="649"/>
      <c r="N134" s="595">
        <f>SUM(N119:N133)</f>
        <v>1065.4550000000002</v>
      </c>
      <c r="P134" s="597">
        <f t="shared" si="20"/>
        <v>105.83000000000015</v>
      </c>
      <c r="Q134" s="598">
        <f t="shared" si="21"/>
        <v>0.11028266249837192</v>
      </c>
    </row>
    <row r="135" spans="4:17" ht="12.75">
      <c r="D135" s="599" t="s">
        <v>590</v>
      </c>
      <c r="E135" s="599"/>
      <c r="F135" s="600" t="s">
        <v>569</v>
      </c>
      <c r="G135" s="601"/>
      <c r="H135" s="602">
        <v>2.6667</v>
      </c>
      <c r="I135" s="639">
        <f>H115</f>
        <v>250</v>
      </c>
      <c r="J135" s="604">
        <f>I135*H135</f>
        <v>666.6750000000001</v>
      </c>
      <c r="K135" s="599"/>
      <c r="L135" s="602">
        <v>2.603</v>
      </c>
      <c r="M135" s="640">
        <f>H115</f>
        <v>250</v>
      </c>
      <c r="N135" s="604">
        <f>M135*L135</f>
        <v>650.75</v>
      </c>
      <c r="O135" s="599"/>
      <c r="P135" s="606">
        <f t="shared" si="20"/>
        <v>-15.925000000000068</v>
      </c>
      <c r="Q135" s="607">
        <f t="shared" si="21"/>
        <v>-0.023887201409982475</v>
      </c>
    </row>
    <row r="136" spans="4:17" ht="26.25" thickBot="1">
      <c r="D136" s="608" t="s">
        <v>591</v>
      </c>
      <c r="E136" s="599"/>
      <c r="F136" s="600" t="s">
        <v>569</v>
      </c>
      <c r="G136" s="601"/>
      <c r="H136" s="602">
        <v>0.9755</v>
      </c>
      <c r="I136" s="639">
        <f>I135</f>
        <v>250</v>
      </c>
      <c r="J136" s="604">
        <f>I136*H136</f>
        <v>243.875</v>
      </c>
      <c r="K136" s="599"/>
      <c r="L136" s="602">
        <v>1.0984</v>
      </c>
      <c r="M136" s="640">
        <f>M135</f>
        <v>250</v>
      </c>
      <c r="N136" s="604">
        <f>M136*L136</f>
        <v>274.6</v>
      </c>
      <c r="O136" s="599"/>
      <c r="P136" s="606">
        <f t="shared" si="20"/>
        <v>30.725000000000023</v>
      </c>
      <c r="Q136" s="607">
        <f t="shared" si="21"/>
        <v>0.12598667350076892</v>
      </c>
    </row>
    <row r="137" spans="4:17" ht="26.25" thickBot="1">
      <c r="D137" s="609" t="s">
        <v>592</v>
      </c>
      <c r="E137" s="577"/>
      <c r="F137" s="577"/>
      <c r="G137" s="579"/>
      <c r="H137" s="610"/>
      <c r="I137" s="650"/>
      <c r="J137" s="612">
        <f>SUM(J134:J136)</f>
        <v>1870.1750000000002</v>
      </c>
      <c r="K137" s="613"/>
      <c r="L137" s="614"/>
      <c r="M137" s="651"/>
      <c r="N137" s="612">
        <f>SUM(N134:N136)</f>
        <v>1990.8050000000003</v>
      </c>
      <c r="O137" s="613"/>
      <c r="P137" s="616">
        <f t="shared" si="20"/>
        <v>120.63000000000011</v>
      </c>
      <c r="Q137" s="617">
        <f t="shared" si="21"/>
        <v>0.06450198510834552</v>
      </c>
    </row>
    <row r="138" spans="4:17" ht="25.5">
      <c r="D138" s="589" t="s">
        <v>593</v>
      </c>
      <c r="E138" s="577"/>
      <c r="F138" s="578" t="s">
        <v>566</v>
      </c>
      <c r="G138" s="579"/>
      <c r="H138" s="587">
        <v>0.0052</v>
      </c>
      <c r="I138" s="581">
        <f>H114*(1+H150)</f>
        <v>82392</v>
      </c>
      <c r="J138" s="582">
        <f aca="true" t="shared" si="24" ref="J138:J145">I138*H138</f>
        <v>428.4384</v>
      </c>
      <c r="K138" s="577"/>
      <c r="L138" s="587">
        <f aca="true" t="shared" si="25" ref="L138:L144">H138</f>
        <v>0.0052</v>
      </c>
      <c r="M138" s="583">
        <f>H114*(1+L150)</f>
        <v>82760</v>
      </c>
      <c r="N138" s="582">
        <f aca="true" t="shared" si="26" ref="N138:N145">M138*L138</f>
        <v>430.352</v>
      </c>
      <c r="O138" s="577"/>
      <c r="P138" s="584">
        <f t="shared" si="20"/>
        <v>1.913599999999974</v>
      </c>
      <c r="Q138" s="585">
        <f t="shared" si="21"/>
        <v>0.004466453053694473</v>
      </c>
    </row>
    <row r="139" spans="4:17" ht="25.5">
      <c r="D139" s="589" t="s">
        <v>594</v>
      </c>
      <c r="E139" s="577"/>
      <c r="F139" s="578" t="s">
        <v>566</v>
      </c>
      <c r="G139" s="579"/>
      <c r="H139" s="587">
        <v>0.0011</v>
      </c>
      <c r="I139" s="581">
        <f>I138</f>
        <v>82392</v>
      </c>
      <c r="J139" s="582">
        <f t="shared" si="24"/>
        <v>90.6312</v>
      </c>
      <c r="K139" s="577"/>
      <c r="L139" s="587">
        <f t="shared" si="25"/>
        <v>0.0011</v>
      </c>
      <c r="M139" s="583">
        <f>M138</f>
        <v>82760</v>
      </c>
      <c r="N139" s="582">
        <f t="shared" si="26"/>
        <v>91.036</v>
      </c>
      <c r="O139" s="577"/>
      <c r="P139" s="584">
        <f t="shared" si="20"/>
        <v>0.4047999999999945</v>
      </c>
      <c r="Q139" s="585">
        <f t="shared" si="21"/>
        <v>0.004466453053694472</v>
      </c>
    </row>
    <row r="140" spans="4:17" ht="12.75">
      <c r="D140" s="589" t="s">
        <v>595</v>
      </c>
      <c r="E140" s="577"/>
      <c r="F140" s="578" t="s">
        <v>566</v>
      </c>
      <c r="G140" s="579"/>
      <c r="H140" s="587">
        <v>0</v>
      </c>
      <c r="I140" s="581">
        <f>I138</f>
        <v>82392</v>
      </c>
      <c r="J140" s="582">
        <f t="shared" si="24"/>
        <v>0</v>
      </c>
      <c r="K140" s="577"/>
      <c r="L140" s="587">
        <f t="shared" si="25"/>
        <v>0</v>
      </c>
      <c r="M140" s="583">
        <f>M138</f>
        <v>82760</v>
      </c>
      <c r="N140" s="582">
        <f t="shared" si="26"/>
        <v>0</v>
      </c>
      <c r="O140" s="577"/>
      <c r="P140" s="584">
        <f t="shared" si="20"/>
        <v>0</v>
      </c>
      <c r="Q140" s="585">
        <f t="shared" si="21"/>
      </c>
    </row>
    <row r="141" spans="4:17" ht="12.75">
      <c r="D141" s="577" t="s">
        <v>596</v>
      </c>
      <c r="E141" s="577"/>
      <c r="F141" s="578" t="s">
        <v>564</v>
      </c>
      <c r="G141" s="579"/>
      <c r="H141" s="587">
        <v>0.25</v>
      </c>
      <c r="I141" s="581">
        <v>1</v>
      </c>
      <c r="J141" s="582">
        <f t="shared" si="24"/>
        <v>0.25</v>
      </c>
      <c r="K141" s="577"/>
      <c r="L141" s="587">
        <f t="shared" si="25"/>
        <v>0.25</v>
      </c>
      <c r="M141" s="583">
        <v>1</v>
      </c>
      <c r="N141" s="582">
        <f t="shared" si="26"/>
        <v>0.25</v>
      </c>
      <c r="O141" s="577"/>
      <c r="P141" s="584">
        <f t="shared" si="20"/>
        <v>0</v>
      </c>
      <c r="Q141" s="585">
        <f t="shared" si="21"/>
        <v>0</v>
      </c>
    </row>
    <row r="142" spans="4:17" ht="12.75">
      <c r="D142" s="577" t="s">
        <v>597</v>
      </c>
      <c r="E142" s="577"/>
      <c r="F142" s="578" t="s">
        <v>566</v>
      </c>
      <c r="G142" s="579"/>
      <c r="H142" s="587">
        <v>0.007</v>
      </c>
      <c r="I142" s="581">
        <f>H114</f>
        <v>80000</v>
      </c>
      <c r="J142" s="582">
        <f t="shared" si="24"/>
        <v>560</v>
      </c>
      <c r="K142" s="577"/>
      <c r="L142" s="587">
        <f t="shared" si="25"/>
        <v>0.007</v>
      </c>
      <c r="M142" s="583">
        <f>H114</f>
        <v>80000</v>
      </c>
      <c r="N142" s="582">
        <f t="shared" si="26"/>
        <v>560</v>
      </c>
      <c r="O142" s="577"/>
      <c r="P142" s="584">
        <f t="shared" si="20"/>
        <v>0</v>
      </c>
      <c r="Q142" s="585">
        <f t="shared" si="21"/>
        <v>0</v>
      </c>
    </row>
    <row r="143" spans="4:17" ht="12.75">
      <c r="D143" s="577" t="s">
        <v>608</v>
      </c>
      <c r="E143" s="577"/>
      <c r="F143" s="578" t="s">
        <v>566</v>
      </c>
      <c r="G143" s="579"/>
      <c r="H143" s="587">
        <v>0.082</v>
      </c>
      <c r="I143" s="581">
        <f>IF(I138&lt;H151,I138,H151)</f>
        <v>750</v>
      </c>
      <c r="J143" s="582">
        <f t="shared" si="24"/>
        <v>61.5</v>
      </c>
      <c r="K143" s="577"/>
      <c r="L143" s="587">
        <f t="shared" si="25"/>
        <v>0.082</v>
      </c>
      <c r="M143" s="583">
        <f>IF(M138&lt;L151,M138,L151)</f>
        <v>750</v>
      </c>
      <c r="N143" s="582">
        <f t="shared" si="26"/>
        <v>61.5</v>
      </c>
      <c r="O143" s="577"/>
      <c r="P143" s="584">
        <f t="shared" si="20"/>
        <v>0</v>
      </c>
      <c r="Q143" s="585">
        <f t="shared" si="21"/>
        <v>0</v>
      </c>
    </row>
    <row r="144" spans="4:17" ht="12.75">
      <c r="D144" s="577" t="s">
        <v>608</v>
      </c>
      <c r="E144" s="577"/>
      <c r="F144" s="578" t="s">
        <v>566</v>
      </c>
      <c r="G144" s="579"/>
      <c r="H144" s="587">
        <v>0.082</v>
      </c>
      <c r="I144" s="621">
        <f>IF(I138&lt;H151,0,I138-I143)</f>
        <v>81642</v>
      </c>
      <c r="J144" s="582">
        <f t="shared" si="24"/>
        <v>6694.644</v>
      </c>
      <c r="K144" s="577"/>
      <c r="L144" s="587">
        <f t="shared" si="25"/>
        <v>0.082</v>
      </c>
      <c r="M144" s="642">
        <f>IF(M138&lt;L151,0,M138-M143)</f>
        <v>82010</v>
      </c>
      <c r="N144" s="582">
        <f t="shared" si="26"/>
        <v>6724.820000000001</v>
      </c>
      <c r="O144" s="577"/>
      <c r="P144" s="584">
        <f t="shared" si="20"/>
        <v>30.176000000000386</v>
      </c>
      <c r="Q144" s="585">
        <f t="shared" si="21"/>
        <v>0.004507483893094298</v>
      </c>
    </row>
    <row r="145" spans="4:17" ht="13.5" thickBot="1">
      <c r="D145" s="590"/>
      <c r="E145" s="577"/>
      <c r="F145" s="578"/>
      <c r="G145" s="579"/>
      <c r="H145" s="587"/>
      <c r="I145" s="646"/>
      <c r="J145" s="582">
        <f t="shared" si="24"/>
        <v>0</v>
      </c>
      <c r="K145" s="577"/>
      <c r="L145" s="587"/>
      <c r="M145" s="647"/>
      <c r="N145" s="582">
        <f t="shared" si="26"/>
        <v>0</v>
      </c>
      <c r="O145" s="577"/>
      <c r="P145" s="584">
        <f t="shared" si="20"/>
        <v>0</v>
      </c>
      <c r="Q145" s="585">
        <f t="shared" si="21"/>
      </c>
    </row>
    <row r="146" spans="4:17" ht="13.5" thickBot="1">
      <c r="D146" s="623" t="s">
        <v>600</v>
      </c>
      <c r="E146" s="577"/>
      <c r="F146" s="577"/>
      <c r="G146" s="577"/>
      <c r="H146" s="624"/>
      <c r="I146" s="625"/>
      <c r="J146" s="612">
        <f>SUM(J137:J145)</f>
        <v>9705.6386</v>
      </c>
      <c r="K146" s="613"/>
      <c r="L146" s="626"/>
      <c r="M146" s="651"/>
      <c r="N146" s="612">
        <f>SUM(N137:N145)</f>
        <v>9858.763</v>
      </c>
      <c r="O146" s="613"/>
      <c r="P146" s="616">
        <f t="shared" si="20"/>
        <v>153.1244000000006</v>
      </c>
      <c r="Q146" s="617">
        <f t="shared" si="21"/>
        <v>0.015776849552176876</v>
      </c>
    </row>
    <row r="147" spans="4:17" ht="13.5" thickBot="1">
      <c r="D147" s="579" t="s">
        <v>601</v>
      </c>
      <c r="E147" s="577"/>
      <c r="F147" s="577"/>
      <c r="G147" s="577"/>
      <c r="H147" s="628">
        <v>0.13</v>
      </c>
      <c r="I147" s="629"/>
      <c r="J147" s="630">
        <f>J146*H147</f>
        <v>1261.7330180000001</v>
      </c>
      <c r="K147" s="577"/>
      <c r="L147" s="628">
        <v>0.13</v>
      </c>
      <c r="M147" s="652"/>
      <c r="N147" s="630">
        <f>N146*L147</f>
        <v>1281.63919</v>
      </c>
      <c r="O147" s="577"/>
      <c r="P147" s="584">
        <f t="shared" si="20"/>
        <v>19.90617199999997</v>
      </c>
      <c r="Q147" s="585">
        <f t="shared" si="21"/>
        <v>0.01577684955217679</v>
      </c>
    </row>
    <row r="148" spans="4:17" ht="26.25" thickBot="1">
      <c r="D148" s="609" t="s">
        <v>602</v>
      </c>
      <c r="E148" s="577"/>
      <c r="F148" s="577"/>
      <c r="G148" s="577"/>
      <c r="H148" s="610"/>
      <c r="I148" s="611"/>
      <c r="J148" s="612">
        <f>ROUND(SUM(J146:J147),2)</f>
        <v>10967.37</v>
      </c>
      <c r="K148" s="613"/>
      <c r="L148" s="614"/>
      <c r="M148" s="651"/>
      <c r="N148" s="612">
        <f>ROUND(SUM(N146:N147),2)</f>
        <v>11140.4</v>
      </c>
      <c r="O148" s="613"/>
      <c r="P148" s="616">
        <f t="shared" si="20"/>
        <v>173.02999999999884</v>
      </c>
      <c r="Q148" s="617">
        <f t="shared" si="21"/>
        <v>0.01577679972500233</v>
      </c>
    </row>
    <row r="149" ht="12.75"/>
    <row r="150" spans="4:14" ht="12.75">
      <c r="D150" s="400" t="s">
        <v>605</v>
      </c>
      <c r="H150" s="634">
        <v>0.029900000000000038</v>
      </c>
      <c r="J150" s="635"/>
      <c r="L150" s="634">
        <v>0.034499999999999975</v>
      </c>
      <c r="N150" s="636"/>
    </row>
    <row r="151" spans="4:12" ht="12.75">
      <c r="D151" s="637" t="s">
        <v>606</v>
      </c>
      <c r="H151" s="638">
        <v>750</v>
      </c>
      <c r="L151" s="638">
        <f>H151</f>
        <v>750</v>
      </c>
    </row>
    <row r="152" ht="12.75">
      <c r="B152" s="400" t="s">
        <v>265</v>
      </c>
    </row>
    <row r="153" spans="2:17" ht="12.75">
      <c r="B153" s="1127" t="s">
        <v>612</v>
      </c>
      <c r="C153" s="1115"/>
      <c r="D153" s="1115"/>
      <c r="E153" s="1115"/>
      <c r="F153" s="1115"/>
      <c r="G153" s="1115"/>
      <c r="H153" s="1115"/>
      <c r="I153" s="1115"/>
      <c r="J153" s="1115"/>
      <c r="K153" s="1115"/>
      <c r="L153" s="1115"/>
      <c r="M153" s="1115"/>
      <c r="N153" s="1115"/>
      <c r="O153" s="1115"/>
      <c r="P153" s="1115"/>
      <c r="Q153" s="1116"/>
    </row>
    <row r="154" spans="2:17" ht="12.75">
      <c r="B154" s="1117"/>
      <c r="C154" s="1118"/>
      <c r="D154" s="1118"/>
      <c r="E154" s="1118"/>
      <c r="F154" s="1118"/>
      <c r="G154" s="1118"/>
      <c r="H154" s="1118"/>
      <c r="I154" s="1118"/>
      <c r="J154" s="1118"/>
      <c r="K154" s="1118"/>
      <c r="L154" s="1118"/>
      <c r="M154" s="1118"/>
      <c r="N154" s="1118"/>
      <c r="O154" s="1118"/>
      <c r="P154" s="1118"/>
      <c r="Q154" s="1119"/>
    </row>
    <row r="155" spans="2:17" ht="12.75">
      <c r="B155" s="1117"/>
      <c r="C155" s="1118"/>
      <c r="D155" s="1118"/>
      <c r="E155" s="1118"/>
      <c r="F155" s="1118"/>
      <c r="G155" s="1118"/>
      <c r="H155" s="1118"/>
      <c r="I155" s="1118"/>
      <c r="J155" s="1118"/>
      <c r="K155" s="1118"/>
      <c r="L155" s="1118"/>
      <c r="M155" s="1118"/>
      <c r="N155" s="1118"/>
      <c r="O155" s="1118"/>
      <c r="P155" s="1118"/>
      <c r="Q155" s="1119"/>
    </row>
    <row r="156" spans="2:17" ht="12.75">
      <c r="B156" s="1117"/>
      <c r="C156" s="1118"/>
      <c r="D156" s="1118"/>
      <c r="E156" s="1118"/>
      <c r="F156" s="1118"/>
      <c r="G156" s="1118"/>
      <c r="H156" s="1118"/>
      <c r="I156" s="1118"/>
      <c r="J156" s="1118"/>
      <c r="K156" s="1118"/>
      <c r="L156" s="1118"/>
      <c r="M156" s="1118"/>
      <c r="N156" s="1118"/>
      <c r="O156" s="1118"/>
      <c r="P156" s="1118"/>
      <c r="Q156" s="1119"/>
    </row>
    <row r="157" spans="2:17" ht="12.75">
      <c r="B157" s="1120"/>
      <c r="C157" s="1121"/>
      <c r="D157" s="1121"/>
      <c r="E157" s="1121"/>
      <c r="F157" s="1121"/>
      <c r="G157" s="1121"/>
      <c r="H157" s="1121"/>
      <c r="I157" s="1121"/>
      <c r="J157" s="1121"/>
      <c r="K157" s="1121"/>
      <c r="L157" s="1121"/>
      <c r="M157" s="1121"/>
      <c r="N157" s="1121"/>
      <c r="O157" s="1121"/>
      <c r="P157" s="1121"/>
      <c r="Q157" s="1122"/>
    </row>
    <row r="158" ht="12.75"/>
    <row r="159" ht="12.75"/>
    <row r="160" ht="12.75"/>
    <row r="161" ht="12.75"/>
    <row r="162" spans="2:17" ht="15.75">
      <c r="B162" s="562" t="s">
        <v>564</v>
      </c>
      <c r="D162" s="563" t="s">
        <v>565</v>
      </c>
      <c r="F162" s="1123" t="s">
        <v>559</v>
      </c>
      <c r="G162" s="1123"/>
      <c r="H162" s="1123"/>
      <c r="I162" s="1123"/>
      <c r="J162" s="1123"/>
      <c r="K162" s="1123"/>
      <c r="L162" s="1123"/>
      <c r="M162" s="1123"/>
      <c r="N162" s="1123"/>
      <c r="O162" s="1123"/>
      <c r="P162" s="1123"/>
      <c r="Q162" s="1123"/>
    </row>
    <row r="163" spans="2:17" ht="15.75">
      <c r="B163" s="562"/>
      <c r="D163" s="564"/>
      <c r="F163" s="565"/>
      <c r="G163" s="565"/>
      <c r="H163" s="565"/>
      <c r="I163" s="565"/>
      <c r="J163" s="565"/>
      <c r="K163" s="565"/>
      <c r="L163" s="565"/>
      <c r="M163" s="565"/>
      <c r="N163" s="565"/>
      <c r="O163" s="565"/>
      <c r="P163" s="565"/>
      <c r="Q163" s="565"/>
    </row>
    <row r="164" spans="2:9" ht="12.75">
      <c r="B164" s="562" t="s">
        <v>566</v>
      </c>
      <c r="F164" s="400" t="s">
        <v>567</v>
      </c>
      <c r="G164" s="400"/>
      <c r="H164" s="643">
        <v>2800000</v>
      </c>
      <c r="I164" s="569" t="s">
        <v>568</v>
      </c>
    </row>
    <row r="165" spans="2:9" ht="12.75">
      <c r="B165" s="562" t="s">
        <v>569</v>
      </c>
      <c r="F165" s="400" t="s">
        <v>610</v>
      </c>
      <c r="H165" s="643">
        <v>7350</v>
      </c>
      <c r="I165" s="569" t="s">
        <v>554</v>
      </c>
    </row>
    <row r="166" spans="2:17" ht="12.75">
      <c r="B166" s="567"/>
      <c r="F166" s="568"/>
      <c r="G166" s="568"/>
      <c r="H166" s="1124" t="s">
        <v>570</v>
      </c>
      <c r="I166" s="1125"/>
      <c r="J166" s="1126"/>
      <c r="L166" s="1124" t="s">
        <v>571</v>
      </c>
      <c r="M166" s="1125"/>
      <c r="N166" s="1126"/>
      <c r="P166" s="1124" t="s">
        <v>572</v>
      </c>
      <c r="Q166" s="1126"/>
    </row>
    <row r="167" spans="2:17" ht="12.75">
      <c r="B167" s="567"/>
      <c r="F167" s="1108" t="s">
        <v>573</v>
      </c>
      <c r="G167" s="569"/>
      <c r="H167" s="570" t="s">
        <v>574</v>
      </c>
      <c r="I167" s="570" t="s">
        <v>575</v>
      </c>
      <c r="J167" s="571" t="s">
        <v>576</v>
      </c>
      <c r="L167" s="570" t="s">
        <v>574</v>
      </c>
      <c r="M167" s="572" t="s">
        <v>575</v>
      </c>
      <c r="N167" s="571" t="s">
        <v>576</v>
      </c>
      <c r="P167" s="1110" t="s">
        <v>577</v>
      </c>
      <c r="Q167" s="1112" t="s">
        <v>578</v>
      </c>
    </row>
    <row r="168" spans="2:17" ht="12.75">
      <c r="B168" s="567"/>
      <c r="F168" s="1109"/>
      <c r="G168" s="569"/>
      <c r="H168" s="573" t="s">
        <v>410</v>
      </c>
      <c r="I168" s="573"/>
      <c r="J168" s="574" t="s">
        <v>410</v>
      </c>
      <c r="L168" s="573" t="s">
        <v>410</v>
      </c>
      <c r="M168" s="574"/>
      <c r="N168" s="574" t="s">
        <v>410</v>
      </c>
      <c r="P168" s="1111"/>
      <c r="Q168" s="1113"/>
    </row>
    <row r="169" spans="1:17" ht="12.75">
      <c r="A169" s="575"/>
      <c r="B169" s="576"/>
      <c r="D169" s="577" t="s">
        <v>555</v>
      </c>
      <c r="E169" s="577"/>
      <c r="F169" s="578" t="s">
        <v>564</v>
      </c>
      <c r="G169" s="579"/>
      <c r="H169" s="580">
        <v>2173.63</v>
      </c>
      <c r="I169" s="581">
        <v>1</v>
      </c>
      <c r="J169" s="582">
        <f aca="true" t="shared" si="27" ref="J169:J183">I169*H169</f>
        <v>2173.63</v>
      </c>
      <c r="K169" s="577"/>
      <c r="L169" s="580">
        <v>6017.469999999999</v>
      </c>
      <c r="M169" s="583">
        <v>1</v>
      </c>
      <c r="N169" s="582">
        <f aca="true" t="shared" si="28" ref="N169:N183">M169*L169</f>
        <v>6017.469999999999</v>
      </c>
      <c r="O169" s="577"/>
      <c r="P169" s="584">
        <f aca="true" t="shared" si="29" ref="P169:P198">N169-J169</f>
        <v>3843.8399999999992</v>
      </c>
      <c r="Q169" s="585">
        <f aca="true" t="shared" si="30" ref="Q169:Q198">IF((J169)=0,"",(P169/J169))</f>
        <v>1.7683966452432103</v>
      </c>
    </row>
    <row r="170" spans="1:17" ht="12.75">
      <c r="A170" s="575"/>
      <c r="B170" s="576"/>
      <c r="D170" s="577" t="s">
        <v>579</v>
      </c>
      <c r="E170" s="577"/>
      <c r="F170" s="578" t="s">
        <v>564</v>
      </c>
      <c r="G170" s="579"/>
      <c r="H170" s="587">
        <v>0</v>
      </c>
      <c r="I170" s="581">
        <v>1</v>
      </c>
      <c r="J170" s="582">
        <f t="shared" si="27"/>
        <v>0</v>
      </c>
      <c r="K170" s="577"/>
      <c r="L170" s="587">
        <v>0</v>
      </c>
      <c r="M170" s="583">
        <v>1</v>
      </c>
      <c r="N170" s="582">
        <f t="shared" si="28"/>
        <v>0</v>
      </c>
      <c r="O170" s="577"/>
      <c r="P170" s="584">
        <f t="shared" si="29"/>
        <v>0</v>
      </c>
      <c r="Q170" s="585">
        <f t="shared" si="30"/>
      </c>
    </row>
    <row r="171" spans="1:17" ht="12.75">
      <c r="A171" s="575"/>
      <c r="B171" s="576"/>
      <c r="D171" s="644" t="s">
        <v>580</v>
      </c>
      <c r="E171" s="577"/>
      <c r="F171" s="578" t="s">
        <v>564</v>
      </c>
      <c r="G171" s="579"/>
      <c r="H171" s="587">
        <v>0</v>
      </c>
      <c r="I171" s="581">
        <v>1</v>
      </c>
      <c r="J171" s="582">
        <f t="shared" si="27"/>
        <v>0</v>
      </c>
      <c r="K171" s="577"/>
      <c r="L171" s="580">
        <v>0.2</v>
      </c>
      <c r="M171" s="583">
        <v>1</v>
      </c>
      <c r="N171" s="582">
        <f t="shared" si="28"/>
        <v>0.2</v>
      </c>
      <c r="O171" s="577"/>
      <c r="P171" s="584">
        <f t="shared" si="29"/>
        <v>0.2</v>
      </c>
      <c r="Q171" s="585">
        <f t="shared" si="30"/>
      </c>
    </row>
    <row r="172" spans="1:17" ht="12.75">
      <c r="A172" s="575"/>
      <c r="B172" s="576"/>
      <c r="D172" s="577" t="s">
        <v>581</v>
      </c>
      <c r="E172" s="577"/>
      <c r="F172" s="578" t="s">
        <v>564</v>
      </c>
      <c r="G172" s="579"/>
      <c r="H172" s="587">
        <v>0</v>
      </c>
      <c r="I172" s="581">
        <v>1</v>
      </c>
      <c r="J172" s="582">
        <f t="shared" si="27"/>
        <v>0</v>
      </c>
      <c r="K172" s="577"/>
      <c r="L172" s="587">
        <v>0</v>
      </c>
      <c r="M172" s="583">
        <v>1</v>
      </c>
      <c r="N172" s="582">
        <f t="shared" si="28"/>
        <v>0</v>
      </c>
      <c r="O172" s="577"/>
      <c r="P172" s="584">
        <f t="shared" si="29"/>
        <v>0</v>
      </c>
      <c r="Q172" s="585">
        <f t="shared" si="30"/>
      </c>
    </row>
    <row r="173" spans="1:19" ht="12.75">
      <c r="A173" s="575"/>
      <c r="B173" s="576"/>
      <c r="D173" s="577" t="s">
        <v>582</v>
      </c>
      <c r="E173" s="577"/>
      <c r="F173" s="578" t="s">
        <v>569</v>
      </c>
      <c r="G173" s="579"/>
      <c r="H173" s="587">
        <v>1.0484</v>
      </c>
      <c r="I173" s="581">
        <f>H165</f>
        <v>7350</v>
      </c>
      <c r="J173" s="582">
        <f t="shared" si="27"/>
        <v>7705.74</v>
      </c>
      <c r="K173" s="577"/>
      <c r="L173" s="587">
        <v>1.7969</v>
      </c>
      <c r="M173" s="583">
        <f>H165</f>
        <v>7350</v>
      </c>
      <c r="N173" s="582">
        <f t="shared" si="28"/>
        <v>13207.215</v>
      </c>
      <c r="O173" s="577"/>
      <c r="P173" s="584">
        <f t="shared" si="29"/>
        <v>5501.475</v>
      </c>
      <c r="Q173" s="585">
        <f t="shared" si="30"/>
        <v>0.7139450591377338</v>
      </c>
      <c r="S173" s="653"/>
    </row>
    <row r="174" spans="1:19" ht="12.75">
      <c r="A174" s="575"/>
      <c r="B174" s="576"/>
      <c r="D174" s="577" t="s">
        <v>583</v>
      </c>
      <c r="E174" s="577"/>
      <c r="F174" s="578" t="s">
        <v>569</v>
      </c>
      <c r="G174" s="579"/>
      <c r="H174" s="587">
        <v>0.0558</v>
      </c>
      <c r="I174" s="581">
        <f aca="true" t="shared" si="31" ref="I174:I179">I173</f>
        <v>7350</v>
      </c>
      <c r="J174" s="582">
        <f t="shared" si="27"/>
        <v>410.13</v>
      </c>
      <c r="K174" s="577"/>
      <c r="L174" s="587">
        <v>0.1439</v>
      </c>
      <c r="M174" s="583">
        <f aca="true" t="shared" si="32" ref="M174:M179">M173</f>
        <v>7350</v>
      </c>
      <c r="N174" s="582">
        <f t="shared" si="28"/>
        <v>1057.665</v>
      </c>
      <c r="O174" s="577"/>
      <c r="P174" s="584">
        <f t="shared" si="29"/>
        <v>647.535</v>
      </c>
      <c r="Q174" s="585">
        <f t="shared" si="30"/>
        <v>1.578853046594982</v>
      </c>
      <c r="S174" s="653"/>
    </row>
    <row r="175" spans="1:19" ht="12.75">
      <c r="A175" s="575"/>
      <c r="B175" s="576"/>
      <c r="D175" s="577" t="s">
        <v>584</v>
      </c>
      <c r="E175" s="577"/>
      <c r="F175" s="578" t="s">
        <v>569</v>
      </c>
      <c r="G175" s="579"/>
      <c r="H175" s="587">
        <v>0</v>
      </c>
      <c r="I175" s="581">
        <f t="shared" si="31"/>
        <v>7350</v>
      </c>
      <c r="J175" s="582">
        <f t="shared" si="27"/>
        <v>0</v>
      </c>
      <c r="K175" s="577"/>
      <c r="L175" s="587">
        <v>0</v>
      </c>
      <c r="M175" s="583">
        <f t="shared" si="32"/>
        <v>7350</v>
      </c>
      <c r="N175" s="582">
        <f t="shared" si="28"/>
        <v>0</v>
      </c>
      <c r="O175" s="577"/>
      <c r="P175" s="584">
        <f t="shared" si="29"/>
        <v>0</v>
      </c>
      <c r="Q175" s="585">
        <f t="shared" si="30"/>
      </c>
      <c r="S175" s="653"/>
    </row>
    <row r="176" spans="1:17" ht="12.75">
      <c r="A176" s="575"/>
      <c r="B176" s="576"/>
      <c r="D176" s="577" t="s">
        <v>585</v>
      </c>
      <c r="E176" s="577"/>
      <c r="F176" s="578" t="s">
        <v>569</v>
      </c>
      <c r="G176" s="579"/>
      <c r="H176" s="587">
        <v>-0.0175</v>
      </c>
      <c r="I176" s="581">
        <f t="shared" si="31"/>
        <v>7350</v>
      </c>
      <c r="J176" s="582">
        <f t="shared" si="27"/>
        <v>-128.625</v>
      </c>
      <c r="K176" s="577"/>
      <c r="L176" s="587">
        <v>0</v>
      </c>
      <c r="M176" s="583">
        <f t="shared" si="32"/>
        <v>7350</v>
      </c>
      <c r="N176" s="582">
        <f t="shared" si="28"/>
        <v>0</v>
      </c>
      <c r="O176" s="577"/>
      <c r="P176" s="584">
        <f t="shared" si="29"/>
        <v>128.625</v>
      </c>
      <c r="Q176" s="585">
        <f t="shared" si="30"/>
        <v>-1</v>
      </c>
    </row>
    <row r="177" spans="1:17" ht="12.75">
      <c r="A177" s="575"/>
      <c r="B177" s="576"/>
      <c r="D177" s="577" t="s">
        <v>586</v>
      </c>
      <c r="E177" s="577"/>
      <c r="F177" s="578" t="s">
        <v>569</v>
      </c>
      <c r="G177" s="579"/>
      <c r="H177" s="587">
        <v>0</v>
      </c>
      <c r="I177" s="581">
        <f t="shared" si="31"/>
        <v>7350</v>
      </c>
      <c r="J177" s="582">
        <f t="shared" si="27"/>
        <v>0</v>
      </c>
      <c r="K177" s="577"/>
      <c r="L177" s="587">
        <v>0</v>
      </c>
      <c r="M177" s="583">
        <f t="shared" si="32"/>
        <v>7350</v>
      </c>
      <c r="N177" s="582">
        <f t="shared" si="28"/>
        <v>0</v>
      </c>
      <c r="O177" s="577"/>
      <c r="P177" s="584">
        <f t="shared" si="29"/>
        <v>0</v>
      </c>
      <c r="Q177" s="585">
        <f t="shared" si="30"/>
      </c>
    </row>
    <row r="178" spans="1:17" ht="12.75">
      <c r="A178" s="575"/>
      <c r="B178" s="576"/>
      <c r="D178" s="577" t="s">
        <v>587</v>
      </c>
      <c r="E178" s="577"/>
      <c r="F178" s="578" t="s">
        <v>569</v>
      </c>
      <c r="G178" s="579"/>
      <c r="H178" s="587">
        <v>0</v>
      </c>
      <c r="I178" s="581">
        <f t="shared" si="31"/>
        <v>7350</v>
      </c>
      <c r="J178" s="582">
        <f t="shared" si="27"/>
        <v>0</v>
      </c>
      <c r="K178" s="577"/>
      <c r="L178" s="587">
        <v>0</v>
      </c>
      <c r="M178" s="583">
        <f t="shared" si="32"/>
        <v>7350</v>
      </c>
      <c r="N178" s="582">
        <f t="shared" si="28"/>
        <v>0</v>
      </c>
      <c r="O178" s="577"/>
      <c r="P178" s="584">
        <f t="shared" si="29"/>
        <v>0</v>
      </c>
      <c r="Q178" s="585">
        <f t="shared" si="30"/>
      </c>
    </row>
    <row r="179" spans="1:17" ht="25.5">
      <c r="A179" s="588"/>
      <c r="B179" s="576"/>
      <c r="D179" s="589" t="s">
        <v>588</v>
      </c>
      <c r="E179" s="577"/>
      <c r="F179" s="578" t="s">
        <v>569</v>
      </c>
      <c r="G179" s="579"/>
      <c r="H179" s="587">
        <v>0</v>
      </c>
      <c r="I179" s="581">
        <f t="shared" si="31"/>
        <v>7350</v>
      </c>
      <c r="J179" s="582">
        <f t="shared" si="27"/>
        <v>0</v>
      </c>
      <c r="K179" s="577"/>
      <c r="L179" s="587">
        <v>-0.1895</v>
      </c>
      <c r="M179" s="583">
        <f t="shared" si="32"/>
        <v>7350</v>
      </c>
      <c r="N179" s="582">
        <f t="shared" si="28"/>
        <v>-1392.825</v>
      </c>
      <c r="O179" s="577"/>
      <c r="P179" s="584">
        <f t="shared" si="29"/>
        <v>-1392.825</v>
      </c>
      <c r="Q179" s="585">
        <f t="shared" si="30"/>
      </c>
    </row>
    <row r="180" spans="1:17" ht="25.5">
      <c r="A180" s="588"/>
      <c r="D180" s="589" t="s">
        <v>611</v>
      </c>
      <c r="E180" s="577"/>
      <c r="F180" s="578" t="s">
        <v>566</v>
      </c>
      <c r="G180" s="579"/>
      <c r="H180" s="587"/>
      <c r="I180" s="646"/>
      <c r="J180" s="582">
        <f t="shared" si="27"/>
        <v>0</v>
      </c>
      <c r="K180" s="577"/>
      <c r="L180" s="587">
        <v>0.0017</v>
      </c>
      <c r="M180" s="583">
        <f>H164</f>
        <v>2800000</v>
      </c>
      <c r="N180" s="582">
        <f t="shared" si="28"/>
        <v>4760</v>
      </c>
      <c r="O180" s="577"/>
      <c r="P180" s="584">
        <f t="shared" si="29"/>
        <v>4760</v>
      </c>
      <c r="Q180" s="585">
        <f t="shared" si="30"/>
      </c>
    </row>
    <row r="181" spans="4:17" ht="12.75">
      <c r="D181" s="590"/>
      <c r="E181" s="577"/>
      <c r="F181" s="578"/>
      <c r="G181" s="579"/>
      <c r="H181" s="587"/>
      <c r="I181" s="646"/>
      <c r="J181" s="582">
        <f t="shared" si="27"/>
        <v>0</v>
      </c>
      <c r="K181" s="577"/>
      <c r="L181" s="587"/>
      <c r="M181" s="647"/>
      <c r="N181" s="582">
        <f t="shared" si="28"/>
        <v>0</v>
      </c>
      <c r="O181" s="577"/>
      <c r="P181" s="584">
        <f t="shared" si="29"/>
        <v>0</v>
      </c>
      <c r="Q181" s="585">
        <f t="shared" si="30"/>
      </c>
    </row>
    <row r="182" spans="4:17" ht="12.75">
      <c r="D182" s="590"/>
      <c r="E182" s="577"/>
      <c r="F182" s="578"/>
      <c r="G182" s="579"/>
      <c r="H182" s="587"/>
      <c r="I182" s="646"/>
      <c r="J182" s="582">
        <f t="shared" si="27"/>
        <v>0</v>
      </c>
      <c r="K182" s="577"/>
      <c r="L182" s="587"/>
      <c r="M182" s="647"/>
      <c r="N182" s="582">
        <f t="shared" si="28"/>
        <v>0</v>
      </c>
      <c r="O182" s="577"/>
      <c r="P182" s="584">
        <f t="shared" si="29"/>
        <v>0</v>
      </c>
      <c r="Q182" s="585">
        <f t="shared" si="30"/>
      </c>
    </row>
    <row r="183" spans="4:17" ht="13.5" thickBot="1">
      <c r="D183" s="590"/>
      <c r="E183" s="577"/>
      <c r="F183" s="578"/>
      <c r="G183" s="579"/>
      <c r="H183" s="587"/>
      <c r="I183" s="646"/>
      <c r="J183" s="582">
        <f t="shared" si="27"/>
        <v>0</v>
      </c>
      <c r="K183" s="577"/>
      <c r="L183" s="587"/>
      <c r="M183" s="647"/>
      <c r="N183" s="582">
        <f t="shared" si="28"/>
        <v>0</v>
      </c>
      <c r="O183" s="577"/>
      <c r="P183" s="584">
        <f t="shared" si="29"/>
        <v>0</v>
      </c>
      <c r="Q183" s="585">
        <f t="shared" si="30"/>
      </c>
    </row>
    <row r="184" spans="4:17" ht="13.5" thickBot="1">
      <c r="D184" s="400" t="s">
        <v>589</v>
      </c>
      <c r="G184" s="551"/>
      <c r="H184" s="593"/>
      <c r="I184" s="648"/>
      <c r="J184" s="595">
        <f>SUM(J169:J183)</f>
        <v>10160.874999999998</v>
      </c>
      <c r="L184" s="593"/>
      <c r="M184" s="649"/>
      <c r="N184" s="595">
        <f>SUM(N169:N183)</f>
        <v>23649.725</v>
      </c>
      <c r="P184" s="597">
        <f t="shared" si="29"/>
        <v>13488.85</v>
      </c>
      <c r="Q184" s="598">
        <f t="shared" si="30"/>
        <v>1.327528387072964</v>
      </c>
    </row>
    <row r="185" spans="4:17" ht="12.75">
      <c r="D185" s="599" t="s">
        <v>590</v>
      </c>
      <c r="E185" s="599"/>
      <c r="F185" s="600" t="s">
        <v>569</v>
      </c>
      <c r="G185" s="601"/>
      <c r="H185" s="602">
        <v>3.1285</v>
      </c>
      <c r="I185" s="639">
        <f>H165</f>
        <v>7350</v>
      </c>
      <c r="J185" s="604">
        <f>I185*H185</f>
        <v>22994.475</v>
      </c>
      <c r="K185" s="599"/>
      <c r="L185" s="602">
        <v>3.0886</v>
      </c>
      <c r="M185" s="640">
        <f>H165</f>
        <v>7350</v>
      </c>
      <c r="N185" s="604">
        <f>M185*L185</f>
        <v>22701.21</v>
      </c>
      <c r="O185" s="599"/>
      <c r="P185" s="606">
        <f t="shared" si="29"/>
        <v>-293.2649999999994</v>
      </c>
      <c r="Q185" s="607">
        <f t="shared" si="30"/>
        <v>-0.012753715838261123</v>
      </c>
    </row>
    <row r="186" spans="4:17" ht="26.25" thickBot="1">
      <c r="D186" s="608" t="s">
        <v>591</v>
      </c>
      <c r="E186" s="599"/>
      <c r="F186" s="600" t="s">
        <v>569</v>
      </c>
      <c r="G186" s="601"/>
      <c r="H186" s="602">
        <v>1.1529</v>
      </c>
      <c r="I186" s="639">
        <f>I185</f>
        <v>7350</v>
      </c>
      <c r="J186" s="604">
        <f>I186*H186</f>
        <v>8473.815</v>
      </c>
      <c r="K186" s="599"/>
      <c r="L186" s="602">
        <v>1.1266</v>
      </c>
      <c r="M186" s="640">
        <f>M185</f>
        <v>7350</v>
      </c>
      <c r="N186" s="604">
        <f>M186*L186</f>
        <v>8280.51</v>
      </c>
      <c r="O186" s="599"/>
      <c r="P186" s="606">
        <f t="shared" si="29"/>
        <v>-193.3050000000003</v>
      </c>
      <c r="Q186" s="607">
        <f t="shared" si="30"/>
        <v>-0.02281203920548186</v>
      </c>
    </row>
    <row r="187" spans="4:17" ht="26.25" thickBot="1">
      <c r="D187" s="609" t="s">
        <v>592</v>
      </c>
      <c r="E187" s="577"/>
      <c r="F187" s="577"/>
      <c r="G187" s="579"/>
      <c r="H187" s="610"/>
      <c r="I187" s="650"/>
      <c r="J187" s="612">
        <f>SUM(J184:J186)</f>
        <v>41629.165</v>
      </c>
      <c r="K187" s="613"/>
      <c r="L187" s="614"/>
      <c r="M187" s="651"/>
      <c r="N187" s="612">
        <f>SUM(N184:N186)</f>
        <v>54631.445</v>
      </c>
      <c r="O187" s="613"/>
      <c r="P187" s="616">
        <f t="shared" si="29"/>
        <v>13002.279999999999</v>
      </c>
      <c r="Q187" s="617">
        <f t="shared" si="30"/>
        <v>0.3123358347447036</v>
      </c>
    </row>
    <row r="188" spans="4:17" ht="25.5">
      <c r="D188" s="589" t="s">
        <v>593</v>
      </c>
      <c r="E188" s="577"/>
      <c r="F188" s="578" t="s">
        <v>566</v>
      </c>
      <c r="G188" s="579"/>
      <c r="H188" s="587">
        <v>0.0052</v>
      </c>
      <c r="I188" s="581">
        <f>H164*(1+H200)</f>
        <v>2840600</v>
      </c>
      <c r="J188" s="582">
        <f aca="true" t="shared" si="33" ref="J188:J195">I188*H188</f>
        <v>14771.119999999999</v>
      </c>
      <c r="K188" s="577"/>
      <c r="L188" s="587">
        <f aca="true" t="shared" si="34" ref="L188:L194">H188</f>
        <v>0.0052</v>
      </c>
      <c r="M188" s="583">
        <f>H164*(1+L200)</f>
        <v>2840600</v>
      </c>
      <c r="N188" s="582">
        <f aca="true" t="shared" si="35" ref="N188:N195">M188*L188</f>
        <v>14771.119999999999</v>
      </c>
      <c r="O188" s="577"/>
      <c r="P188" s="584">
        <f t="shared" si="29"/>
        <v>0</v>
      </c>
      <c r="Q188" s="585">
        <f t="shared" si="30"/>
        <v>0</v>
      </c>
    </row>
    <row r="189" spans="4:17" ht="25.5">
      <c r="D189" s="589" t="s">
        <v>594</v>
      </c>
      <c r="E189" s="577"/>
      <c r="F189" s="578" t="s">
        <v>566</v>
      </c>
      <c r="G189" s="579"/>
      <c r="H189" s="587">
        <v>0.0011</v>
      </c>
      <c r="I189" s="581">
        <f>I188</f>
        <v>2840600</v>
      </c>
      <c r="J189" s="582">
        <f t="shared" si="33"/>
        <v>3124.6600000000003</v>
      </c>
      <c r="K189" s="577"/>
      <c r="L189" s="587">
        <f t="shared" si="34"/>
        <v>0.0011</v>
      </c>
      <c r="M189" s="583">
        <f>M188</f>
        <v>2840600</v>
      </c>
      <c r="N189" s="582">
        <f t="shared" si="35"/>
        <v>3124.6600000000003</v>
      </c>
      <c r="O189" s="577"/>
      <c r="P189" s="584">
        <f t="shared" si="29"/>
        <v>0</v>
      </c>
      <c r="Q189" s="585">
        <f t="shared" si="30"/>
        <v>0</v>
      </c>
    </row>
    <row r="190" spans="4:17" ht="12.75">
      <c r="D190" s="589" t="s">
        <v>595</v>
      </c>
      <c r="E190" s="577"/>
      <c r="F190" s="578" t="s">
        <v>566</v>
      </c>
      <c r="G190" s="579"/>
      <c r="H190" s="587">
        <v>0</v>
      </c>
      <c r="I190" s="581">
        <f>I188</f>
        <v>2840600</v>
      </c>
      <c r="J190" s="582">
        <f t="shared" si="33"/>
        <v>0</v>
      </c>
      <c r="K190" s="577"/>
      <c r="L190" s="587">
        <f t="shared" si="34"/>
        <v>0</v>
      </c>
      <c r="M190" s="583">
        <f>M188</f>
        <v>2840600</v>
      </c>
      <c r="N190" s="582">
        <f t="shared" si="35"/>
        <v>0</v>
      </c>
      <c r="O190" s="577"/>
      <c r="P190" s="584">
        <f t="shared" si="29"/>
        <v>0</v>
      </c>
      <c r="Q190" s="585">
        <f t="shared" si="30"/>
      </c>
    </row>
    <row r="191" spans="4:17" ht="12.75">
      <c r="D191" s="577" t="s">
        <v>596</v>
      </c>
      <c r="E191" s="577"/>
      <c r="F191" s="578" t="s">
        <v>564</v>
      </c>
      <c r="G191" s="579"/>
      <c r="H191" s="587">
        <v>0.25</v>
      </c>
      <c r="I191" s="581">
        <v>1</v>
      </c>
      <c r="J191" s="582">
        <f t="shared" si="33"/>
        <v>0.25</v>
      </c>
      <c r="K191" s="577"/>
      <c r="L191" s="587">
        <f t="shared" si="34"/>
        <v>0.25</v>
      </c>
      <c r="M191" s="583">
        <v>1</v>
      </c>
      <c r="N191" s="582">
        <f t="shared" si="35"/>
        <v>0.25</v>
      </c>
      <c r="O191" s="577"/>
      <c r="P191" s="584">
        <f t="shared" si="29"/>
        <v>0</v>
      </c>
      <c r="Q191" s="585">
        <f t="shared" si="30"/>
        <v>0</v>
      </c>
    </row>
    <row r="192" spans="4:17" ht="12.75">
      <c r="D192" s="577" t="s">
        <v>597</v>
      </c>
      <c r="E192" s="577"/>
      <c r="F192" s="578" t="s">
        <v>566</v>
      </c>
      <c r="G192" s="579"/>
      <c r="H192" s="587">
        <v>0.007</v>
      </c>
      <c r="I192" s="581">
        <f>H164</f>
        <v>2800000</v>
      </c>
      <c r="J192" s="582">
        <f t="shared" si="33"/>
        <v>19600</v>
      </c>
      <c r="K192" s="577"/>
      <c r="L192" s="587">
        <f t="shared" si="34"/>
        <v>0.007</v>
      </c>
      <c r="M192" s="583">
        <f>H164</f>
        <v>2800000</v>
      </c>
      <c r="N192" s="582">
        <f t="shared" si="35"/>
        <v>19600</v>
      </c>
      <c r="O192" s="577"/>
      <c r="P192" s="584">
        <f t="shared" si="29"/>
        <v>0</v>
      </c>
      <c r="Q192" s="585">
        <f t="shared" si="30"/>
        <v>0</v>
      </c>
    </row>
    <row r="193" spans="4:17" ht="12.75">
      <c r="D193" s="577" t="s">
        <v>608</v>
      </c>
      <c r="E193" s="577"/>
      <c r="F193" s="578" t="s">
        <v>566</v>
      </c>
      <c r="G193" s="579"/>
      <c r="H193" s="587">
        <v>0.082</v>
      </c>
      <c r="I193" s="581">
        <f>IF(I188&lt;H201,I188,H201)</f>
        <v>750</v>
      </c>
      <c r="J193" s="582">
        <f t="shared" si="33"/>
        <v>61.5</v>
      </c>
      <c r="K193" s="577"/>
      <c r="L193" s="587">
        <f t="shared" si="34"/>
        <v>0.082</v>
      </c>
      <c r="M193" s="583">
        <f>IF(M188&lt;L201,M188,L201)</f>
        <v>750</v>
      </c>
      <c r="N193" s="582">
        <f t="shared" si="35"/>
        <v>61.5</v>
      </c>
      <c r="O193" s="577"/>
      <c r="P193" s="584">
        <f t="shared" si="29"/>
        <v>0</v>
      </c>
      <c r="Q193" s="585">
        <f t="shared" si="30"/>
        <v>0</v>
      </c>
    </row>
    <row r="194" spans="4:17" ht="12.75">
      <c r="D194" s="577" t="s">
        <v>608</v>
      </c>
      <c r="E194" s="577"/>
      <c r="F194" s="578" t="s">
        <v>566</v>
      </c>
      <c r="G194" s="579"/>
      <c r="H194" s="587">
        <v>0.082</v>
      </c>
      <c r="I194" s="621">
        <f>IF(I188&lt;H201,0,I188-I193)</f>
        <v>2839850</v>
      </c>
      <c r="J194" s="582">
        <f t="shared" si="33"/>
        <v>232867.7</v>
      </c>
      <c r="K194" s="577"/>
      <c r="L194" s="587">
        <f t="shared" si="34"/>
        <v>0.082</v>
      </c>
      <c r="M194" s="642">
        <f>IF(M188&lt;L201,0,M188-M193)</f>
        <v>2839850</v>
      </c>
      <c r="N194" s="582">
        <f t="shared" si="35"/>
        <v>232867.7</v>
      </c>
      <c r="O194" s="577"/>
      <c r="P194" s="584">
        <f t="shared" si="29"/>
        <v>0</v>
      </c>
      <c r="Q194" s="585">
        <f t="shared" si="30"/>
        <v>0</v>
      </c>
    </row>
    <row r="195" spans="4:17" ht="13.5" thickBot="1">
      <c r="D195" s="590"/>
      <c r="E195" s="577"/>
      <c r="F195" s="578"/>
      <c r="G195" s="579"/>
      <c r="H195" s="587"/>
      <c r="I195" s="646"/>
      <c r="J195" s="582">
        <f t="shared" si="33"/>
        <v>0</v>
      </c>
      <c r="K195" s="577"/>
      <c r="L195" s="587"/>
      <c r="M195" s="647"/>
      <c r="N195" s="582">
        <f t="shared" si="35"/>
        <v>0</v>
      </c>
      <c r="O195" s="577"/>
      <c r="P195" s="584">
        <f t="shared" si="29"/>
        <v>0</v>
      </c>
      <c r="Q195" s="585">
        <f t="shared" si="30"/>
      </c>
    </row>
    <row r="196" spans="4:17" ht="13.5" thickBot="1">
      <c r="D196" s="623" t="s">
        <v>600</v>
      </c>
      <c r="E196" s="577"/>
      <c r="F196" s="577"/>
      <c r="G196" s="577"/>
      <c r="H196" s="624"/>
      <c r="I196" s="625"/>
      <c r="J196" s="612">
        <f>SUM(J187:J195)</f>
        <v>312054.395</v>
      </c>
      <c r="K196" s="613"/>
      <c r="L196" s="626"/>
      <c r="M196" s="651"/>
      <c r="N196" s="612">
        <f>SUM(N187:N195)</f>
        <v>325056.67500000005</v>
      </c>
      <c r="O196" s="613"/>
      <c r="P196" s="616">
        <f t="shared" si="29"/>
        <v>13002.280000000028</v>
      </c>
      <c r="Q196" s="617">
        <f t="shared" si="30"/>
        <v>0.04166671006187888</v>
      </c>
    </row>
    <row r="197" spans="4:17" ht="13.5" thickBot="1">
      <c r="D197" s="579" t="s">
        <v>601</v>
      </c>
      <c r="E197" s="577"/>
      <c r="F197" s="577"/>
      <c r="G197" s="577"/>
      <c r="H197" s="628">
        <v>0.13</v>
      </c>
      <c r="I197" s="629"/>
      <c r="J197" s="630">
        <f>J196*H197</f>
        <v>40567.071350000006</v>
      </c>
      <c r="K197" s="577"/>
      <c r="L197" s="628">
        <v>0.13</v>
      </c>
      <c r="M197" s="652"/>
      <c r="N197" s="630">
        <f>N196*L197</f>
        <v>42257.367750000005</v>
      </c>
      <c r="O197" s="577"/>
      <c r="P197" s="584">
        <f t="shared" si="29"/>
        <v>1690.2963999999993</v>
      </c>
      <c r="Q197" s="585">
        <f t="shared" si="30"/>
        <v>0.04166671006187877</v>
      </c>
    </row>
    <row r="198" spans="4:17" ht="26.25" thickBot="1">
      <c r="D198" s="609" t="s">
        <v>602</v>
      </c>
      <c r="E198" s="577"/>
      <c r="F198" s="577"/>
      <c r="G198" s="577"/>
      <c r="H198" s="610"/>
      <c r="I198" s="611"/>
      <c r="J198" s="612">
        <f>ROUND(SUM(J196:J197),2)</f>
        <v>352621.47</v>
      </c>
      <c r="K198" s="613"/>
      <c r="L198" s="614"/>
      <c r="M198" s="651"/>
      <c r="N198" s="612">
        <f>ROUND(SUM(N196:N197),2)</f>
        <v>367314.04</v>
      </c>
      <c r="O198" s="613"/>
      <c r="P198" s="616">
        <f t="shared" si="29"/>
        <v>14692.570000000007</v>
      </c>
      <c r="Q198" s="617">
        <f t="shared" si="30"/>
        <v>0.041666691480810876</v>
      </c>
    </row>
    <row r="199" ht="12.75"/>
    <row r="200" spans="4:14" ht="12.75">
      <c r="D200" s="400" t="s">
        <v>605</v>
      </c>
      <c r="H200" s="634">
        <v>0.014499999999999957</v>
      </c>
      <c r="J200" s="635"/>
      <c r="L200" s="634">
        <v>0.014499999999999957</v>
      </c>
      <c r="N200" s="636"/>
    </row>
    <row r="201" spans="4:12" ht="12.75">
      <c r="D201" s="637" t="s">
        <v>606</v>
      </c>
      <c r="H201" s="638">
        <v>750</v>
      </c>
      <c r="L201" s="638">
        <f>H201</f>
        <v>750</v>
      </c>
    </row>
    <row r="202" ht="12.75">
      <c r="B202" s="400" t="s">
        <v>265</v>
      </c>
    </row>
    <row r="203" spans="2:17" ht="12.75">
      <c r="B203" s="1127" t="s">
        <v>612</v>
      </c>
      <c r="C203" s="1115"/>
      <c r="D203" s="1115"/>
      <c r="E203" s="1115"/>
      <c r="F203" s="1115"/>
      <c r="G203" s="1115"/>
      <c r="H203" s="1115"/>
      <c r="I203" s="1115"/>
      <c r="J203" s="1115"/>
      <c r="K203" s="1115"/>
      <c r="L203" s="1115"/>
      <c r="M203" s="1115"/>
      <c r="N203" s="1115"/>
      <c r="O203" s="1115"/>
      <c r="P203" s="1115"/>
      <c r="Q203" s="1116"/>
    </row>
    <row r="204" spans="2:17" ht="12.75">
      <c r="B204" s="1117"/>
      <c r="C204" s="1118"/>
      <c r="D204" s="1118"/>
      <c r="E204" s="1118"/>
      <c r="F204" s="1118"/>
      <c r="G204" s="1118"/>
      <c r="H204" s="1118"/>
      <c r="I204" s="1118"/>
      <c r="J204" s="1118"/>
      <c r="K204" s="1118"/>
      <c r="L204" s="1118"/>
      <c r="M204" s="1118"/>
      <c r="N204" s="1118"/>
      <c r="O204" s="1118"/>
      <c r="P204" s="1118"/>
      <c r="Q204" s="1119"/>
    </row>
    <row r="205" spans="2:17" ht="12.75">
      <c r="B205" s="1117"/>
      <c r="C205" s="1118"/>
      <c r="D205" s="1118"/>
      <c r="E205" s="1118"/>
      <c r="F205" s="1118"/>
      <c r="G205" s="1118"/>
      <c r="H205" s="1118"/>
      <c r="I205" s="1118"/>
      <c r="J205" s="1118"/>
      <c r="K205" s="1118"/>
      <c r="L205" s="1118"/>
      <c r="M205" s="1118"/>
      <c r="N205" s="1118"/>
      <c r="O205" s="1118"/>
      <c r="P205" s="1118"/>
      <c r="Q205" s="1119"/>
    </row>
    <row r="206" spans="2:17" ht="12.75">
      <c r="B206" s="1117"/>
      <c r="C206" s="1118"/>
      <c r="D206" s="1118"/>
      <c r="E206" s="1118"/>
      <c r="F206" s="1118"/>
      <c r="G206" s="1118"/>
      <c r="H206" s="1118"/>
      <c r="I206" s="1118"/>
      <c r="J206" s="1118"/>
      <c r="K206" s="1118"/>
      <c r="L206" s="1118"/>
      <c r="M206" s="1118"/>
      <c r="N206" s="1118"/>
      <c r="O206" s="1118"/>
      <c r="P206" s="1118"/>
      <c r="Q206" s="1119"/>
    </row>
    <row r="207" spans="2:17" ht="12.75">
      <c r="B207" s="1120"/>
      <c r="C207" s="1121"/>
      <c r="D207" s="1121"/>
      <c r="E207" s="1121"/>
      <c r="F207" s="1121"/>
      <c r="G207" s="1121"/>
      <c r="H207" s="1121"/>
      <c r="I207" s="1121"/>
      <c r="J207" s="1121"/>
      <c r="K207" s="1121"/>
      <c r="L207" s="1121"/>
      <c r="M207" s="1121"/>
      <c r="N207" s="1121"/>
      <c r="O207" s="1121"/>
      <c r="P207" s="1121"/>
      <c r="Q207" s="1122"/>
    </row>
    <row r="208" ht="12.75"/>
    <row r="209" ht="12.75"/>
    <row r="210" ht="12.75"/>
    <row r="211" ht="12.75"/>
    <row r="212" spans="2:17" ht="15.75">
      <c r="B212" s="562" t="s">
        <v>564</v>
      </c>
      <c r="D212" s="563" t="s">
        <v>565</v>
      </c>
      <c r="F212" s="1123" t="s">
        <v>562</v>
      </c>
      <c r="G212" s="1123"/>
      <c r="H212" s="1123"/>
      <c r="I212" s="1123"/>
      <c r="J212" s="1123"/>
      <c r="K212" s="1123"/>
      <c r="L212" s="1123"/>
      <c r="M212" s="1123"/>
      <c r="N212" s="1123"/>
      <c r="O212" s="1123"/>
      <c r="P212" s="1123"/>
      <c r="Q212" s="1123"/>
    </row>
    <row r="213" spans="2:17" ht="15.75">
      <c r="B213" s="562"/>
      <c r="D213" s="564"/>
      <c r="F213" s="565"/>
      <c r="G213" s="565"/>
      <c r="H213" s="565"/>
      <c r="I213" s="565"/>
      <c r="J213" s="565"/>
      <c r="K213" s="565"/>
      <c r="L213" s="565"/>
      <c r="M213" s="565"/>
      <c r="N213" s="565"/>
      <c r="O213" s="565"/>
      <c r="P213" s="565"/>
      <c r="Q213" s="565"/>
    </row>
    <row r="214" spans="2:9" ht="12.75">
      <c r="B214" s="562" t="s">
        <v>566</v>
      </c>
      <c r="F214" s="400" t="s">
        <v>567</v>
      </c>
      <c r="G214" s="400"/>
      <c r="H214" s="566">
        <v>150</v>
      </c>
      <c r="I214" s="400" t="s">
        <v>568</v>
      </c>
    </row>
    <row r="215" ht="12.75">
      <c r="B215" s="562" t="s">
        <v>569</v>
      </c>
    </row>
    <row r="216" spans="2:17" ht="12.75">
      <c r="B216" s="567"/>
      <c r="F216" s="568"/>
      <c r="G216" s="568"/>
      <c r="H216" s="1124" t="s">
        <v>570</v>
      </c>
      <c r="I216" s="1125"/>
      <c r="J216" s="1126"/>
      <c r="L216" s="1124" t="s">
        <v>571</v>
      </c>
      <c r="M216" s="1125"/>
      <c r="N216" s="1126"/>
      <c r="P216" s="1124" t="s">
        <v>572</v>
      </c>
      <c r="Q216" s="1126"/>
    </row>
    <row r="217" spans="2:17" ht="12.75">
      <c r="B217" s="567"/>
      <c r="F217" s="1108" t="s">
        <v>573</v>
      </c>
      <c r="G217" s="569"/>
      <c r="H217" s="570" t="s">
        <v>574</v>
      </c>
      <c r="I217" s="570" t="s">
        <v>575</v>
      </c>
      <c r="J217" s="571" t="s">
        <v>576</v>
      </c>
      <c r="L217" s="570" t="s">
        <v>574</v>
      </c>
      <c r="M217" s="572" t="s">
        <v>575</v>
      </c>
      <c r="N217" s="571" t="s">
        <v>576</v>
      </c>
      <c r="P217" s="1110" t="s">
        <v>577</v>
      </c>
      <c r="Q217" s="1112" t="s">
        <v>578</v>
      </c>
    </row>
    <row r="218" spans="2:17" ht="12.75">
      <c r="B218" s="567"/>
      <c r="F218" s="1109"/>
      <c r="G218" s="569"/>
      <c r="H218" s="573" t="s">
        <v>410</v>
      </c>
      <c r="I218" s="573"/>
      <c r="J218" s="574" t="s">
        <v>410</v>
      </c>
      <c r="L218" s="573" t="s">
        <v>410</v>
      </c>
      <c r="M218" s="574"/>
      <c r="N218" s="574" t="s">
        <v>410</v>
      </c>
      <c r="P218" s="1111"/>
      <c r="Q218" s="1113"/>
    </row>
    <row r="219" spans="1:17" ht="12.75">
      <c r="A219" s="575"/>
      <c r="B219" s="576"/>
      <c r="D219" s="577" t="s">
        <v>555</v>
      </c>
      <c r="E219" s="577"/>
      <c r="F219" s="578" t="s">
        <v>564</v>
      </c>
      <c r="G219" s="579"/>
      <c r="H219" s="580">
        <v>14.32</v>
      </c>
      <c r="I219" s="581">
        <v>1</v>
      </c>
      <c r="J219" s="582">
        <f aca="true" t="shared" si="36" ref="J219:J233">I219*H219</f>
        <v>14.32</v>
      </c>
      <c r="K219" s="577"/>
      <c r="L219" s="580">
        <v>8.059999999999999</v>
      </c>
      <c r="M219" s="583">
        <v>1</v>
      </c>
      <c r="N219" s="582">
        <f aca="true" t="shared" si="37" ref="N219:N233">M219*L219</f>
        <v>8.059999999999999</v>
      </c>
      <c r="O219" s="577"/>
      <c r="P219" s="584">
        <f aca="true" t="shared" si="38" ref="P219:P248">N219-J219</f>
        <v>-6.260000000000002</v>
      </c>
      <c r="Q219" s="585">
        <f aca="true" t="shared" si="39" ref="Q219:Q248">IF((J219)=0,"",(P219/J219))</f>
        <v>-0.4371508379888269</v>
      </c>
    </row>
    <row r="220" spans="1:17" ht="12.75">
      <c r="A220" s="575"/>
      <c r="B220" s="576"/>
      <c r="D220" s="577" t="s">
        <v>579</v>
      </c>
      <c r="E220" s="577"/>
      <c r="F220" s="578" t="s">
        <v>564</v>
      </c>
      <c r="G220" s="579"/>
      <c r="H220" s="587">
        <v>0</v>
      </c>
      <c r="I220" s="581">
        <v>1</v>
      </c>
      <c r="J220" s="582">
        <f t="shared" si="36"/>
        <v>0</v>
      </c>
      <c r="K220" s="577"/>
      <c r="L220" s="587">
        <v>0</v>
      </c>
      <c r="M220" s="583">
        <v>1</v>
      </c>
      <c r="N220" s="582">
        <f t="shared" si="37"/>
        <v>0</v>
      </c>
      <c r="O220" s="577"/>
      <c r="P220" s="584">
        <f t="shared" si="38"/>
        <v>0</v>
      </c>
      <c r="Q220" s="585">
        <f t="shared" si="39"/>
      </c>
    </row>
    <row r="221" spans="1:17" ht="12.75">
      <c r="A221" s="575"/>
      <c r="B221" s="576"/>
      <c r="D221" s="644" t="s">
        <v>580</v>
      </c>
      <c r="E221" s="577"/>
      <c r="F221" s="578" t="s">
        <v>564</v>
      </c>
      <c r="G221" s="579"/>
      <c r="H221" s="587">
        <v>0</v>
      </c>
      <c r="I221" s="581">
        <v>1</v>
      </c>
      <c r="J221" s="582">
        <f t="shared" si="36"/>
        <v>0</v>
      </c>
      <c r="K221" s="577"/>
      <c r="L221" s="580">
        <v>0.2</v>
      </c>
      <c r="M221" s="583">
        <v>1</v>
      </c>
      <c r="N221" s="582">
        <f t="shared" si="37"/>
        <v>0.2</v>
      </c>
      <c r="O221" s="577"/>
      <c r="P221" s="584">
        <f t="shared" si="38"/>
        <v>0.2</v>
      </c>
      <c r="Q221" s="585">
        <f t="shared" si="39"/>
      </c>
    </row>
    <row r="222" spans="1:17" ht="12.75">
      <c r="A222" s="575"/>
      <c r="B222" s="576"/>
      <c r="D222" s="577" t="s">
        <v>581</v>
      </c>
      <c r="E222" s="577"/>
      <c r="F222" s="578" t="s">
        <v>564</v>
      </c>
      <c r="G222" s="579"/>
      <c r="H222" s="587">
        <v>0</v>
      </c>
      <c r="I222" s="581">
        <v>1</v>
      </c>
      <c r="J222" s="582">
        <f t="shared" si="36"/>
        <v>0</v>
      </c>
      <c r="K222" s="577"/>
      <c r="L222" s="587">
        <v>0</v>
      </c>
      <c r="M222" s="583">
        <v>1</v>
      </c>
      <c r="N222" s="582">
        <f t="shared" si="37"/>
        <v>0</v>
      </c>
      <c r="O222" s="577"/>
      <c r="P222" s="584">
        <f t="shared" si="38"/>
        <v>0</v>
      </c>
      <c r="Q222" s="585">
        <f t="shared" si="39"/>
      </c>
    </row>
    <row r="223" spans="1:17" ht="12.75">
      <c r="A223" s="575"/>
      <c r="B223" s="576"/>
      <c r="D223" s="577" t="s">
        <v>582</v>
      </c>
      <c r="E223" s="577"/>
      <c r="F223" s="578" t="s">
        <v>566</v>
      </c>
      <c r="G223" s="579"/>
      <c r="H223" s="587">
        <v>0.0087</v>
      </c>
      <c r="I223" s="581">
        <f>H214</f>
        <v>150</v>
      </c>
      <c r="J223" s="582">
        <f t="shared" si="36"/>
        <v>1.305</v>
      </c>
      <c r="K223" s="577"/>
      <c r="L223" s="587">
        <v>0.0156</v>
      </c>
      <c r="M223" s="583">
        <f>H214</f>
        <v>150</v>
      </c>
      <c r="N223" s="582">
        <f t="shared" si="37"/>
        <v>2.34</v>
      </c>
      <c r="O223" s="577"/>
      <c r="P223" s="584">
        <f t="shared" si="38"/>
        <v>1.035</v>
      </c>
      <c r="Q223" s="585">
        <f t="shared" si="39"/>
        <v>0.7931034482758621</v>
      </c>
    </row>
    <row r="224" spans="1:17" ht="12.75">
      <c r="A224" s="575"/>
      <c r="B224" s="576"/>
      <c r="D224" s="577" t="s">
        <v>583</v>
      </c>
      <c r="E224" s="577"/>
      <c r="F224" s="578" t="s">
        <v>566</v>
      </c>
      <c r="G224" s="579"/>
      <c r="H224" s="587">
        <v>0.0001</v>
      </c>
      <c r="I224" s="581">
        <f aca="true" t="shared" si="40" ref="I224:I229">I223</f>
        <v>150</v>
      </c>
      <c r="J224" s="582">
        <f t="shared" si="36"/>
        <v>0.015000000000000001</v>
      </c>
      <c r="K224" s="577"/>
      <c r="L224" s="587">
        <v>0.0003</v>
      </c>
      <c r="M224" s="583">
        <f aca="true" t="shared" si="41" ref="M224:M229">M223</f>
        <v>150</v>
      </c>
      <c r="N224" s="582">
        <f t="shared" si="37"/>
        <v>0.045</v>
      </c>
      <c r="O224" s="577"/>
      <c r="P224" s="584">
        <f t="shared" si="38"/>
        <v>0.03</v>
      </c>
      <c r="Q224" s="585">
        <f t="shared" si="39"/>
        <v>1.9999999999999998</v>
      </c>
    </row>
    <row r="225" spans="1:17" ht="12.75">
      <c r="A225" s="575"/>
      <c r="B225" s="576"/>
      <c r="D225" s="577" t="s">
        <v>584</v>
      </c>
      <c r="E225" s="577"/>
      <c r="F225" s="578" t="s">
        <v>566</v>
      </c>
      <c r="G225" s="579"/>
      <c r="H225" s="587">
        <v>0</v>
      </c>
      <c r="I225" s="581">
        <f t="shared" si="40"/>
        <v>150</v>
      </c>
      <c r="J225" s="582">
        <f t="shared" si="36"/>
        <v>0</v>
      </c>
      <c r="K225" s="577"/>
      <c r="L225" s="587">
        <v>0</v>
      </c>
      <c r="M225" s="583">
        <f t="shared" si="41"/>
        <v>150</v>
      </c>
      <c r="N225" s="582">
        <f t="shared" si="37"/>
        <v>0</v>
      </c>
      <c r="O225" s="577"/>
      <c r="P225" s="584">
        <f t="shared" si="38"/>
        <v>0</v>
      </c>
      <c r="Q225" s="585">
        <f t="shared" si="39"/>
      </c>
    </row>
    <row r="226" spans="1:17" ht="12.75">
      <c r="A226" s="575"/>
      <c r="B226" s="576"/>
      <c r="D226" s="577" t="s">
        <v>585</v>
      </c>
      <c r="E226" s="577"/>
      <c r="F226" s="578" t="s">
        <v>566</v>
      </c>
      <c r="G226" s="579"/>
      <c r="H226" s="587">
        <v>-0.0007</v>
      </c>
      <c r="I226" s="581">
        <f t="shared" si="40"/>
        <v>150</v>
      </c>
      <c r="J226" s="582">
        <f t="shared" si="36"/>
        <v>-0.105</v>
      </c>
      <c r="K226" s="577"/>
      <c r="L226" s="587">
        <v>0</v>
      </c>
      <c r="M226" s="583">
        <f t="shared" si="41"/>
        <v>150</v>
      </c>
      <c r="N226" s="582">
        <f t="shared" si="37"/>
        <v>0</v>
      </c>
      <c r="O226" s="577"/>
      <c r="P226" s="584">
        <f t="shared" si="38"/>
        <v>0.105</v>
      </c>
      <c r="Q226" s="585">
        <f t="shared" si="39"/>
        <v>-1</v>
      </c>
    </row>
    <row r="227" spans="1:17" ht="12.75">
      <c r="A227" s="575"/>
      <c r="B227" s="576"/>
      <c r="D227" s="577" t="s">
        <v>586</v>
      </c>
      <c r="E227" s="577"/>
      <c r="F227" s="578" t="s">
        <v>566</v>
      </c>
      <c r="G227" s="579"/>
      <c r="H227" s="587">
        <v>0</v>
      </c>
      <c r="I227" s="581">
        <f t="shared" si="40"/>
        <v>150</v>
      </c>
      <c r="J227" s="582">
        <f t="shared" si="36"/>
        <v>0</v>
      </c>
      <c r="K227" s="577"/>
      <c r="L227" s="587">
        <v>0</v>
      </c>
      <c r="M227" s="583">
        <f t="shared" si="41"/>
        <v>150</v>
      </c>
      <c r="N227" s="582">
        <f t="shared" si="37"/>
        <v>0</v>
      </c>
      <c r="O227" s="577"/>
      <c r="P227" s="584">
        <f t="shared" si="38"/>
        <v>0</v>
      </c>
      <c r="Q227" s="585">
        <f t="shared" si="39"/>
      </c>
    </row>
    <row r="228" spans="1:17" ht="12.75">
      <c r="A228" s="575"/>
      <c r="B228" s="576"/>
      <c r="D228" s="577" t="s">
        <v>587</v>
      </c>
      <c r="E228" s="577"/>
      <c r="F228" s="578" t="s">
        <v>566</v>
      </c>
      <c r="G228" s="579"/>
      <c r="H228" s="587">
        <v>0</v>
      </c>
      <c r="I228" s="581">
        <f t="shared" si="40"/>
        <v>150</v>
      </c>
      <c r="J228" s="582">
        <f t="shared" si="36"/>
        <v>0</v>
      </c>
      <c r="K228" s="577"/>
      <c r="L228" s="587">
        <v>0</v>
      </c>
      <c r="M228" s="583">
        <f t="shared" si="41"/>
        <v>150</v>
      </c>
      <c r="N228" s="582">
        <f t="shared" si="37"/>
        <v>0</v>
      </c>
      <c r="O228" s="577"/>
      <c r="P228" s="584">
        <f t="shared" si="38"/>
        <v>0</v>
      </c>
      <c r="Q228" s="585">
        <f t="shared" si="39"/>
      </c>
    </row>
    <row r="229" spans="1:17" ht="25.5">
      <c r="A229" s="588"/>
      <c r="B229" s="576"/>
      <c r="D229" s="589" t="s">
        <v>588</v>
      </c>
      <c r="E229" s="577"/>
      <c r="F229" s="578" t="s">
        <v>566</v>
      </c>
      <c r="G229" s="579"/>
      <c r="H229" s="587">
        <v>0</v>
      </c>
      <c r="I229" s="581">
        <f t="shared" si="40"/>
        <v>150</v>
      </c>
      <c r="J229" s="582">
        <f t="shared" si="36"/>
        <v>0</v>
      </c>
      <c r="K229" s="577"/>
      <c r="L229" s="587">
        <v>-0.0022</v>
      </c>
      <c r="M229" s="583">
        <f t="shared" si="41"/>
        <v>150</v>
      </c>
      <c r="N229" s="582">
        <f t="shared" si="37"/>
        <v>-0.33</v>
      </c>
      <c r="O229" s="577"/>
      <c r="P229" s="584">
        <f t="shared" si="38"/>
        <v>-0.33</v>
      </c>
      <c r="Q229" s="585">
        <f t="shared" si="39"/>
      </c>
    </row>
    <row r="230" spans="1:17" ht="12.75">
      <c r="A230" s="588"/>
      <c r="D230" s="589"/>
      <c r="E230" s="577"/>
      <c r="F230" s="578"/>
      <c r="G230" s="579"/>
      <c r="H230" s="587"/>
      <c r="I230" s="591"/>
      <c r="J230" s="582">
        <f t="shared" si="36"/>
        <v>0</v>
      </c>
      <c r="K230" s="577"/>
      <c r="L230" s="587"/>
      <c r="M230" s="583"/>
      <c r="N230" s="582">
        <f t="shared" si="37"/>
        <v>0</v>
      </c>
      <c r="O230" s="577"/>
      <c r="P230" s="584">
        <f t="shared" si="38"/>
        <v>0</v>
      </c>
      <c r="Q230" s="585">
        <f t="shared" si="39"/>
      </c>
    </row>
    <row r="231" spans="4:17" ht="12.75">
      <c r="D231" s="590"/>
      <c r="E231" s="577"/>
      <c r="F231" s="578"/>
      <c r="G231" s="579"/>
      <c r="H231" s="587"/>
      <c r="I231" s="591"/>
      <c r="J231" s="582">
        <f t="shared" si="36"/>
        <v>0</v>
      </c>
      <c r="K231" s="577"/>
      <c r="L231" s="587"/>
      <c r="M231" s="592"/>
      <c r="N231" s="582">
        <f t="shared" si="37"/>
        <v>0</v>
      </c>
      <c r="O231" s="577"/>
      <c r="P231" s="584">
        <f t="shared" si="38"/>
        <v>0</v>
      </c>
      <c r="Q231" s="585">
        <f t="shared" si="39"/>
      </c>
    </row>
    <row r="232" spans="4:17" ht="12.75">
      <c r="D232" s="590"/>
      <c r="E232" s="577"/>
      <c r="F232" s="578"/>
      <c r="G232" s="579"/>
      <c r="H232" s="587"/>
      <c r="I232" s="591"/>
      <c r="J232" s="582">
        <f t="shared" si="36"/>
        <v>0</v>
      </c>
      <c r="K232" s="577"/>
      <c r="L232" s="587"/>
      <c r="M232" s="592"/>
      <c r="N232" s="582">
        <f t="shared" si="37"/>
        <v>0</v>
      </c>
      <c r="O232" s="577"/>
      <c r="P232" s="584">
        <f t="shared" si="38"/>
        <v>0</v>
      </c>
      <c r="Q232" s="585">
        <f t="shared" si="39"/>
      </c>
    </row>
    <row r="233" spans="4:17" ht="13.5" thickBot="1">
      <c r="D233" s="590"/>
      <c r="E233" s="577"/>
      <c r="F233" s="578"/>
      <c r="G233" s="579"/>
      <c r="H233" s="587"/>
      <c r="I233" s="591"/>
      <c r="J233" s="582">
        <f t="shared" si="36"/>
        <v>0</v>
      </c>
      <c r="K233" s="577"/>
      <c r="L233" s="587"/>
      <c r="M233" s="592"/>
      <c r="N233" s="582">
        <f t="shared" si="37"/>
        <v>0</v>
      </c>
      <c r="O233" s="577"/>
      <c r="P233" s="584">
        <f t="shared" si="38"/>
        <v>0</v>
      </c>
      <c r="Q233" s="585">
        <f t="shared" si="39"/>
      </c>
    </row>
    <row r="234" spans="4:17" ht="13.5" thickBot="1">
      <c r="D234" s="400" t="s">
        <v>589</v>
      </c>
      <c r="G234" s="551"/>
      <c r="H234" s="593"/>
      <c r="I234" s="594"/>
      <c r="J234" s="595">
        <f>SUM(J219:J233)</f>
        <v>15.535</v>
      </c>
      <c r="L234" s="593"/>
      <c r="M234" s="596"/>
      <c r="N234" s="595">
        <f>SUM(N219:N233)</f>
        <v>10.314999999999998</v>
      </c>
      <c r="P234" s="597">
        <f t="shared" si="38"/>
        <v>-5.220000000000002</v>
      </c>
      <c r="Q234" s="598">
        <f t="shared" si="39"/>
        <v>-0.3360154489861604</v>
      </c>
    </row>
    <row r="235" spans="4:17" ht="12.75">
      <c r="D235" s="599" t="s">
        <v>590</v>
      </c>
      <c r="E235" s="599"/>
      <c r="F235" s="600" t="s">
        <v>566</v>
      </c>
      <c r="G235" s="601"/>
      <c r="H235" s="602">
        <v>0.0066</v>
      </c>
      <c r="I235" s="639">
        <f>H214*(1+H250)</f>
        <v>154.485</v>
      </c>
      <c r="J235" s="604">
        <f>I235*H235</f>
        <v>1.019601</v>
      </c>
      <c r="K235" s="599"/>
      <c r="L235" s="602">
        <v>0.0064</v>
      </c>
      <c r="M235" s="640">
        <f>H214*(1+L250)</f>
        <v>155.17499999999998</v>
      </c>
      <c r="N235" s="604">
        <f>M235*L235</f>
        <v>0.9931199999999999</v>
      </c>
      <c r="O235" s="599"/>
      <c r="P235" s="606">
        <f t="shared" si="38"/>
        <v>-0.026481000000000088</v>
      </c>
      <c r="Q235" s="607">
        <f t="shared" si="39"/>
        <v>-0.025971924311569024</v>
      </c>
    </row>
    <row r="236" spans="4:17" ht="26.25" thickBot="1">
      <c r="D236" s="608" t="s">
        <v>591</v>
      </c>
      <c r="E236" s="599"/>
      <c r="F236" s="600" t="s">
        <v>566</v>
      </c>
      <c r="G236" s="601"/>
      <c r="H236" s="602">
        <v>0.0027</v>
      </c>
      <c r="I236" s="639">
        <f>I235</f>
        <v>154.485</v>
      </c>
      <c r="J236" s="604">
        <f>I236*H236</f>
        <v>0.4171095000000001</v>
      </c>
      <c r="K236" s="599"/>
      <c r="L236" s="602">
        <v>0.0031</v>
      </c>
      <c r="M236" s="640">
        <f>M235</f>
        <v>155.17499999999998</v>
      </c>
      <c r="N236" s="604">
        <f>M236*L236</f>
        <v>0.48104249999999993</v>
      </c>
      <c r="O236" s="599"/>
      <c r="P236" s="606">
        <f t="shared" si="38"/>
        <v>0.06393299999999985</v>
      </c>
      <c r="Q236" s="607">
        <f t="shared" si="39"/>
        <v>0.1532762979505378</v>
      </c>
    </row>
    <row r="237" spans="4:17" ht="26.25" thickBot="1">
      <c r="D237" s="609" t="s">
        <v>592</v>
      </c>
      <c r="E237" s="577"/>
      <c r="F237" s="577"/>
      <c r="G237" s="579"/>
      <c r="H237" s="610"/>
      <c r="I237" s="611"/>
      <c r="J237" s="612">
        <f>SUM(J234:J236)</f>
        <v>16.9717105</v>
      </c>
      <c r="K237" s="613"/>
      <c r="L237" s="614"/>
      <c r="M237" s="615"/>
      <c r="N237" s="612">
        <f>SUM(N234:N236)</f>
        <v>11.789162499999996</v>
      </c>
      <c r="O237" s="613"/>
      <c r="P237" s="616">
        <f t="shared" si="38"/>
        <v>-5.182548000000004</v>
      </c>
      <c r="Q237" s="617">
        <f t="shared" si="39"/>
        <v>-0.3053639172079917</v>
      </c>
    </row>
    <row r="238" spans="4:17" ht="25.5">
      <c r="D238" s="589" t="s">
        <v>593</v>
      </c>
      <c r="E238" s="577"/>
      <c r="F238" s="578" t="s">
        <v>566</v>
      </c>
      <c r="G238" s="579"/>
      <c r="H238" s="587">
        <v>0.0052</v>
      </c>
      <c r="I238" s="581">
        <f>I236</f>
        <v>154.485</v>
      </c>
      <c r="J238" s="582">
        <f aca="true" t="shared" si="42" ref="J238:J245">I238*H238</f>
        <v>0.803322</v>
      </c>
      <c r="K238" s="577"/>
      <c r="L238" s="587">
        <f aca="true" t="shared" si="43" ref="L238:L244">H238</f>
        <v>0.0052</v>
      </c>
      <c r="M238" s="583">
        <f>M236</f>
        <v>155.17499999999998</v>
      </c>
      <c r="N238" s="582">
        <f aca="true" t="shared" si="44" ref="N238:N245">M238*L238</f>
        <v>0.8069099999999999</v>
      </c>
      <c r="O238" s="577"/>
      <c r="P238" s="584">
        <f t="shared" si="38"/>
        <v>0.0035879999999999246</v>
      </c>
      <c r="Q238" s="585">
        <f t="shared" si="39"/>
        <v>0.00446645305369444</v>
      </c>
    </row>
    <row r="239" spans="4:17" ht="25.5">
      <c r="D239" s="589" t="s">
        <v>594</v>
      </c>
      <c r="E239" s="577"/>
      <c r="F239" s="578" t="s">
        <v>566</v>
      </c>
      <c r="G239" s="579"/>
      <c r="H239" s="587">
        <v>0.0011</v>
      </c>
      <c r="I239" s="581">
        <f>I236</f>
        <v>154.485</v>
      </c>
      <c r="J239" s="582">
        <f t="shared" si="42"/>
        <v>0.16993350000000002</v>
      </c>
      <c r="K239" s="577"/>
      <c r="L239" s="587">
        <f t="shared" si="43"/>
        <v>0.0011</v>
      </c>
      <c r="M239" s="583">
        <f>M236</f>
        <v>155.17499999999998</v>
      </c>
      <c r="N239" s="582">
        <f t="shared" si="44"/>
        <v>0.1706925</v>
      </c>
      <c r="O239" s="577"/>
      <c r="P239" s="584">
        <f t="shared" si="38"/>
        <v>0.0007589999999999819</v>
      </c>
      <c r="Q239" s="585">
        <f t="shared" si="39"/>
        <v>0.004466453053694427</v>
      </c>
    </row>
    <row r="240" spans="4:17" ht="12.75">
      <c r="D240" s="589" t="s">
        <v>595</v>
      </c>
      <c r="E240" s="577"/>
      <c r="F240" s="578" t="s">
        <v>566</v>
      </c>
      <c r="G240" s="579"/>
      <c r="H240" s="587">
        <v>0</v>
      </c>
      <c r="I240" s="581">
        <f>I236</f>
        <v>154.485</v>
      </c>
      <c r="J240" s="582">
        <f t="shared" si="42"/>
        <v>0</v>
      </c>
      <c r="K240" s="577"/>
      <c r="L240" s="587">
        <f t="shared" si="43"/>
        <v>0</v>
      </c>
      <c r="M240" s="583">
        <f>M236</f>
        <v>155.17499999999998</v>
      </c>
      <c r="N240" s="582">
        <f t="shared" si="44"/>
        <v>0</v>
      </c>
      <c r="O240" s="577"/>
      <c r="P240" s="584">
        <f t="shared" si="38"/>
        <v>0</v>
      </c>
      <c r="Q240" s="585">
        <f t="shared" si="39"/>
      </c>
    </row>
    <row r="241" spans="4:17" ht="12.75">
      <c r="D241" s="577" t="s">
        <v>596</v>
      </c>
      <c r="E241" s="577"/>
      <c r="F241" s="578" t="s">
        <v>564</v>
      </c>
      <c r="G241" s="579"/>
      <c r="H241" s="587">
        <v>0.25</v>
      </c>
      <c r="I241" s="581">
        <v>1</v>
      </c>
      <c r="J241" s="582">
        <f t="shared" si="42"/>
        <v>0.25</v>
      </c>
      <c r="K241" s="577"/>
      <c r="L241" s="587">
        <f t="shared" si="43"/>
        <v>0.25</v>
      </c>
      <c r="M241" s="583">
        <v>1</v>
      </c>
      <c r="N241" s="582">
        <f t="shared" si="44"/>
        <v>0.25</v>
      </c>
      <c r="O241" s="577"/>
      <c r="P241" s="584">
        <f t="shared" si="38"/>
        <v>0</v>
      </c>
      <c r="Q241" s="585">
        <f t="shared" si="39"/>
        <v>0</v>
      </c>
    </row>
    <row r="242" spans="4:17" ht="12.75">
      <c r="D242" s="577" t="s">
        <v>597</v>
      </c>
      <c r="E242" s="577"/>
      <c r="F242" s="578" t="s">
        <v>566</v>
      </c>
      <c r="G242" s="579"/>
      <c r="H242" s="587">
        <v>0.007</v>
      </c>
      <c r="I242" s="581">
        <f>H214</f>
        <v>150</v>
      </c>
      <c r="J242" s="582">
        <f t="shared" si="42"/>
        <v>1.05</v>
      </c>
      <c r="K242" s="577"/>
      <c r="L242" s="587">
        <f t="shared" si="43"/>
        <v>0.007</v>
      </c>
      <c r="M242" s="583">
        <f>H214</f>
        <v>150</v>
      </c>
      <c r="N242" s="582">
        <f t="shared" si="44"/>
        <v>1.05</v>
      </c>
      <c r="O242" s="577"/>
      <c r="P242" s="584">
        <f t="shared" si="38"/>
        <v>0</v>
      </c>
      <c r="Q242" s="585">
        <f t="shared" si="39"/>
        <v>0</v>
      </c>
    </row>
    <row r="243" spans="4:17" ht="12.75">
      <c r="D243" s="577" t="s">
        <v>598</v>
      </c>
      <c r="E243" s="577"/>
      <c r="F243" s="578" t="s">
        <v>566</v>
      </c>
      <c r="G243" s="579"/>
      <c r="H243" s="587">
        <v>0.075</v>
      </c>
      <c r="I243" s="581">
        <f>IF(I235&lt;H251,I235,H251)</f>
        <v>154.485</v>
      </c>
      <c r="J243" s="582">
        <f t="shared" si="42"/>
        <v>11.586375</v>
      </c>
      <c r="K243" s="577"/>
      <c r="L243" s="587">
        <f t="shared" si="43"/>
        <v>0.075</v>
      </c>
      <c r="M243" s="583">
        <f>IF(M235&lt;L251,M235,L251)</f>
        <v>155.17499999999998</v>
      </c>
      <c r="N243" s="582">
        <f t="shared" si="44"/>
        <v>11.638124999999999</v>
      </c>
      <c r="O243" s="577"/>
      <c r="P243" s="584">
        <f t="shared" si="38"/>
        <v>0.05174999999999841</v>
      </c>
      <c r="Q243" s="585">
        <f t="shared" si="39"/>
        <v>0.004466453053694396</v>
      </c>
    </row>
    <row r="244" spans="4:17" ht="12.75">
      <c r="D244" s="577" t="s">
        <v>599</v>
      </c>
      <c r="E244" s="577"/>
      <c r="F244" s="578" t="s">
        <v>566</v>
      </c>
      <c r="G244" s="579"/>
      <c r="H244" s="587">
        <v>0.088</v>
      </c>
      <c r="I244" s="621">
        <f>IF(I235&lt;H251,0,I238-I243)</f>
        <v>0</v>
      </c>
      <c r="J244" s="582">
        <f t="shared" si="42"/>
        <v>0</v>
      </c>
      <c r="K244" s="577"/>
      <c r="L244" s="587">
        <f t="shared" si="43"/>
        <v>0.088</v>
      </c>
      <c r="M244" s="642">
        <f>IF(M235&lt;L251,0,M235-M243)</f>
        <v>0</v>
      </c>
      <c r="N244" s="582">
        <f t="shared" si="44"/>
        <v>0</v>
      </c>
      <c r="O244" s="577"/>
      <c r="P244" s="584">
        <f t="shared" si="38"/>
        <v>0</v>
      </c>
      <c r="Q244" s="585">
        <f t="shared" si="39"/>
      </c>
    </row>
    <row r="245" spans="4:17" ht="13.5" thickBot="1">
      <c r="D245" s="590"/>
      <c r="E245" s="577"/>
      <c r="F245" s="578"/>
      <c r="G245" s="579"/>
      <c r="H245" s="587"/>
      <c r="I245" s="591"/>
      <c r="J245" s="582">
        <f t="shared" si="42"/>
        <v>0</v>
      </c>
      <c r="K245" s="577"/>
      <c r="L245" s="587"/>
      <c r="M245" s="592"/>
      <c r="N245" s="582">
        <f t="shared" si="44"/>
        <v>0</v>
      </c>
      <c r="O245" s="577"/>
      <c r="P245" s="584">
        <f t="shared" si="38"/>
        <v>0</v>
      </c>
      <c r="Q245" s="585">
        <f t="shared" si="39"/>
      </c>
    </row>
    <row r="246" spans="4:17" ht="13.5" thickBot="1">
      <c r="D246" s="623" t="s">
        <v>600</v>
      </c>
      <c r="E246" s="577"/>
      <c r="F246" s="577"/>
      <c r="G246" s="577"/>
      <c r="H246" s="624"/>
      <c r="I246" s="625"/>
      <c r="J246" s="612">
        <f>SUM(J237:J245)</f>
        <v>30.831341000000002</v>
      </c>
      <c r="K246" s="613"/>
      <c r="L246" s="626"/>
      <c r="M246" s="627"/>
      <c r="N246" s="612">
        <f>SUM(N237:N245)</f>
        <v>25.704889999999995</v>
      </c>
      <c r="O246" s="613"/>
      <c r="P246" s="616">
        <f t="shared" si="38"/>
        <v>-5.1264510000000065</v>
      </c>
      <c r="Q246" s="617">
        <f t="shared" si="39"/>
        <v>-0.16627401967368224</v>
      </c>
    </row>
    <row r="247" spans="4:17" ht="13.5" thickBot="1">
      <c r="D247" s="579" t="s">
        <v>601</v>
      </c>
      <c r="E247" s="577"/>
      <c r="F247" s="577"/>
      <c r="G247" s="577"/>
      <c r="H247" s="628">
        <v>0.13</v>
      </c>
      <c r="I247" s="629"/>
      <c r="J247" s="630">
        <f>J246*H247</f>
        <v>4.00807433</v>
      </c>
      <c r="K247" s="577"/>
      <c r="L247" s="628">
        <v>0.13</v>
      </c>
      <c r="M247" s="631"/>
      <c r="N247" s="630">
        <f>N246*L247</f>
        <v>3.3416356999999994</v>
      </c>
      <c r="O247" s="577"/>
      <c r="P247" s="584">
        <f t="shared" si="38"/>
        <v>-0.6664386300000009</v>
      </c>
      <c r="Q247" s="585">
        <f t="shared" si="39"/>
        <v>-0.16627401967368227</v>
      </c>
    </row>
    <row r="248" spans="4:17" ht="26.25" thickBot="1">
      <c r="D248" s="609" t="s">
        <v>602</v>
      </c>
      <c r="E248" s="577"/>
      <c r="F248" s="577"/>
      <c r="G248" s="577"/>
      <c r="H248" s="610"/>
      <c r="I248" s="611"/>
      <c r="J248" s="612">
        <f>ROUND(SUM(J246:J247),2)</f>
        <v>34.84</v>
      </c>
      <c r="K248" s="613"/>
      <c r="L248" s="614"/>
      <c r="M248" s="615"/>
      <c r="N248" s="612">
        <f>ROUND(SUM(N246:N247),2)</f>
        <v>29.05</v>
      </c>
      <c r="O248" s="613"/>
      <c r="P248" s="616">
        <f t="shared" si="38"/>
        <v>-5.790000000000003</v>
      </c>
      <c r="Q248" s="617">
        <f t="shared" si="39"/>
        <v>-0.16618828932261775</v>
      </c>
    </row>
    <row r="249" ht="12.75"/>
    <row r="250" spans="4:14" ht="12.75">
      <c r="D250" s="400" t="s">
        <v>605</v>
      </c>
      <c r="H250" s="634">
        <v>0.029900000000000038</v>
      </c>
      <c r="J250" s="635"/>
      <c r="L250" s="634">
        <v>0.034499999999999975</v>
      </c>
      <c r="N250" s="636"/>
    </row>
    <row r="251" spans="4:12" ht="12.75">
      <c r="D251" s="637" t="s">
        <v>606</v>
      </c>
      <c r="H251" s="638">
        <v>750</v>
      </c>
      <c r="L251" s="638">
        <f>H251</f>
        <v>750</v>
      </c>
    </row>
    <row r="252" ht="12.75">
      <c r="B252" s="400" t="s">
        <v>265</v>
      </c>
    </row>
    <row r="253" spans="2:17" ht="12.75">
      <c r="B253" s="1114"/>
      <c r="C253" s="1115"/>
      <c r="D253" s="1115"/>
      <c r="E253" s="1115"/>
      <c r="F253" s="1115"/>
      <c r="G253" s="1115"/>
      <c r="H253" s="1115"/>
      <c r="I253" s="1115"/>
      <c r="J253" s="1115"/>
      <c r="K253" s="1115"/>
      <c r="L253" s="1115"/>
      <c r="M253" s="1115"/>
      <c r="N253" s="1115"/>
      <c r="O253" s="1115"/>
      <c r="P253" s="1115"/>
      <c r="Q253" s="1116"/>
    </row>
    <row r="254" spans="2:17" ht="12.75">
      <c r="B254" s="1117"/>
      <c r="C254" s="1118"/>
      <c r="D254" s="1118"/>
      <c r="E254" s="1118"/>
      <c r="F254" s="1118"/>
      <c r="G254" s="1118"/>
      <c r="H254" s="1118"/>
      <c r="I254" s="1118"/>
      <c r="J254" s="1118"/>
      <c r="K254" s="1118"/>
      <c r="L254" s="1118"/>
      <c r="M254" s="1118"/>
      <c r="N254" s="1118"/>
      <c r="O254" s="1118"/>
      <c r="P254" s="1118"/>
      <c r="Q254" s="1119"/>
    </row>
    <row r="255" spans="2:17" ht="12.75">
      <c r="B255" s="1117"/>
      <c r="C255" s="1118"/>
      <c r="D255" s="1118"/>
      <c r="E255" s="1118"/>
      <c r="F255" s="1118"/>
      <c r="G255" s="1118"/>
      <c r="H255" s="1118"/>
      <c r="I255" s="1118"/>
      <c r="J255" s="1118"/>
      <c r="K255" s="1118"/>
      <c r="L255" s="1118"/>
      <c r="M255" s="1118"/>
      <c r="N255" s="1118"/>
      <c r="O255" s="1118"/>
      <c r="P255" s="1118"/>
      <c r="Q255" s="1119"/>
    </row>
    <row r="256" spans="2:17" ht="12.75">
      <c r="B256" s="1117"/>
      <c r="C256" s="1118"/>
      <c r="D256" s="1118"/>
      <c r="E256" s="1118"/>
      <c r="F256" s="1118"/>
      <c r="G256" s="1118"/>
      <c r="H256" s="1118"/>
      <c r="I256" s="1118"/>
      <c r="J256" s="1118"/>
      <c r="K256" s="1118"/>
      <c r="L256" s="1118"/>
      <c r="M256" s="1118"/>
      <c r="N256" s="1118"/>
      <c r="O256" s="1118"/>
      <c r="P256" s="1118"/>
      <c r="Q256" s="1119"/>
    </row>
    <row r="257" spans="2:17" ht="12.75">
      <c r="B257" s="1120"/>
      <c r="C257" s="1121"/>
      <c r="D257" s="1121"/>
      <c r="E257" s="1121"/>
      <c r="F257" s="1121"/>
      <c r="G257" s="1121"/>
      <c r="H257" s="1121"/>
      <c r="I257" s="1121"/>
      <c r="J257" s="1121"/>
      <c r="K257" s="1121"/>
      <c r="L257" s="1121"/>
      <c r="M257" s="1121"/>
      <c r="N257" s="1121"/>
      <c r="O257" s="1121"/>
      <c r="P257" s="1121"/>
      <c r="Q257" s="1122"/>
    </row>
    <row r="258" ht="12.75"/>
    <row r="259" ht="12.75"/>
    <row r="260" ht="12.75"/>
    <row r="261" ht="12.75"/>
    <row r="262" spans="2:17" ht="15.75">
      <c r="B262" s="562" t="s">
        <v>564</v>
      </c>
      <c r="D262" s="563" t="s">
        <v>565</v>
      </c>
      <c r="F262" s="1123" t="s">
        <v>613</v>
      </c>
      <c r="G262" s="1123"/>
      <c r="H262" s="1123"/>
      <c r="I262" s="1123"/>
      <c r="J262" s="1123"/>
      <c r="K262" s="1123"/>
      <c r="L262" s="1123"/>
      <c r="M262" s="1123"/>
      <c r="N262" s="1123"/>
      <c r="O262" s="1123"/>
      <c r="P262" s="1123"/>
      <c r="Q262" s="1123"/>
    </row>
    <row r="263" spans="2:17" ht="15.75">
      <c r="B263" s="562"/>
      <c r="D263" s="564"/>
      <c r="F263" s="565"/>
      <c r="G263" s="565"/>
      <c r="H263" s="565"/>
      <c r="I263" s="565"/>
      <c r="J263" s="565"/>
      <c r="K263" s="565"/>
      <c r="L263" s="565"/>
      <c r="M263" s="565"/>
      <c r="N263" s="565"/>
      <c r="O263" s="565"/>
      <c r="P263" s="565"/>
      <c r="Q263" s="565"/>
    </row>
    <row r="264" spans="2:9" ht="12.75">
      <c r="B264" s="562" t="s">
        <v>566</v>
      </c>
      <c r="F264" s="400" t="s">
        <v>567</v>
      </c>
      <c r="G264" s="400"/>
      <c r="H264" s="643">
        <v>180</v>
      </c>
      <c r="I264" s="569" t="s">
        <v>568</v>
      </c>
    </row>
    <row r="265" spans="2:9" ht="12.75">
      <c r="B265" s="562" t="s">
        <v>569</v>
      </c>
      <c r="F265" s="400" t="s">
        <v>610</v>
      </c>
      <c r="H265" s="654">
        <v>1</v>
      </c>
      <c r="I265" s="569" t="s">
        <v>554</v>
      </c>
    </row>
    <row r="266" spans="2:17" ht="12.75">
      <c r="B266" s="567"/>
      <c r="F266" s="568"/>
      <c r="G266" s="568"/>
      <c r="H266" s="1124" t="s">
        <v>570</v>
      </c>
      <c r="I266" s="1125"/>
      <c r="J266" s="1126"/>
      <c r="L266" s="1124" t="s">
        <v>571</v>
      </c>
      <c r="M266" s="1125"/>
      <c r="N266" s="1126"/>
      <c r="P266" s="1124" t="s">
        <v>572</v>
      </c>
      <c r="Q266" s="1126"/>
    </row>
    <row r="267" spans="2:17" ht="12.75">
      <c r="B267" s="567"/>
      <c r="F267" s="1108" t="s">
        <v>573</v>
      </c>
      <c r="G267" s="569"/>
      <c r="H267" s="570" t="s">
        <v>574</v>
      </c>
      <c r="I267" s="570" t="s">
        <v>575</v>
      </c>
      <c r="J267" s="571" t="s">
        <v>576</v>
      </c>
      <c r="L267" s="570" t="s">
        <v>574</v>
      </c>
      <c r="M267" s="572" t="s">
        <v>575</v>
      </c>
      <c r="N267" s="571" t="s">
        <v>576</v>
      </c>
      <c r="P267" s="1110" t="s">
        <v>577</v>
      </c>
      <c r="Q267" s="1112" t="s">
        <v>578</v>
      </c>
    </row>
    <row r="268" spans="2:17" ht="12.75">
      <c r="B268" s="567"/>
      <c r="F268" s="1109"/>
      <c r="G268" s="569"/>
      <c r="H268" s="573" t="s">
        <v>410</v>
      </c>
      <c r="I268" s="573"/>
      <c r="J268" s="574" t="s">
        <v>410</v>
      </c>
      <c r="L268" s="573" t="s">
        <v>410</v>
      </c>
      <c r="M268" s="574"/>
      <c r="N268" s="574" t="s">
        <v>410</v>
      </c>
      <c r="P268" s="1111"/>
      <c r="Q268" s="1113"/>
    </row>
    <row r="269" spans="1:17" ht="12.75">
      <c r="A269" s="575"/>
      <c r="B269" s="576"/>
      <c r="D269" s="577" t="s">
        <v>555</v>
      </c>
      <c r="E269" s="577"/>
      <c r="F269" s="578" t="s">
        <v>564</v>
      </c>
      <c r="G269" s="579"/>
      <c r="H269" s="580">
        <v>2</v>
      </c>
      <c r="I269" s="581">
        <v>1</v>
      </c>
      <c r="J269" s="582">
        <f aca="true" t="shared" si="45" ref="J269:J283">I269*H269</f>
        <v>2</v>
      </c>
      <c r="K269" s="577"/>
      <c r="L269" s="580">
        <v>3.51</v>
      </c>
      <c r="M269" s="583">
        <v>1</v>
      </c>
      <c r="N269" s="582">
        <f aca="true" t="shared" si="46" ref="N269:N283">M269*L269</f>
        <v>3.51</v>
      </c>
      <c r="O269" s="577"/>
      <c r="P269" s="584">
        <f aca="true" t="shared" si="47" ref="P269:P298">N269-J269</f>
        <v>1.5099999999999998</v>
      </c>
      <c r="Q269" s="585">
        <f aca="true" t="shared" si="48" ref="Q269:Q298">IF((J269)=0,"",(P269/J269))</f>
        <v>0.7549999999999999</v>
      </c>
    </row>
    <row r="270" spans="1:17" ht="12.75">
      <c r="A270" s="575"/>
      <c r="B270" s="576"/>
      <c r="D270" s="577" t="s">
        <v>579</v>
      </c>
      <c r="E270" s="577"/>
      <c r="F270" s="578" t="s">
        <v>564</v>
      </c>
      <c r="G270" s="579"/>
      <c r="H270" s="587">
        <v>0</v>
      </c>
      <c r="I270" s="581">
        <v>1</v>
      </c>
      <c r="J270" s="582">
        <f t="shared" si="45"/>
        <v>0</v>
      </c>
      <c r="K270" s="577"/>
      <c r="L270" s="587">
        <v>0</v>
      </c>
      <c r="M270" s="583">
        <v>1</v>
      </c>
      <c r="N270" s="582">
        <f t="shared" si="46"/>
        <v>0</v>
      </c>
      <c r="O270" s="577"/>
      <c r="P270" s="584">
        <f t="shared" si="47"/>
        <v>0</v>
      </c>
      <c r="Q270" s="585">
        <f t="shared" si="48"/>
      </c>
    </row>
    <row r="271" spans="1:17" ht="12.75">
      <c r="A271" s="575"/>
      <c r="B271" s="576"/>
      <c r="D271" s="644" t="s">
        <v>580</v>
      </c>
      <c r="E271" s="577"/>
      <c r="F271" s="578" t="s">
        <v>564</v>
      </c>
      <c r="G271" s="579"/>
      <c r="H271" s="587">
        <v>0</v>
      </c>
      <c r="I271" s="581">
        <v>1</v>
      </c>
      <c r="J271" s="582">
        <f t="shared" si="45"/>
        <v>0</v>
      </c>
      <c r="K271" s="577"/>
      <c r="L271" s="580">
        <v>0.2</v>
      </c>
      <c r="M271" s="583">
        <v>1</v>
      </c>
      <c r="N271" s="582">
        <f t="shared" si="46"/>
        <v>0.2</v>
      </c>
      <c r="O271" s="577"/>
      <c r="P271" s="584">
        <f t="shared" si="47"/>
        <v>0.2</v>
      </c>
      <c r="Q271" s="585">
        <f t="shared" si="48"/>
      </c>
    </row>
    <row r="272" spans="1:17" ht="12.75">
      <c r="A272" s="575"/>
      <c r="B272" s="576"/>
      <c r="D272" s="577" t="s">
        <v>581</v>
      </c>
      <c r="E272" s="577"/>
      <c r="F272" s="578" t="s">
        <v>564</v>
      </c>
      <c r="G272" s="579"/>
      <c r="H272" s="587">
        <v>0</v>
      </c>
      <c r="I272" s="581">
        <v>1</v>
      </c>
      <c r="J272" s="582">
        <f t="shared" si="45"/>
        <v>0</v>
      </c>
      <c r="K272" s="577"/>
      <c r="L272" s="587">
        <v>0</v>
      </c>
      <c r="M272" s="583">
        <v>1</v>
      </c>
      <c r="N272" s="582">
        <f t="shared" si="46"/>
        <v>0</v>
      </c>
      <c r="O272" s="577"/>
      <c r="P272" s="584">
        <f t="shared" si="47"/>
        <v>0</v>
      </c>
      <c r="Q272" s="585">
        <f t="shared" si="48"/>
      </c>
    </row>
    <row r="273" spans="1:17" ht="12.75">
      <c r="A273" s="575"/>
      <c r="B273" s="576"/>
      <c r="D273" s="577" t="s">
        <v>582</v>
      </c>
      <c r="E273" s="577"/>
      <c r="F273" s="578" t="s">
        <v>569</v>
      </c>
      <c r="G273" s="579"/>
      <c r="H273" s="587">
        <v>9.3917</v>
      </c>
      <c r="I273" s="655">
        <f>H265</f>
        <v>1</v>
      </c>
      <c r="J273" s="582">
        <f t="shared" si="45"/>
        <v>9.3917</v>
      </c>
      <c r="K273" s="577"/>
      <c r="L273" s="587">
        <v>8.7473</v>
      </c>
      <c r="M273" s="656">
        <f>H265</f>
        <v>1</v>
      </c>
      <c r="N273" s="582">
        <f t="shared" si="46"/>
        <v>8.7473</v>
      </c>
      <c r="O273" s="577"/>
      <c r="P273" s="584">
        <f t="shared" si="47"/>
        <v>-0.644400000000001</v>
      </c>
      <c r="Q273" s="585">
        <f t="shared" si="48"/>
        <v>-0.06861377599369667</v>
      </c>
    </row>
    <row r="274" spans="1:17" ht="12.75">
      <c r="A274" s="575"/>
      <c r="B274" s="576"/>
      <c r="D274" s="577" t="s">
        <v>583</v>
      </c>
      <c r="E274" s="577"/>
      <c r="F274" s="578" t="s">
        <v>569</v>
      </c>
      <c r="G274" s="579"/>
      <c r="H274" s="587">
        <v>0.0401</v>
      </c>
      <c r="I274" s="655">
        <f aca="true" t="shared" si="49" ref="I274:I279">I273</f>
        <v>1</v>
      </c>
      <c r="J274" s="582">
        <f t="shared" si="45"/>
        <v>0.0401</v>
      </c>
      <c r="K274" s="577"/>
      <c r="L274" s="587">
        <v>0.1033</v>
      </c>
      <c r="M274" s="656">
        <f aca="true" t="shared" si="50" ref="M274:M279">M273</f>
        <v>1</v>
      </c>
      <c r="N274" s="582">
        <f t="shared" si="46"/>
        <v>0.1033</v>
      </c>
      <c r="O274" s="577"/>
      <c r="P274" s="584">
        <f t="shared" si="47"/>
        <v>0.0632</v>
      </c>
      <c r="Q274" s="585">
        <f t="shared" si="48"/>
        <v>1.576059850374065</v>
      </c>
    </row>
    <row r="275" spans="1:17" ht="12.75">
      <c r="A275" s="575"/>
      <c r="B275" s="576"/>
      <c r="D275" s="577" t="s">
        <v>584</v>
      </c>
      <c r="E275" s="577"/>
      <c r="F275" s="578" t="s">
        <v>569</v>
      </c>
      <c r="G275" s="579"/>
      <c r="H275" s="587">
        <v>0</v>
      </c>
      <c r="I275" s="655">
        <f t="shared" si="49"/>
        <v>1</v>
      </c>
      <c r="J275" s="582">
        <f t="shared" si="45"/>
        <v>0</v>
      </c>
      <c r="K275" s="577"/>
      <c r="L275" s="587">
        <v>0</v>
      </c>
      <c r="M275" s="656">
        <f t="shared" si="50"/>
        <v>1</v>
      </c>
      <c r="N275" s="582">
        <f t="shared" si="46"/>
        <v>0</v>
      </c>
      <c r="O275" s="577"/>
      <c r="P275" s="584">
        <f t="shared" si="47"/>
        <v>0</v>
      </c>
      <c r="Q275" s="585">
        <f t="shared" si="48"/>
      </c>
    </row>
    <row r="276" spans="1:17" ht="12.75">
      <c r="A276" s="657"/>
      <c r="B276" s="576"/>
      <c r="D276" s="577" t="s">
        <v>585</v>
      </c>
      <c r="E276" s="577"/>
      <c r="F276" s="578" t="s">
        <v>569</v>
      </c>
      <c r="G276" s="579"/>
      <c r="H276" s="587">
        <v>-0.1458</v>
      </c>
      <c r="I276" s="655">
        <f t="shared" si="49"/>
        <v>1</v>
      </c>
      <c r="J276" s="582">
        <f t="shared" si="45"/>
        <v>-0.1458</v>
      </c>
      <c r="K276" s="577"/>
      <c r="L276" s="587">
        <v>0</v>
      </c>
      <c r="M276" s="656">
        <f t="shared" si="50"/>
        <v>1</v>
      </c>
      <c r="N276" s="582">
        <f t="shared" si="46"/>
        <v>0</v>
      </c>
      <c r="O276" s="577"/>
      <c r="P276" s="584">
        <f t="shared" si="47"/>
        <v>0.1458</v>
      </c>
      <c r="Q276" s="585">
        <f t="shared" si="48"/>
        <v>-1</v>
      </c>
    </row>
    <row r="277" spans="1:17" ht="12.75">
      <c r="A277" s="575"/>
      <c r="B277" s="576"/>
      <c r="D277" s="577" t="s">
        <v>586</v>
      </c>
      <c r="E277" s="577"/>
      <c r="F277" s="578" t="s">
        <v>569</v>
      </c>
      <c r="G277" s="579"/>
      <c r="H277" s="587">
        <v>0</v>
      </c>
      <c r="I277" s="655">
        <f t="shared" si="49"/>
        <v>1</v>
      </c>
      <c r="J277" s="582">
        <f t="shared" si="45"/>
        <v>0</v>
      </c>
      <c r="K277" s="577"/>
      <c r="L277" s="587">
        <v>0</v>
      </c>
      <c r="M277" s="656">
        <f t="shared" si="50"/>
        <v>1</v>
      </c>
      <c r="N277" s="582">
        <f t="shared" si="46"/>
        <v>0</v>
      </c>
      <c r="O277" s="577"/>
      <c r="P277" s="584">
        <f t="shared" si="47"/>
        <v>0</v>
      </c>
      <c r="Q277" s="585">
        <f t="shared" si="48"/>
      </c>
    </row>
    <row r="278" spans="1:17" ht="12.75">
      <c r="A278" s="575"/>
      <c r="B278" s="576"/>
      <c r="D278" s="577" t="s">
        <v>587</v>
      </c>
      <c r="E278" s="577"/>
      <c r="F278" s="578" t="s">
        <v>569</v>
      </c>
      <c r="G278" s="579"/>
      <c r="H278" s="587">
        <v>0</v>
      </c>
      <c r="I278" s="655">
        <f t="shared" si="49"/>
        <v>1</v>
      </c>
      <c r="J278" s="582">
        <f t="shared" si="45"/>
        <v>0</v>
      </c>
      <c r="K278" s="577"/>
      <c r="L278" s="587">
        <v>0</v>
      </c>
      <c r="M278" s="656">
        <f t="shared" si="50"/>
        <v>1</v>
      </c>
      <c r="N278" s="582">
        <f t="shared" si="46"/>
        <v>0</v>
      </c>
      <c r="O278" s="577"/>
      <c r="P278" s="584">
        <f t="shared" si="47"/>
        <v>0</v>
      </c>
      <c r="Q278" s="585">
        <f t="shared" si="48"/>
      </c>
    </row>
    <row r="279" spans="1:17" ht="25.5">
      <c r="A279" s="588"/>
      <c r="B279" s="576"/>
      <c r="D279" s="589" t="s">
        <v>588</v>
      </c>
      <c r="E279" s="577"/>
      <c r="F279" s="578" t="s">
        <v>569</v>
      </c>
      <c r="G279" s="579"/>
      <c r="H279" s="587">
        <v>0</v>
      </c>
      <c r="I279" s="655">
        <f t="shared" si="49"/>
        <v>1</v>
      </c>
      <c r="J279" s="582">
        <f t="shared" si="45"/>
        <v>0</v>
      </c>
      <c r="K279" s="577"/>
      <c r="L279" s="587">
        <v>-0.7433</v>
      </c>
      <c r="M279" s="656">
        <f t="shared" si="50"/>
        <v>1</v>
      </c>
      <c r="N279" s="582">
        <f t="shared" si="46"/>
        <v>-0.7433</v>
      </c>
      <c r="O279" s="577"/>
      <c r="P279" s="584">
        <f t="shared" si="47"/>
        <v>-0.7433</v>
      </c>
      <c r="Q279" s="585">
        <f t="shared" si="48"/>
      </c>
    </row>
    <row r="280" spans="1:17" ht="12.75">
      <c r="A280" s="588"/>
      <c r="D280" s="589"/>
      <c r="E280" s="577"/>
      <c r="F280" s="578"/>
      <c r="G280" s="579"/>
      <c r="H280" s="587"/>
      <c r="I280" s="646"/>
      <c r="J280" s="582">
        <f t="shared" si="45"/>
        <v>0</v>
      </c>
      <c r="K280" s="577"/>
      <c r="L280" s="587"/>
      <c r="M280" s="656"/>
      <c r="N280" s="582">
        <f t="shared" si="46"/>
        <v>0</v>
      </c>
      <c r="O280" s="577"/>
      <c r="P280" s="584">
        <f t="shared" si="47"/>
        <v>0</v>
      </c>
      <c r="Q280" s="585">
        <f t="shared" si="48"/>
      </c>
    </row>
    <row r="281" spans="4:17" ht="12.75">
      <c r="D281" s="590"/>
      <c r="E281" s="577"/>
      <c r="F281" s="578"/>
      <c r="G281" s="579"/>
      <c r="H281" s="587"/>
      <c r="I281" s="646"/>
      <c r="J281" s="582">
        <f t="shared" si="45"/>
        <v>0</v>
      </c>
      <c r="K281" s="577"/>
      <c r="L281" s="587"/>
      <c r="M281" s="647"/>
      <c r="N281" s="582">
        <f t="shared" si="46"/>
        <v>0</v>
      </c>
      <c r="O281" s="577"/>
      <c r="P281" s="584">
        <f t="shared" si="47"/>
        <v>0</v>
      </c>
      <c r="Q281" s="585">
        <f t="shared" si="48"/>
      </c>
    </row>
    <row r="282" spans="4:17" ht="12.75">
      <c r="D282" s="590"/>
      <c r="E282" s="577"/>
      <c r="F282" s="578"/>
      <c r="G282" s="579"/>
      <c r="H282" s="587"/>
      <c r="I282" s="646"/>
      <c r="J282" s="582">
        <f t="shared" si="45"/>
        <v>0</v>
      </c>
      <c r="K282" s="577"/>
      <c r="L282" s="587"/>
      <c r="M282" s="647"/>
      <c r="N282" s="582">
        <f t="shared" si="46"/>
        <v>0</v>
      </c>
      <c r="O282" s="577"/>
      <c r="P282" s="584">
        <f t="shared" si="47"/>
        <v>0</v>
      </c>
      <c r="Q282" s="585">
        <f t="shared" si="48"/>
      </c>
    </row>
    <row r="283" spans="4:17" ht="13.5" thickBot="1">
      <c r="D283" s="590"/>
      <c r="E283" s="577"/>
      <c r="F283" s="578"/>
      <c r="G283" s="579"/>
      <c r="H283" s="587"/>
      <c r="I283" s="646"/>
      <c r="J283" s="582">
        <f t="shared" si="45"/>
        <v>0</v>
      </c>
      <c r="K283" s="577"/>
      <c r="L283" s="587"/>
      <c r="M283" s="647"/>
      <c r="N283" s="582">
        <f t="shared" si="46"/>
        <v>0</v>
      </c>
      <c r="O283" s="577"/>
      <c r="P283" s="584">
        <f t="shared" si="47"/>
        <v>0</v>
      </c>
      <c r="Q283" s="585">
        <f t="shared" si="48"/>
      </c>
    </row>
    <row r="284" spans="4:17" ht="13.5" thickBot="1">
      <c r="D284" s="400" t="s">
        <v>589</v>
      </c>
      <c r="G284" s="551"/>
      <c r="H284" s="593"/>
      <c r="I284" s="648"/>
      <c r="J284" s="595">
        <f>SUM(J269:J283)</f>
        <v>11.286000000000001</v>
      </c>
      <c r="L284" s="593"/>
      <c r="M284" s="649"/>
      <c r="N284" s="595">
        <f>SUM(N269:N283)</f>
        <v>11.817300000000001</v>
      </c>
      <c r="P284" s="597">
        <f t="shared" si="47"/>
        <v>0.5312999999999999</v>
      </c>
      <c r="Q284" s="598">
        <f t="shared" si="48"/>
        <v>0.04707602339181285</v>
      </c>
    </row>
    <row r="285" spans="4:17" ht="12.75">
      <c r="D285" s="599" t="s">
        <v>590</v>
      </c>
      <c r="E285" s="599"/>
      <c r="F285" s="600" t="s">
        <v>569</v>
      </c>
      <c r="G285" s="601"/>
      <c r="H285" s="602">
        <v>2.0378</v>
      </c>
      <c r="I285" s="658">
        <f>H265</f>
        <v>1</v>
      </c>
      <c r="J285" s="604">
        <f>I285*H285</f>
        <v>2.0378</v>
      </c>
      <c r="K285" s="599"/>
      <c r="L285" s="602">
        <v>2.0118</v>
      </c>
      <c r="M285" s="659">
        <f>H265</f>
        <v>1</v>
      </c>
      <c r="N285" s="604">
        <f>M285*L285</f>
        <v>2.0118</v>
      </c>
      <c r="O285" s="599"/>
      <c r="P285" s="606">
        <f t="shared" si="47"/>
        <v>-0.0259999999999998</v>
      </c>
      <c r="Q285" s="607">
        <f t="shared" si="48"/>
        <v>-0.01275885759152017</v>
      </c>
    </row>
    <row r="286" spans="4:17" ht="26.25" thickBot="1">
      <c r="D286" s="608" t="s">
        <v>591</v>
      </c>
      <c r="E286" s="599"/>
      <c r="F286" s="600" t="s">
        <v>569</v>
      </c>
      <c r="G286" s="601"/>
      <c r="H286" s="602">
        <v>0.8272</v>
      </c>
      <c r="I286" s="658">
        <f>I285</f>
        <v>1</v>
      </c>
      <c r="J286" s="604">
        <f>I286*H286</f>
        <v>0.8272</v>
      </c>
      <c r="K286" s="599"/>
      <c r="L286" s="602">
        <v>0.8084</v>
      </c>
      <c r="M286" s="659">
        <f>M285</f>
        <v>1</v>
      </c>
      <c r="N286" s="604">
        <f>M286*L286</f>
        <v>0.8084</v>
      </c>
      <c r="O286" s="599"/>
      <c r="P286" s="606">
        <f t="shared" si="47"/>
        <v>-0.01880000000000004</v>
      </c>
      <c r="Q286" s="607">
        <f t="shared" si="48"/>
        <v>-0.022727272727272773</v>
      </c>
    </row>
    <row r="287" spans="4:17" ht="26.25" thickBot="1">
      <c r="D287" s="609" t="s">
        <v>592</v>
      </c>
      <c r="E287" s="577"/>
      <c r="F287" s="577"/>
      <c r="G287" s="579"/>
      <c r="H287" s="610"/>
      <c r="I287" s="650"/>
      <c r="J287" s="612">
        <f>SUM(J284:J286)</f>
        <v>14.151000000000002</v>
      </c>
      <c r="K287" s="613"/>
      <c r="L287" s="614"/>
      <c r="M287" s="651"/>
      <c r="N287" s="612">
        <f>SUM(N284:N286)</f>
        <v>14.637500000000001</v>
      </c>
      <c r="O287" s="613"/>
      <c r="P287" s="616">
        <f t="shared" si="47"/>
        <v>0.4864999999999995</v>
      </c>
      <c r="Q287" s="617">
        <f t="shared" si="48"/>
        <v>0.03437919581655003</v>
      </c>
    </row>
    <row r="288" spans="4:17" ht="25.5">
      <c r="D288" s="589" t="s">
        <v>593</v>
      </c>
      <c r="E288" s="577"/>
      <c r="F288" s="578" t="s">
        <v>566</v>
      </c>
      <c r="G288" s="579"/>
      <c r="H288" s="587">
        <v>0.0052</v>
      </c>
      <c r="I288" s="581">
        <f>H264*(1+H300)</f>
        <v>185.382</v>
      </c>
      <c r="J288" s="582">
        <f aca="true" t="shared" si="51" ref="J288:J295">I288*H288</f>
        <v>0.9639864</v>
      </c>
      <c r="K288" s="577"/>
      <c r="L288" s="587">
        <f aca="true" t="shared" si="52" ref="L288:L294">H288</f>
        <v>0.0052</v>
      </c>
      <c r="M288" s="583">
        <f>H264*(1+L300)</f>
        <v>186.21</v>
      </c>
      <c r="N288" s="582">
        <f aca="true" t="shared" si="53" ref="N288:N295">M288*L288</f>
        <v>0.968292</v>
      </c>
      <c r="O288" s="577"/>
      <c r="P288" s="584">
        <f t="shared" si="47"/>
        <v>0.0043056000000000205</v>
      </c>
      <c r="Q288" s="585">
        <f t="shared" si="48"/>
        <v>0.0044664530536945544</v>
      </c>
    </row>
    <row r="289" spans="4:17" ht="25.5">
      <c r="D289" s="589" t="s">
        <v>594</v>
      </c>
      <c r="E289" s="577"/>
      <c r="F289" s="578" t="s">
        <v>566</v>
      </c>
      <c r="G289" s="579"/>
      <c r="H289" s="587">
        <v>0.0011</v>
      </c>
      <c r="I289" s="581">
        <f>I288</f>
        <v>185.382</v>
      </c>
      <c r="J289" s="582">
        <f t="shared" si="51"/>
        <v>0.20392020000000002</v>
      </c>
      <c r="K289" s="577"/>
      <c r="L289" s="587">
        <f t="shared" si="52"/>
        <v>0.0011</v>
      </c>
      <c r="M289" s="583">
        <f>M288</f>
        <v>186.21</v>
      </c>
      <c r="N289" s="582">
        <f t="shared" si="53"/>
        <v>0.204831</v>
      </c>
      <c r="O289" s="577"/>
      <c r="P289" s="584">
        <f t="shared" si="47"/>
        <v>0.0009107999999999894</v>
      </c>
      <c r="Q289" s="585">
        <f t="shared" si="48"/>
        <v>0.004466453053694481</v>
      </c>
    </row>
    <row r="290" spans="4:17" ht="12.75">
      <c r="D290" s="589" t="s">
        <v>595</v>
      </c>
      <c r="E290" s="577"/>
      <c r="F290" s="578" t="s">
        <v>566</v>
      </c>
      <c r="G290" s="579"/>
      <c r="H290" s="587">
        <v>0</v>
      </c>
      <c r="I290" s="581">
        <f>I288</f>
        <v>185.382</v>
      </c>
      <c r="J290" s="582">
        <f t="shared" si="51"/>
        <v>0</v>
      </c>
      <c r="K290" s="577"/>
      <c r="L290" s="587">
        <f t="shared" si="52"/>
        <v>0</v>
      </c>
      <c r="M290" s="583">
        <f>M288</f>
        <v>186.21</v>
      </c>
      <c r="N290" s="582">
        <f t="shared" si="53"/>
        <v>0</v>
      </c>
      <c r="O290" s="577"/>
      <c r="P290" s="584">
        <f t="shared" si="47"/>
        <v>0</v>
      </c>
      <c r="Q290" s="585">
        <f t="shared" si="48"/>
      </c>
    </row>
    <row r="291" spans="4:17" ht="12.75">
      <c r="D291" s="577" t="s">
        <v>596</v>
      </c>
      <c r="E291" s="577"/>
      <c r="F291" s="578" t="s">
        <v>564</v>
      </c>
      <c r="G291" s="579"/>
      <c r="H291" s="587">
        <v>0.25</v>
      </c>
      <c r="I291" s="581">
        <v>1</v>
      </c>
      <c r="J291" s="582">
        <f t="shared" si="51"/>
        <v>0.25</v>
      </c>
      <c r="K291" s="577"/>
      <c r="L291" s="587">
        <f t="shared" si="52"/>
        <v>0.25</v>
      </c>
      <c r="M291" s="583">
        <v>1</v>
      </c>
      <c r="N291" s="582">
        <f t="shared" si="53"/>
        <v>0.25</v>
      </c>
      <c r="O291" s="577"/>
      <c r="P291" s="584">
        <f t="shared" si="47"/>
        <v>0</v>
      </c>
      <c r="Q291" s="585">
        <f t="shared" si="48"/>
        <v>0</v>
      </c>
    </row>
    <row r="292" spans="4:17" ht="12.75">
      <c r="D292" s="577" t="s">
        <v>597</v>
      </c>
      <c r="E292" s="577"/>
      <c r="F292" s="578" t="s">
        <v>566</v>
      </c>
      <c r="G292" s="579"/>
      <c r="H292" s="587">
        <v>0.007</v>
      </c>
      <c r="I292" s="581">
        <f>H264</f>
        <v>180</v>
      </c>
      <c r="J292" s="582">
        <f t="shared" si="51"/>
        <v>1.26</v>
      </c>
      <c r="K292" s="577"/>
      <c r="L292" s="587">
        <f t="shared" si="52"/>
        <v>0.007</v>
      </c>
      <c r="M292" s="583">
        <f>H264</f>
        <v>180</v>
      </c>
      <c r="N292" s="582">
        <f t="shared" si="53"/>
        <v>1.26</v>
      </c>
      <c r="O292" s="577"/>
      <c r="P292" s="584">
        <f t="shared" si="47"/>
        <v>0</v>
      </c>
      <c r="Q292" s="585">
        <f t="shared" si="48"/>
        <v>0</v>
      </c>
    </row>
    <row r="293" spans="4:17" ht="12.75">
      <c r="D293" s="577" t="s">
        <v>598</v>
      </c>
      <c r="E293" s="577"/>
      <c r="F293" s="578" t="s">
        <v>566</v>
      </c>
      <c r="G293" s="579"/>
      <c r="H293" s="587">
        <v>0.075</v>
      </c>
      <c r="I293" s="581">
        <f>IF(I288&lt;H301,I288,H301)</f>
        <v>185.382</v>
      </c>
      <c r="J293" s="582">
        <f t="shared" si="51"/>
        <v>13.90365</v>
      </c>
      <c r="K293" s="577"/>
      <c r="L293" s="587">
        <f t="shared" si="52"/>
        <v>0.075</v>
      </c>
      <c r="M293" s="583">
        <f>IF(M288&lt;L301,M288,L301)</f>
        <v>186.21</v>
      </c>
      <c r="N293" s="582">
        <f t="shared" si="53"/>
        <v>13.96575</v>
      </c>
      <c r="O293" s="577"/>
      <c r="P293" s="584">
        <f t="shared" si="47"/>
        <v>0.062099999999999156</v>
      </c>
      <c r="Q293" s="585">
        <f t="shared" si="48"/>
        <v>0.004466453053694473</v>
      </c>
    </row>
    <row r="294" spans="4:17" ht="12.75">
      <c r="D294" s="577" t="s">
        <v>599</v>
      </c>
      <c r="E294" s="577"/>
      <c r="F294" s="578" t="s">
        <v>566</v>
      </c>
      <c r="G294" s="579"/>
      <c r="H294" s="587">
        <v>0.088</v>
      </c>
      <c r="I294" s="621">
        <f>IF(I288&lt;H301,0,I288-I293)</f>
        <v>0</v>
      </c>
      <c r="J294" s="582">
        <f t="shared" si="51"/>
        <v>0</v>
      </c>
      <c r="K294" s="577"/>
      <c r="L294" s="587">
        <f t="shared" si="52"/>
        <v>0.088</v>
      </c>
      <c r="M294" s="642">
        <f>IF(M288&lt;L301,0,M288-M293)</f>
        <v>0</v>
      </c>
      <c r="N294" s="582">
        <f t="shared" si="53"/>
        <v>0</v>
      </c>
      <c r="O294" s="577"/>
      <c r="P294" s="584">
        <f t="shared" si="47"/>
        <v>0</v>
      </c>
      <c r="Q294" s="585">
        <f t="shared" si="48"/>
      </c>
    </row>
    <row r="295" spans="4:17" ht="13.5" thickBot="1">
      <c r="D295" s="590"/>
      <c r="E295" s="577"/>
      <c r="F295" s="578"/>
      <c r="G295" s="579"/>
      <c r="H295" s="587"/>
      <c r="I295" s="646"/>
      <c r="J295" s="582">
        <f t="shared" si="51"/>
        <v>0</v>
      </c>
      <c r="K295" s="577"/>
      <c r="L295" s="587"/>
      <c r="M295" s="647"/>
      <c r="N295" s="582">
        <f t="shared" si="53"/>
        <v>0</v>
      </c>
      <c r="O295" s="577"/>
      <c r="P295" s="584">
        <f t="shared" si="47"/>
        <v>0</v>
      </c>
      <c r="Q295" s="585">
        <f t="shared" si="48"/>
      </c>
    </row>
    <row r="296" spans="4:17" ht="13.5" thickBot="1">
      <c r="D296" s="623" t="s">
        <v>600</v>
      </c>
      <c r="E296" s="577"/>
      <c r="F296" s="577"/>
      <c r="G296" s="577"/>
      <c r="H296" s="624"/>
      <c r="I296" s="625"/>
      <c r="J296" s="612">
        <f>SUM(J287:J295)</f>
        <v>30.732556600000002</v>
      </c>
      <c r="K296" s="613"/>
      <c r="L296" s="626"/>
      <c r="M296" s="651"/>
      <c r="N296" s="612">
        <f>SUM(N287:N295)</f>
        <v>31.286373</v>
      </c>
      <c r="O296" s="613"/>
      <c r="P296" s="616">
        <f t="shared" si="47"/>
        <v>0.5538163999999988</v>
      </c>
      <c r="Q296" s="617">
        <f t="shared" si="48"/>
        <v>0.01802051183727418</v>
      </c>
    </row>
    <row r="297" spans="4:17" ht="13.5" thickBot="1">
      <c r="D297" s="579" t="s">
        <v>601</v>
      </c>
      <c r="E297" s="577"/>
      <c r="F297" s="577"/>
      <c r="G297" s="577"/>
      <c r="H297" s="628">
        <v>0.13</v>
      </c>
      <c r="I297" s="629"/>
      <c r="J297" s="630">
        <f>J296*H297</f>
        <v>3.9952323580000004</v>
      </c>
      <c r="K297" s="577"/>
      <c r="L297" s="628">
        <v>0.13</v>
      </c>
      <c r="M297" s="652"/>
      <c r="N297" s="630">
        <f>N296*L297</f>
        <v>4.067228490000001</v>
      </c>
      <c r="O297" s="577"/>
      <c r="P297" s="584">
        <f t="shared" si="47"/>
        <v>0.07199613200000021</v>
      </c>
      <c r="Q297" s="585">
        <f t="shared" si="48"/>
        <v>0.018020511837274274</v>
      </c>
    </row>
    <row r="298" spans="4:17" ht="26.25" thickBot="1">
      <c r="D298" s="609" t="s">
        <v>602</v>
      </c>
      <c r="E298" s="577"/>
      <c r="F298" s="577"/>
      <c r="G298" s="577"/>
      <c r="H298" s="610"/>
      <c r="I298" s="611"/>
      <c r="J298" s="612">
        <f>ROUND(SUM(J296:J297),2)</f>
        <v>34.73</v>
      </c>
      <c r="K298" s="613"/>
      <c r="L298" s="614"/>
      <c r="M298" s="651"/>
      <c r="N298" s="612">
        <f>ROUND(SUM(N296:N297),2)</f>
        <v>35.35</v>
      </c>
      <c r="O298" s="613"/>
      <c r="P298" s="616">
        <f t="shared" si="47"/>
        <v>0.6200000000000045</v>
      </c>
      <c r="Q298" s="617">
        <f t="shared" si="48"/>
        <v>0.017852001151742142</v>
      </c>
    </row>
    <row r="299" ht="12.75"/>
    <row r="300" spans="4:14" ht="12.75">
      <c r="D300" s="400" t="s">
        <v>605</v>
      </c>
      <c r="H300" s="634">
        <v>0.029900000000000038</v>
      </c>
      <c r="J300" s="635"/>
      <c r="L300" s="634">
        <v>0.034499999999999975</v>
      </c>
      <c r="N300" s="636"/>
    </row>
    <row r="301" spans="4:12" ht="12.75">
      <c r="D301" s="637" t="s">
        <v>606</v>
      </c>
      <c r="H301" s="638">
        <v>750</v>
      </c>
      <c r="L301" s="638">
        <f>H301</f>
        <v>750</v>
      </c>
    </row>
    <row r="302" ht="12.75">
      <c r="B302" s="400" t="s">
        <v>265</v>
      </c>
    </row>
    <row r="303" spans="2:17" ht="12.75">
      <c r="B303" s="1114"/>
      <c r="C303" s="1115"/>
      <c r="D303" s="1115"/>
      <c r="E303" s="1115"/>
      <c r="F303" s="1115"/>
      <c r="G303" s="1115"/>
      <c r="H303" s="1115"/>
      <c r="I303" s="1115"/>
      <c r="J303" s="1115"/>
      <c r="K303" s="1115"/>
      <c r="L303" s="1115"/>
      <c r="M303" s="1115"/>
      <c r="N303" s="1115"/>
      <c r="O303" s="1115"/>
      <c r="P303" s="1115"/>
      <c r="Q303" s="1116"/>
    </row>
    <row r="304" spans="2:17" ht="12.75">
      <c r="B304" s="1117"/>
      <c r="C304" s="1118"/>
      <c r="D304" s="1118"/>
      <c r="E304" s="1118"/>
      <c r="F304" s="1118"/>
      <c r="G304" s="1118"/>
      <c r="H304" s="1118"/>
      <c r="I304" s="1118"/>
      <c r="J304" s="1118"/>
      <c r="K304" s="1118"/>
      <c r="L304" s="1118"/>
      <c r="M304" s="1118"/>
      <c r="N304" s="1118"/>
      <c r="O304" s="1118"/>
      <c r="P304" s="1118"/>
      <c r="Q304" s="1119"/>
    </row>
    <row r="305" spans="2:17" ht="12.75">
      <c r="B305" s="1117"/>
      <c r="C305" s="1118"/>
      <c r="D305" s="1118"/>
      <c r="E305" s="1118"/>
      <c r="F305" s="1118"/>
      <c r="G305" s="1118"/>
      <c r="H305" s="1118"/>
      <c r="I305" s="1118"/>
      <c r="J305" s="1118"/>
      <c r="K305" s="1118"/>
      <c r="L305" s="1118"/>
      <c r="M305" s="1118"/>
      <c r="N305" s="1118"/>
      <c r="O305" s="1118"/>
      <c r="P305" s="1118"/>
      <c r="Q305" s="1119"/>
    </row>
    <row r="306" spans="2:17" ht="12.75">
      <c r="B306" s="1117"/>
      <c r="C306" s="1118"/>
      <c r="D306" s="1118"/>
      <c r="E306" s="1118"/>
      <c r="F306" s="1118"/>
      <c r="G306" s="1118"/>
      <c r="H306" s="1118"/>
      <c r="I306" s="1118"/>
      <c r="J306" s="1118"/>
      <c r="K306" s="1118"/>
      <c r="L306" s="1118"/>
      <c r="M306" s="1118"/>
      <c r="N306" s="1118"/>
      <c r="O306" s="1118"/>
      <c r="P306" s="1118"/>
      <c r="Q306" s="1119"/>
    </row>
    <row r="307" spans="2:17" ht="12.75">
      <c r="B307" s="1120"/>
      <c r="C307" s="1121"/>
      <c r="D307" s="1121"/>
      <c r="E307" s="1121"/>
      <c r="F307" s="1121"/>
      <c r="G307" s="1121"/>
      <c r="H307" s="1121"/>
      <c r="I307" s="1121"/>
      <c r="J307" s="1121"/>
      <c r="K307" s="1121"/>
      <c r="L307" s="1121"/>
      <c r="M307" s="1121"/>
      <c r="N307" s="1121"/>
      <c r="O307" s="1121"/>
      <c r="P307" s="1121"/>
      <c r="Q307" s="1122"/>
    </row>
    <row r="308" ht="12.75"/>
    <row r="309" ht="12.75"/>
    <row r="310" ht="12.75"/>
    <row r="311" ht="12.75"/>
    <row r="312" spans="2:17" ht="15.75">
      <c r="B312" s="562" t="s">
        <v>564</v>
      </c>
      <c r="D312" s="563" t="s">
        <v>565</v>
      </c>
      <c r="F312" s="1123" t="s">
        <v>437</v>
      </c>
      <c r="G312" s="1123"/>
      <c r="H312" s="1123"/>
      <c r="I312" s="1123"/>
      <c r="J312" s="1123"/>
      <c r="K312" s="1123"/>
      <c r="L312" s="1123"/>
      <c r="M312" s="1123"/>
      <c r="N312" s="1123"/>
      <c r="O312" s="1123"/>
      <c r="P312" s="1123"/>
      <c r="Q312" s="1123"/>
    </row>
    <row r="313" spans="2:17" ht="15.75">
      <c r="B313" s="562"/>
      <c r="D313" s="564"/>
      <c r="F313" s="565"/>
      <c r="G313" s="565"/>
      <c r="H313" s="565"/>
      <c r="I313" s="565"/>
      <c r="J313" s="565"/>
      <c r="K313" s="565"/>
      <c r="L313" s="565"/>
      <c r="M313" s="565"/>
      <c r="N313" s="565"/>
      <c r="O313" s="565"/>
      <c r="P313" s="565"/>
      <c r="Q313" s="565"/>
    </row>
    <row r="314" spans="2:9" ht="12.75">
      <c r="B314" s="562" t="s">
        <v>566</v>
      </c>
      <c r="F314" s="400" t="s">
        <v>567</v>
      </c>
      <c r="G314" s="400"/>
      <c r="H314" s="643">
        <v>280</v>
      </c>
      <c r="I314" s="569" t="s">
        <v>568</v>
      </c>
    </row>
    <row r="315" spans="2:9" ht="12.75">
      <c r="B315" s="562" t="s">
        <v>569</v>
      </c>
      <c r="F315" s="400" t="s">
        <v>610</v>
      </c>
      <c r="H315" s="660">
        <v>1</v>
      </c>
      <c r="I315" s="569" t="s">
        <v>554</v>
      </c>
    </row>
    <row r="316" spans="2:17" ht="12.75">
      <c r="B316" s="567"/>
      <c r="F316" s="568"/>
      <c r="G316" s="568"/>
      <c r="H316" s="1124" t="s">
        <v>570</v>
      </c>
      <c r="I316" s="1125"/>
      <c r="J316" s="1126"/>
      <c r="L316" s="1124" t="s">
        <v>571</v>
      </c>
      <c r="M316" s="1125"/>
      <c r="N316" s="1126"/>
      <c r="P316" s="1124" t="s">
        <v>572</v>
      </c>
      <c r="Q316" s="1126"/>
    </row>
    <row r="317" spans="2:17" ht="12.75">
      <c r="B317" s="567"/>
      <c r="F317" s="1108" t="s">
        <v>573</v>
      </c>
      <c r="G317" s="569"/>
      <c r="H317" s="570" t="s">
        <v>574</v>
      </c>
      <c r="I317" s="570" t="s">
        <v>575</v>
      </c>
      <c r="J317" s="571" t="s">
        <v>576</v>
      </c>
      <c r="L317" s="570" t="s">
        <v>574</v>
      </c>
      <c r="M317" s="572" t="s">
        <v>575</v>
      </c>
      <c r="N317" s="571" t="s">
        <v>576</v>
      </c>
      <c r="P317" s="1110" t="s">
        <v>577</v>
      </c>
      <c r="Q317" s="1112" t="s">
        <v>578</v>
      </c>
    </row>
    <row r="318" spans="2:17" ht="12.75">
      <c r="B318" s="567"/>
      <c r="F318" s="1109"/>
      <c r="G318" s="569"/>
      <c r="H318" s="573" t="s">
        <v>410</v>
      </c>
      <c r="I318" s="573"/>
      <c r="J318" s="574" t="s">
        <v>410</v>
      </c>
      <c r="L318" s="573" t="s">
        <v>410</v>
      </c>
      <c r="M318" s="574"/>
      <c r="N318" s="574" t="s">
        <v>410</v>
      </c>
      <c r="P318" s="1111"/>
      <c r="Q318" s="1113"/>
    </row>
    <row r="319" spans="1:17" ht="12.75">
      <c r="A319" s="575"/>
      <c r="B319" s="576"/>
      <c r="D319" s="577" t="s">
        <v>555</v>
      </c>
      <c r="E319" s="577"/>
      <c r="F319" s="578" t="s">
        <v>564</v>
      </c>
      <c r="G319" s="579"/>
      <c r="H319" s="580">
        <v>0.84</v>
      </c>
      <c r="I319" s="581">
        <v>1</v>
      </c>
      <c r="J319" s="582">
        <f aca="true" t="shared" si="54" ref="J319:J333">I319*H319</f>
        <v>0.84</v>
      </c>
      <c r="K319" s="577"/>
      <c r="L319" s="580">
        <v>1.34</v>
      </c>
      <c r="M319" s="583">
        <v>1</v>
      </c>
      <c r="N319" s="582">
        <f aca="true" t="shared" si="55" ref="N319:N333">M319*L319</f>
        <v>1.34</v>
      </c>
      <c r="O319" s="577"/>
      <c r="P319" s="584">
        <f aca="true" t="shared" si="56" ref="P319:P348">N319-J319</f>
        <v>0.5000000000000001</v>
      </c>
      <c r="Q319" s="585">
        <f aca="true" t="shared" si="57" ref="Q319:Q348">IF((J319)=0,"",(P319/J319))</f>
        <v>0.5952380952380953</v>
      </c>
    </row>
    <row r="320" spans="1:17" ht="12.75">
      <c r="A320" s="575"/>
      <c r="B320" s="576"/>
      <c r="D320" s="577" t="s">
        <v>579</v>
      </c>
      <c r="E320" s="577"/>
      <c r="F320" s="578" t="s">
        <v>564</v>
      </c>
      <c r="G320" s="579"/>
      <c r="H320" s="587">
        <v>0</v>
      </c>
      <c r="I320" s="581">
        <v>1</v>
      </c>
      <c r="J320" s="582">
        <f t="shared" si="54"/>
        <v>0</v>
      </c>
      <c r="K320" s="577"/>
      <c r="L320" s="587">
        <v>0</v>
      </c>
      <c r="M320" s="583">
        <v>1</v>
      </c>
      <c r="N320" s="582">
        <f t="shared" si="55"/>
        <v>0</v>
      </c>
      <c r="O320" s="577"/>
      <c r="P320" s="584">
        <f t="shared" si="56"/>
        <v>0</v>
      </c>
      <c r="Q320" s="585">
        <f t="shared" si="57"/>
      </c>
    </row>
    <row r="321" spans="1:17" ht="12.75">
      <c r="A321" s="575"/>
      <c r="B321" s="576"/>
      <c r="D321" s="577" t="s">
        <v>614</v>
      </c>
      <c r="E321" s="577"/>
      <c r="F321" s="578" t="s">
        <v>564</v>
      </c>
      <c r="G321" s="579"/>
      <c r="H321" s="587">
        <v>0</v>
      </c>
      <c r="I321" s="581">
        <v>1</v>
      </c>
      <c r="J321" s="582">
        <f t="shared" si="54"/>
        <v>0</v>
      </c>
      <c r="K321" s="577"/>
      <c r="L321" s="587">
        <v>0</v>
      </c>
      <c r="M321" s="583">
        <v>1</v>
      </c>
      <c r="N321" s="582">
        <f t="shared" si="55"/>
        <v>0</v>
      </c>
      <c r="O321" s="577"/>
      <c r="P321" s="584">
        <f t="shared" si="56"/>
        <v>0</v>
      </c>
      <c r="Q321" s="585">
        <f t="shared" si="57"/>
      </c>
    </row>
    <row r="322" spans="1:17" ht="12.75">
      <c r="A322" s="575"/>
      <c r="B322" s="576"/>
      <c r="D322" s="577" t="s">
        <v>581</v>
      </c>
      <c r="E322" s="577"/>
      <c r="F322" s="578" t="s">
        <v>564</v>
      </c>
      <c r="G322" s="579"/>
      <c r="H322" s="587">
        <v>0</v>
      </c>
      <c r="I322" s="581">
        <v>1</v>
      </c>
      <c r="J322" s="582">
        <f t="shared" si="54"/>
        <v>0</v>
      </c>
      <c r="K322" s="577"/>
      <c r="L322" s="587">
        <v>0</v>
      </c>
      <c r="M322" s="583">
        <v>1</v>
      </c>
      <c r="N322" s="582">
        <f t="shared" si="55"/>
        <v>0</v>
      </c>
      <c r="O322" s="577"/>
      <c r="P322" s="584">
        <f t="shared" si="56"/>
        <v>0</v>
      </c>
      <c r="Q322" s="585">
        <f t="shared" si="57"/>
      </c>
    </row>
    <row r="323" spans="1:17" ht="12.75">
      <c r="A323" s="575"/>
      <c r="B323" s="576"/>
      <c r="D323" s="577" t="s">
        <v>582</v>
      </c>
      <c r="E323" s="577"/>
      <c r="F323" s="578" t="s">
        <v>569</v>
      </c>
      <c r="G323" s="579"/>
      <c r="H323" s="587">
        <v>4.8616</v>
      </c>
      <c r="I323" s="661">
        <f>H315</f>
        <v>1</v>
      </c>
      <c r="J323" s="582">
        <f t="shared" si="54"/>
        <v>4.8616</v>
      </c>
      <c r="K323" s="577"/>
      <c r="L323" s="587">
        <v>5.885</v>
      </c>
      <c r="M323" s="662">
        <f>H315</f>
        <v>1</v>
      </c>
      <c r="N323" s="582">
        <f t="shared" si="55"/>
        <v>5.885</v>
      </c>
      <c r="O323" s="577"/>
      <c r="P323" s="584">
        <f t="shared" si="56"/>
        <v>1.0233999999999996</v>
      </c>
      <c r="Q323" s="585">
        <f t="shared" si="57"/>
        <v>0.21050682902748058</v>
      </c>
    </row>
    <row r="324" spans="1:17" ht="12.75">
      <c r="A324" s="575"/>
      <c r="B324" s="576"/>
      <c r="D324" s="577" t="s">
        <v>583</v>
      </c>
      <c r="E324" s="577"/>
      <c r="F324" s="578" t="s">
        <v>569</v>
      </c>
      <c r="G324" s="579"/>
      <c r="H324" s="587">
        <v>0.0367</v>
      </c>
      <c r="I324" s="661">
        <f aca="true" t="shared" si="58" ref="I324:I329">I323</f>
        <v>1</v>
      </c>
      <c r="J324" s="582">
        <f t="shared" si="54"/>
        <v>0.0367</v>
      </c>
      <c r="K324" s="577"/>
      <c r="L324" s="587">
        <v>0.0918</v>
      </c>
      <c r="M324" s="662">
        <f aca="true" t="shared" si="59" ref="M324:M330">M323</f>
        <v>1</v>
      </c>
      <c r="N324" s="582">
        <f t="shared" si="55"/>
        <v>0.0918</v>
      </c>
      <c r="O324" s="577"/>
      <c r="P324" s="584">
        <f t="shared" si="56"/>
        <v>0.0551</v>
      </c>
      <c r="Q324" s="585">
        <f t="shared" si="57"/>
        <v>1.5013623978201633</v>
      </c>
    </row>
    <row r="325" spans="1:17" ht="12.75">
      <c r="A325" s="575"/>
      <c r="B325" s="576"/>
      <c r="D325" s="577" t="s">
        <v>584</v>
      </c>
      <c r="E325" s="577"/>
      <c r="F325" s="578" t="s">
        <v>569</v>
      </c>
      <c r="G325" s="579"/>
      <c r="H325" s="587">
        <v>0</v>
      </c>
      <c r="I325" s="661">
        <f t="shared" si="58"/>
        <v>1</v>
      </c>
      <c r="J325" s="582">
        <f t="shared" si="54"/>
        <v>0</v>
      </c>
      <c r="K325" s="577"/>
      <c r="L325" s="587">
        <v>0</v>
      </c>
      <c r="M325" s="662">
        <f t="shared" si="59"/>
        <v>1</v>
      </c>
      <c r="N325" s="582">
        <f t="shared" si="55"/>
        <v>0</v>
      </c>
      <c r="O325" s="577"/>
      <c r="P325" s="584">
        <f t="shared" si="56"/>
        <v>0</v>
      </c>
      <c r="Q325" s="585">
        <f t="shared" si="57"/>
      </c>
    </row>
    <row r="326" spans="1:17" ht="12.75">
      <c r="A326" s="575"/>
      <c r="B326" s="576"/>
      <c r="D326" s="577" t="s">
        <v>585</v>
      </c>
      <c r="E326" s="577"/>
      <c r="F326" s="578" t="s">
        <v>569</v>
      </c>
      <c r="G326" s="579"/>
      <c r="H326" s="587">
        <v>-0.1276</v>
      </c>
      <c r="I326" s="661">
        <f t="shared" si="58"/>
        <v>1</v>
      </c>
      <c r="J326" s="582">
        <f t="shared" si="54"/>
        <v>-0.1276</v>
      </c>
      <c r="K326" s="577"/>
      <c r="L326" s="587">
        <v>0</v>
      </c>
      <c r="M326" s="662">
        <f t="shared" si="59"/>
        <v>1</v>
      </c>
      <c r="N326" s="582">
        <f t="shared" si="55"/>
        <v>0</v>
      </c>
      <c r="O326" s="577"/>
      <c r="P326" s="584">
        <f t="shared" si="56"/>
        <v>0.1276</v>
      </c>
      <c r="Q326" s="585">
        <f t="shared" si="57"/>
        <v>-1</v>
      </c>
    </row>
    <row r="327" spans="1:17" ht="12.75">
      <c r="A327" s="575"/>
      <c r="B327" s="576"/>
      <c r="D327" s="577" t="s">
        <v>586</v>
      </c>
      <c r="E327" s="577"/>
      <c r="F327" s="578" t="s">
        <v>569</v>
      </c>
      <c r="G327" s="579"/>
      <c r="H327" s="587">
        <v>0</v>
      </c>
      <c r="I327" s="661">
        <f t="shared" si="58"/>
        <v>1</v>
      </c>
      <c r="J327" s="582">
        <f t="shared" si="54"/>
        <v>0</v>
      </c>
      <c r="K327" s="577"/>
      <c r="L327" s="587">
        <v>0</v>
      </c>
      <c r="M327" s="662">
        <f t="shared" si="59"/>
        <v>1</v>
      </c>
      <c r="N327" s="582">
        <f t="shared" si="55"/>
        <v>0</v>
      </c>
      <c r="O327" s="577"/>
      <c r="P327" s="584">
        <f t="shared" si="56"/>
        <v>0</v>
      </c>
      <c r="Q327" s="585">
        <f t="shared" si="57"/>
      </c>
    </row>
    <row r="328" spans="1:17" ht="12.75">
      <c r="A328" s="575"/>
      <c r="B328" s="576"/>
      <c r="D328" s="577" t="s">
        <v>587</v>
      </c>
      <c r="E328" s="577"/>
      <c r="F328" s="578" t="s">
        <v>569</v>
      </c>
      <c r="G328" s="579"/>
      <c r="H328" s="587">
        <v>0</v>
      </c>
      <c r="I328" s="661">
        <f t="shared" si="58"/>
        <v>1</v>
      </c>
      <c r="J328" s="582">
        <f t="shared" si="54"/>
        <v>0</v>
      </c>
      <c r="K328" s="577"/>
      <c r="L328" s="587">
        <v>0</v>
      </c>
      <c r="M328" s="662">
        <f t="shared" si="59"/>
        <v>1</v>
      </c>
      <c r="N328" s="582">
        <f t="shared" si="55"/>
        <v>0</v>
      </c>
      <c r="O328" s="577"/>
      <c r="P328" s="584">
        <f t="shared" si="56"/>
        <v>0</v>
      </c>
      <c r="Q328" s="585">
        <f t="shared" si="57"/>
      </c>
    </row>
    <row r="329" spans="1:17" ht="25.5">
      <c r="A329" s="588"/>
      <c r="B329" s="576"/>
      <c r="D329" s="589" t="s">
        <v>588</v>
      </c>
      <c r="E329" s="577"/>
      <c r="F329" s="578" t="s">
        <v>569</v>
      </c>
      <c r="G329" s="579"/>
      <c r="H329" s="587">
        <v>0</v>
      </c>
      <c r="I329" s="661">
        <f t="shared" si="58"/>
        <v>1</v>
      </c>
      <c r="J329" s="582">
        <f t="shared" si="54"/>
        <v>0</v>
      </c>
      <c r="K329" s="577"/>
      <c r="L329" s="587">
        <v>-0.6372</v>
      </c>
      <c r="M329" s="656">
        <f t="shared" si="59"/>
        <v>1</v>
      </c>
      <c r="N329" s="582">
        <f t="shared" si="55"/>
        <v>-0.6372</v>
      </c>
      <c r="O329" s="577"/>
      <c r="P329" s="584">
        <f t="shared" si="56"/>
        <v>-0.6372</v>
      </c>
      <c r="Q329" s="585">
        <f t="shared" si="57"/>
      </c>
    </row>
    <row r="330" spans="1:17" ht="25.5">
      <c r="A330" s="588"/>
      <c r="D330" s="589" t="s">
        <v>611</v>
      </c>
      <c r="E330" s="577"/>
      <c r="F330" s="578" t="s">
        <v>569</v>
      </c>
      <c r="G330" s="579"/>
      <c r="H330" s="587"/>
      <c r="I330" s="646"/>
      <c r="J330" s="582">
        <f t="shared" si="54"/>
        <v>0</v>
      </c>
      <c r="K330" s="577"/>
      <c r="L330" s="587">
        <v>0.0017</v>
      </c>
      <c r="M330" s="656">
        <f t="shared" si="59"/>
        <v>1</v>
      </c>
      <c r="N330" s="582">
        <f t="shared" si="55"/>
        <v>0.0017</v>
      </c>
      <c r="O330" s="577"/>
      <c r="P330" s="584">
        <f t="shared" si="56"/>
        <v>0.0017</v>
      </c>
      <c r="Q330" s="585">
        <f t="shared" si="57"/>
      </c>
    </row>
    <row r="331" spans="4:17" ht="12.75">
      <c r="D331" s="590"/>
      <c r="E331" s="577"/>
      <c r="F331" s="578"/>
      <c r="G331" s="579"/>
      <c r="H331" s="587"/>
      <c r="I331" s="646"/>
      <c r="J331" s="582">
        <f t="shared" si="54"/>
        <v>0</v>
      </c>
      <c r="K331" s="577"/>
      <c r="L331" s="587"/>
      <c r="M331" s="647"/>
      <c r="N331" s="582">
        <f t="shared" si="55"/>
        <v>0</v>
      </c>
      <c r="O331" s="577"/>
      <c r="P331" s="584">
        <f t="shared" si="56"/>
        <v>0</v>
      </c>
      <c r="Q331" s="585">
        <f t="shared" si="57"/>
      </c>
    </row>
    <row r="332" spans="4:17" ht="12.75">
      <c r="D332" s="590"/>
      <c r="E332" s="577"/>
      <c r="F332" s="578"/>
      <c r="G332" s="579"/>
      <c r="H332" s="587"/>
      <c r="I332" s="646"/>
      <c r="J332" s="582">
        <f t="shared" si="54"/>
        <v>0</v>
      </c>
      <c r="K332" s="577"/>
      <c r="L332" s="587"/>
      <c r="M332" s="647"/>
      <c r="N332" s="582">
        <f t="shared" si="55"/>
        <v>0</v>
      </c>
      <c r="O332" s="577"/>
      <c r="P332" s="584">
        <f t="shared" si="56"/>
        <v>0</v>
      </c>
      <c r="Q332" s="585">
        <f t="shared" si="57"/>
      </c>
    </row>
    <row r="333" spans="4:17" ht="13.5" thickBot="1">
      <c r="D333" s="590"/>
      <c r="E333" s="577"/>
      <c r="F333" s="578"/>
      <c r="G333" s="579"/>
      <c r="H333" s="587"/>
      <c r="I333" s="646"/>
      <c r="J333" s="582">
        <f t="shared" si="54"/>
        <v>0</v>
      </c>
      <c r="K333" s="577"/>
      <c r="L333" s="587"/>
      <c r="M333" s="647"/>
      <c r="N333" s="582">
        <f t="shared" si="55"/>
        <v>0</v>
      </c>
      <c r="O333" s="577"/>
      <c r="P333" s="584">
        <f t="shared" si="56"/>
        <v>0</v>
      </c>
      <c r="Q333" s="585">
        <f t="shared" si="57"/>
      </c>
    </row>
    <row r="334" spans="4:17" ht="13.5" thickBot="1">
      <c r="D334" s="400" t="s">
        <v>589</v>
      </c>
      <c r="G334" s="551"/>
      <c r="H334" s="593"/>
      <c r="I334" s="648"/>
      <c r="J334" s="595">
        <f>SUM(J319:J333)</f>
        <v>5.6107</v>
      </c>
      <c r="L334" s="593"/>
      <c r="M334" s="649"/>
      <c r="N334" s="595">
        <f>SUM(N319:N333)</f>
        <v>6.681299999999999</v>
      </c>
      <c r="P334" s="597">
        <f t="shared" si="56"/>
        <v>1.0705999999999998</v>
      </c>
      <c r="Q334" s="598">
        <f t="shared" si="57"/>
        <v>0.19081398043024933</v>
      </c>
    </row>
    <row r="335" spans="4:17" ht="12.75">
      <c r="D335" s="599" t="s">
        <v>590</v>
      </c>
      <c r="E335" s="599"/>
      <c r="F335" s="600" t="s">
        <v>569</v>
      </c>
      <c r="G335" s="601"/>
      <c r="H335" s="602">
        <v>2.0174</v>
      </c>
      <c r="I335" s="663">
        <f>H315</f>
        <v>1</v>
      </c>
      <c r="J335" s="604">
        <f>I335*H335</f>
        <v>2.0174</v>
      </c>
      <c r="K335" s="599"/>
      <c r="L335" s="602">
        <v>1.9798</v>
      </c>
      <c r="M335" s="664">
        <f>H315</f>
        <v>1</v>
      </c>
      <c r="N335" s="604">
        <f>M335*L335</f>
        <v>1.9798</v>
      </c>
      <c r="O335" s="599"/>
      <c r="P335" s="606">
        <f t="shared" si="56"/>
        <v>-0.037599999999999856</v>
      </c>
      <c r="Q335" s="607">
        <f t="shared" si="57"/>
        <v>-0.01863785069891933</v>
      </c>
    </row>
    <row r="336" spans="4:17" ht="26.25" thickBot="1">
      <c r="D336" s="608" t="s">
        <v>591</v>
      </c>
      <c r="E336" s="599"/>
      <c r="F336" s="600" t="s">
        <v>569</v>
      </c>
      <c r="G336" s="601"/>
      <c r="H336" s="602">
        <v>0.7584</v>
      </c>
      <c r="I336" s="663">
        <f>I335</f>
        <v>1</v>
      </c>
      <c r="J336" s="604">
        <f>I336*H336</f>
        <v>0.7584</v>
      </c>
      <c r="K336" s="599"/>
      <c r="L336" s="602">
        <v>0.8901</v>
      </c>
      <c r="M336" s="664">
        <f>M335</f>
        <v>1</v>
      </c>
      <c r="N336" s="604">
        <f>M336*L336</f>
        <v>0.8901</v>
      </c>
      <c r="O336" s="599"/>
      <c r="P336" s="606">
        <f t="shared" si="56"/>
        <v>0.13170000000000004</v>
      </c>
      <c r="Q336" s="607">
        <f t="shared" si="57"/>
        <v>0.1736550632911393</v>
      </c>
    </row>
    <row r="337" spans="4:17" ht="26.25" thickBot="1">
      <c r="D337" s="609" t="s">
        <v>592</v>
      </c>
      <c r="E337" s="577"/>
      <c r="F337" s="577"/>
      <c r="G337" s="579"/>
      <c r="H337" s="610"/>
      <c r="I337" s="650"/>
      <c r="J337" s="612">
        <f>SUM(J334:J336)</f>
        <v>8.3865</v>
      </c>
      <c r="K337" s="613"/>
      <c r="L337" s="614"/>
      <c r="M337" s="651"/>
      <c r="N337" s="612">
        <f>SUM(N334:N336)</f>
        <v>9.5512</v>
      </c>
      <c r="O337" s="613"/>
      <c r="P337" s="616">
        <f t="shared" si="56"/>
        <v>1.1646999999999998</v>
      </c>
      <c r="Q337" s="617">
        <f t="shared" si="57"/>
        <v>0.138877958623979</v>
      </c>
    </row>
    <row r="338" spans="4:17" ht="25.5">
      <c r="D338" s="589" t="s">
        <v>593</v>
      </c>
      <c r="E338" s="577"/>
      <c r="F338" s="578" t="s">
        <v>566</v>
      </c>
      <c r="G338" s="579"/>
      <c r="H338" s="587">
        <v>0.0052</v>
      </c>
      <c r="I338" s="661">
        <f>H314*(1+H350)</f>
        <v>288.372</v>
      </c>
      <c r="J338" s="582">
        <f aca="true" t="shared" si="60" ref="J338:J345">I338*H338</f>
        <v>1.4995344</v>
      </c>
      <c r="K338" s="577"/>
      <c r="L338" s="587">
        <f aca="true" t="shared" si="61" ref="L338:L344">H338</f>
        <v>0.0052</v>
      </c>
      <c r="M338" s="583">
        <f>H314*(1+L350)</f>
        <v>289.65999999999997</v>
      </c>
      <c r="N338" s="582">
        <f aca="true" t="shared" si="62" ref="N338:N345">M338*L338</f>
        <v>1.5062319999999998</v>
      </c>
      <c r="O338" s="577"/>
      <c r="P338" s="584">
        <f t="shared" si="56"/>
        <v>0.006697599999999859</v>
      </c>
      <c r="Q338" s="585">
        <f t="shared" si="57"/>
        <v>0.00446645305369444</v>
      </c>
    </row>
    <row r="339" spans="4:17" ht="25.5">
      <c r="D339" s="589" t="s">
        <v>594</v>
      </c>
      <c r="E339" s="577"/>
      <c r="F339" s="578" t="s">
        <v>566</v>
      </c>
      <c r="G339" s="579"/>
      <c r="H339" s="587">
        <v>0.0011</v>
      </c>
      <c r="I339" s="661">
        <f>I338</f>
        <v>288.372</v>
      </c>
      <c r="J339" s="582">
        <f t="shared" si="60"/>
        <v>0.3172092</v>
      </c>
      <c r="K339" s="577"/>
      <c r="L339" s="587">
        <f t="shared" si="61"/>
        <v>0.0011</v>
      </c>
      <c r="M339" s="583">
        <f>M338</f>
        <v>289.65999999999997</v>
      </c>
      <c r="N339" s="582">
        <f t="shared" si="62"/>
        <v>0.31862599999999996</v>
      </c>
      <c r="O339" s="577"/>
      <c r="P339" s="584">
        <f t="shared" si="56"/>
        <v>0.0014167999999999403</v>
      </c>
      <c r="Q339" s="585">
        <f t="shared" si="57"/>
        <v>0.004466453053694345</v>
      </c>
    </row>
    <row r="340" spans="4:17" ht="12.75">
      <c r="D340" s="589" t="s">
        <v>595</v>
      </c>
      <c r="E340" s="577"/>
      <c r="F340" s="578" t="s">
        <v>566</v>
      </c>
      <c r="G340" s="579"/>
      <c r="H340" s="587">
        <v>0</v>
      </c>
      <c r="I340" s="661">
        <f>I338</f>
        <v>288.372</v>
      </c>
      <c r="J340" s="582">
        <f t="shared" si="60"/>
        <v>0</v>
      </c>
      <c r="K340" s="577"/>
      <c r="L340" s="587">
        <f t="shared" si="61"/>
        <v>0</v>
      </c>
      <c r="M340" s="583">
        <f>M338</f>
        <v>289.65999999999997</v>
      </c>
      <c r="N340" s="582">
        <f t="shared" si="62"/>
        <v>0</v>
      </c>
      <c r="O340" s="577"/>
      <c r="P340" s="584">
        <f t="shared" si="56"/>
        <v>0</v>
      </c>
      <c r="Q340" s="585">
        <f t="shared" si="57"/>
      </c>
    </row>
    <row r="341" spans="4:17" ht="12.75">
      <c r="D341" s="577" t="s">
        <v>596</v>
      </c>
      <c r="E341" s="577"/>
      <c r="F341" s="578" t="s">
        <v>564</v>
      </c>
      <c r="G341" s="579"/>
      <c r="H341" s="587">
        <v>0.25</v>
      </c>
      <c r="I341" s="581">
        <v>1</v>
      </c>
      <c r="J341" s="582">
        <f t="shared" si="60"/>
        <v>0.25</v>
      </c>
      <c r="K341" s="577"/>
      <c r="L341" s="587">
        <f t="shared" si="61"/>
        <v>0.25</v>
      </c>
      <c r="M341" s="583">
        <v>1</v>
      </c>
      <c r="N341" s="582">
        <f t="shared" si="62"/>
        <v>0.25</v>
      </c>
      <c r="O341" s="577"/>
      <c r="P341" s="584">
        <f t="shared" si="56"/>
        <v>0</v>
      </c>
      <c r="Q341" s="585">
        <f t="shared" si="57"/>
        <v>0</v>
      </c>
    </row>
    <row r="342" spans="4:17" ht="12.75">
      <c r="D342" s="577" t="s">
        <v>597</v>
      </c>
      <c r="E342" s="577"/>
      <c r="F342" s="578" t="s">
        <v>566</v>
      </c>
      <c r="G342" s="579"/>
      <c r="H342" s="587">
        <v>0.007</v>
      </c>
      <c r="I342" s="581">
        <f>H314</f>
        <v>280</v>
      </c>
      <c r="J342" s="582">
        <f t="shared" si="60"/>
        <v>1.96</v>
      </c>
      <c r="K342" s="577"/>
      <c r="L342" s="587">
        <f t="shared" si="61"/>
        <v>0.007</v>
      </c>
      <c r="M342" s="583">
        <f>H314</f>
        <v>280</v>
      </c>
      <c r="N342" s="582">
        <f t="shared" si="62"/>
        <v>1.96</v>
      </c>
      <c r="O342" s="577"/>
      <c r="P342" s="584">
        <f t="shared" si="56"/>
        <v>0</v>
      </c>
      <c r="Q342" s="585">
        <f t="shared" si="57"/>
        <v>0</v>
      </c>
    </row>
    <row r="343" spans="4:17" ht="12.75">
      <c r="D343" s="577" t="s">
        <v>598</v>
      </c>
      <c r="E343" s="577"/>
      <c r="F343" s="578" t="s">
        <v>566</v>
      </c>
      <c r="G343" s="579"/>
      <c r="H343" s="587">
        <v>0.075</v>
      </c>
      <c r="I343" s="581">
        <f>IF(I338&lt;H351,I338,H351)</f>
        <v>288.372</v>
      </c>
      <c r="J343" s="582">
        <f t="shared" si="60"/>
        <v>21.6279</v>
      </c>
      <c r="K343" s="577"/>
      <c r="L343" s="587">
        <f t="shared" si="61"/>
        <v>0.075</v>
      </c>
      <c r="M343" s="583">
        <f>IF(M338&lt;L351,M338,L351)</f>
        <v>289.65999999999997</v>
      </c>
      <c r="N343" s="582">
        <f t="shared" si="62"/>
        <v>21.724499999999995</v>
      </c>
      <c r="O343" s="577"/>
      <c r="P343" s="584">
        <f t="shared" si="56"/>
        <v>0.09659999999999513</v>
      </c>
      <c r="Q343" s="585">
        <f t="shared" si="57"/>
        <v>0.004466453053694308</v>
      </c>
    </row>
    <row r="344" spans="4:17" ht="12.75">
      <c r="D344" s="577" t="s">
        <v>599</v>
      </c>
      <c r="E344" s="577"/>
      <c r="F344" s="578"/>
      <c r="G344" s="579"/>
      <c r="H344" s="587">
        <v>0.088</v>
      </c>
      <c r="I344" s="621">
        <f>IF(I338&lt;H351,0,I338-I343)</f>
        <v>0</v>
      </c>
      <c r="J344" s="582">
        <f t="shared" si="60"/>
        <v>0</v>
      </c>
      <c r="K344" s="577"/>
      <c r="L344" s="587">
        <f t="shared" si="61"/>
        <v>0.088</v>
      </c>
      <c r="M344" s="642">
        <f>IF(M338&lt;L351,0,M338-M343)</f>
        <v>0</v>
      </c>
      <c r="N344" s="582">
        <f t="shared" si="62"/>
        <v>0</v>
      </c>
      <c r="O344" s="577"/>
      <c r="P344" s="584">
        <f t="shared" si="56"/>
        <v>0</v>
      </c>
      <c r="Q344" s="585">
        <f t="shared" si="57"/>
      </c>
    </row>
    <row r="345" spans="4:17" ht="13.5" thickBot="1">
      <c r="D345" s="590"/>
      <c r="E345" s="577"/>
      <c r="F345" s="578"/>
      <c r="G345" s="579"/>
      <c r="H345" s="587"/>
      <c r="I345" s="646"/>
      <c r="J345" s="582">
        <f t="shared" si="60"/>
        <v>0</v>
      </c>
      <c r="K345" s="577"/>
      <c r="L345" s="587"/>
      <c r="M345" s="647"/>
      <c r="N345" s="582">
        <f t="shared" si="62"/>
        <v>0</v>
      </c>
      <c r="O345" s="577"/>
      <c r="P345" s="584">
        <f t="shared" si="56"/>
        <v>0</v>
      </c>
      <c r="Q345" s="585">
        <f t="shared" si="57"/>
      </c>
    </row>
    <row r="346" spans="4:17" ht="13.5" thickBot="1">
      <c r="D346" s="623" t="s">
        <v>600</v>
      </c>
      <c r="E346" s="577"/>
      <c r="F346" s="577"/>
      <c r="G346" s="577"/>
      <c r="H346" s="624"/>
      <c r="I346" s="625"/>
      <c r="J346" s="612">
        <f>SUM(J337:J345)</f>
        <v>34.0411436</v>
      </c>
      <c r="K346" s="613"/>
      <c r="L346" s="626"/>
      <c r="M346" s="651"/>
      <c r="N346" s="612">
        <f>SUM(N337:N345)</f>
        <v>35.31055799999999</v>
      </c>
      <c r="O346" s="613"/>
      <c r="P346" s="616">
        <f t="shared" si="56"/>
        <v>1.2694143999999952</v>
      </c>
      <c r="Q346" s="617">
        <f t="shared" si="57"/>
        <v>0.03729059208222356</v>
      </c>
    </row>
    <row r="347" spans="4:17" ht="13.5" thickBot="1">
      <c r="D347" s="579" t="s">
        <v>601</v>
      </c>
      <c r="E347" s="577"/>
      <c r="F347" s="577"/>
      <c r="G347" s="577"/>
      <c r="H347" s="628">
        <v>0.13</v>
      </c>
      <c r="I347" s="629"/>
      <c r="J347" s="630">
        <f>J346*H347</f>
        <v>4.425348668</v>
      </c>
      <c r="K347" s="577"/>
      <c r="L347" s="628">
        <v>0.13</v>
      </c>
      <c r="M347" s="652"/>
      <c r="N347" s="630">
        <f>N346*L347</f>
        <v>4.590372539999999</v>
      </c>
      <c r="O347" s="577"/>
      <c r="P347" s="584">
        <f t="shared" si="56"/>
        <v>0.16502387199999902</v>
      </c>
      <c r="Q347" s="585">
        <f t="shared" si="57"/>
        <v>0.03729059208222348</v>
      </c>
    </row>
    <row r="348" spans="4:17" ht="13.5" thickBot="1">
      <c r="D348" s="609" t="s">
        <v>602</v>
      </c>
      <c r="E348" s="577"/>
      <c r="F348" s="577"/>
      <c r="G348" s="577"/>
      <c r="H348" s="610"/>
      <c r="I348" s="611"/>
      <c r="J348" s="612">
        <f>ROUND(SUM(J346:J347),2)</f>
        <v>38.47</v>
      </c>
      <c r="K348" s="613"/>
      <c r="L348" s="614"/>
      <c r="M348" s="651"/>
      <c r="N348" s="612">
        <f>ROUND(SUM(N346:N347),2)</f>
        <v>39.9</v>
      </c>
      <c r="O348" s="613"/>
      <c r="P348" s="616">
        <f t="shared" si="56"/>
        <v>1.4299999999999997</v>
      </c>
      <c r="Q348" s="617">
        <f t="shared" si="57"/>
        <v>0.03717182219911619</v>
      </c>
    </row>
    <row r="350" spans="4:14" ht="12.75">
      <c r="D350" s="400" t="s">
        <v>605</v>
      </c>
      <c r="H350" s="634">
        <v>0.029900000000000038</v>
      </c>
      <c r="J350" s="635"/>
      <c r="L350" s="634">
        <v>0.034499999999999975</v>
      </c>
      <c r="N350" s="636"/>
    </row>
    <row r="351" spans="4:12" ht="12.75">
      <c r="D351" s="637" t="s">
        <v>606</v>
      </c>
      <c r="H351" s="638">
        <v>800</v>
      </c>
      <c r="L351" s="638">
        <f>H351</f>
        <v>800</v>
      </c>
    </row>
    <row r="352" ht="12.75">
      <c r="B352" s="400" t="s">
        <v>265</v>
      </c>
    </row>
    <row r="353" spans="2:17" ht="12.75">
      <c r="B353" s="1114"/>
      <c r="C353" s="1115"/>
      <c r="D353" s="1115"/>
      <c r="E353" s="1115"/>
      <c r="F353" s="1115"/>
      <c r="G353" s="1115"/>
      <c r="H353" s="1115"/>
      <c r="I353" s="1115"/>
      <c r="J353" s="1115"/>
      <c r="K353" s="1115"/>
      <c r="L353" s="1115"/>
      <c r="M353" s="1115"/>
      <c r="N353" s="1115"/>
      <c r="O353" s="1115"/>
      <c r="P353" s="1115"/>
      <c r="Q353" s="1116"/>
    </row>
    <row r="354" spans="2:17" ht="12.75">
      <c r="B354" s="1117"/>
      <c r="C354" s="1118"/>
      <c r="D354" s="1118"/>
      <c r="E354" s="1118"/>
      <c r="F354" s="1118"/>
      <c r="G354" s="1118"/>
      <c r="H354" s="1118"/>
      <c r="I354" s="1118"/>
      <c r="J354" s="1118"/>
      <c r="K354" s="1118"/>
      <c r="L354" s="1118"/>
      <c r="M354" s="1118"/>
      <c r="N354" s="1118"/>
      <c r="O354" s="1118"/>
      <c r="P354" s="1118"/>
      <c r="Q354" s="1119"/>
    </row>
    <row r="355" spans="2:17" ht="12.75">
      <c r="B355" s="1117"/>
      <c r="C355" s="1118"/>
      <c r="D355" s="1118"/>
      <c r="E355" s="1118"/>
      <c r="F355" s="1118"/>
      <c r="G355" s="1118"/>
      <c r="H355" s="1118"/>
      <c r="I355" s="1118"/>
      <c r="J355" s="1118"/>
      <c r="K355" s="1118"/>
      <c r="L355" s="1118"/>
      <c r="M355" s="1118"/>
      <c r="N355" s="1118"/>
      <c r="O355" s="1118"/>
      <c r="P355" s="1118"/>
      <c r="Q355" s="1119"/>
    </row>
    <row r="356" spans="2:17" ht="12.75">
      <c r="B356" s="1117"/>
      <c r="C356" s="1118"/>
      <c r="D356" s="1118"/>
      <c r="E356" s="1118"/>
      <c r="F356" s="1118"/>
      <c r="G356" s="1118"/>
      <c r="H356" s="1118"/>
      <c r="I356" s="1118"/>
      <c r="J356" s="1118"/>
      <c r="K356" s="1118"/>
      <c r="L356" s="1118"/>
      <c r="M356" s="1118"/>
      <c r="N356" s="1118"/>
      <c r="O356" s="1118"/>
      <c r="P356" s="1118"/>
      <c r="Q356" s="1119"/>
    </row>
    <row r="357" spans="2:17" ht="12.75">
      <c r="B357" s="1120"/>
      <c r="C357" s="1121"/>
      <c r="D357" s="1121"/>
      <c r="E357" s="1121"/>
      <c r="F357" s="1121"/>
      <c r="G357" s="1121"/>
      <c r="H357" s="1121"/>
      <c r="I357" s="1121"/>
      <c r="J357" s="1121"/>
      <c r="K357" s="1121"/>
      <c r="L357" s="1121"/>
      <c r="M357" s="1121"/>
      <c r="N357" s="1121"/>
      <c r="O357" s="1121"/>
      <c r="P357" s="1121"/>
      <c r="Q357" s="1122"/>
    </row>
  </sheetData>
  <sheetProtection selectLockedCells="1"/>
  <mergeCells count="56">
    <mergeCell ref="F8:Q8"/>
    <mergeCell ref="H12:J12"/>
    <mergeCell ref="L12:N12"/>
    <mergeCell ref="P12:Q12"/>
    <mergeCell ref="F13:F14"/>
    <mergeCell ref="P13:P14"/>
    <mergeCell ref="Q13:Q14"/>
    <mergeCell ref="B51:Q55"/>
    <mergeCell ref="F60:Q60"/>
    <mergeCell ref="H64:J64"/>
    <mergeCell ref="L64:N64"/>
    <mergeCell ref="P64:Q64"/>
    <mergeCell ref="F65:F66"/>
    <mergeCell ref="P65:P66"/>
    <mergeCell ref="Q65:Q66"/>
    <mergeCell ref="B103:Q107"/>
    <mergeCell ref="F112:Q112"/>
    <mergeCell ref="H116:J116"/>
    <mergeCell ref="L116:N116"/>
    <mergeCell ref="P116:Q116"/>
    <mergeCell ref="F117:F118"/>
    <mergeCell ref="P117:P118"/>
    <mergeCell ref="Q117:Q118"/>
    <mergeCell ref="B153:Q157"/>
    <mergeCell ref="F162:Q162"/>
    <mergeCell ref="H166:J166"/>
    <mergeCell ref="L166:N166"/>
    <mergeCell ref="P166:Q166"/>
    <mergeCell ref="F167:F168"/>
    <mergeCell ref="P167:P168"/>
    <mergeCell ref="Q167:Q168"/>
    <mergeCell ref="B203:Q207"/>
    <mergeCell ref="F212:Q212"/>
    <mergeCell ref="H216:J216"/>
    <mergeCell ref="L216:N216"/>
    <mergeCell ref="P216:Q216"/>
    <mergeCell ref="F217:F218"/>
    <mergeCell ref="P217:P218"/>
    <mergeCell ref="Q217:Q218"/>
    <mergeCell ref="B253:Q257"/>
    <mergeCell ref="P317:P318"/>
    <mergeCell ref="Q317:Q318"/>
    <mergeCell ref="F262:Q262"/>
    <mergeCell ref="H266:J266"/>
    <mergeCell ref="L266:N266"/>
    <mergeCell ref="P266:Q266"/>
    <mergeCell ref="F267:F268"/>
    <mergeCell ref="P267:P268"/>
    <mergeCell ref="Q267:Q268"/>
    <mergeCell ref="B353:Q357"/>
    <mergeCell ref="B303:Q307"/>
    <mergeCell ref="F312:Q312"/>
    <mergeCell ref="H316:J316"/>
    <mergeCell ref="L316:N316"/>
    <mergeCell ref="P316:Q316"/>
    <mergeCell ref="F317:F318"/>
  </mergeCells>
  <dataValidations count="2">
    <dataValidation type="list" allowBlank="1" showInputMessage="1" showErrorMessage="1" sqref="G15:G29 G335:G336 G338:G345 G319:G333 G285:G286 G288:G295 G269:G283 G235:G236 G238:G245 G219:G233 G185:G186 G188:G195 G169:G183 G83:G84 G86:G93 G67:G81 G31:G32 G34:G41 G135:G136 G138:G145 G119:G133">
      <formula1>$B$8:$B$13</formula1>
    </dataValidation>
    <dataValidation type="list" allowBlank="1" showInputMessage="1" showErrorMessage="1" sqref="F15:F29 F67:F81 F338:F345 F288:F295 F285:F286 F238:F245 F319:F333 F235:F236 F188:F195 F269:F283 F185:F186 F335:F336 F219:F233 F83:F84 F86:F93 F119:F133 F31:F32 F34:F41 F135:F136 F138:F145 F169:F183">
      <formula1>$B$8:$B$11</formula1>
    </dataValidation>
  </dataValidations>
  <printOptions/>
  <pageMargins left="0.75" right="0.75" top="1" bottom="1" header="0.5" footer="0.5"/>
  <pageSetup fitToHeight="1" fitToWidth="1" horizontalDpi="600" verticalDpi="600" orientation="portrait" scale="54" r:id="rId3"/>
  <headerFooter alignWithMargins="0">
    <oddFooter>&amp;C9</oddFooter>
  </headerFooter>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T357"/>
  <sheetViews>
    <sheetView showGridLines="0" zoomScale="75" zoomScaleNormal="75" zoomScalePageLayoutView="0" workbookViewId="0" topLeftCell="A1">
      <selection activeCell="U26" sqref="U26"/>
    </sheetView>
  </sheetViews>
  <sheetFormatPr defaultColWidth="9.140625" defaultRowHeight="15" outlineLevelRow="1"/>
  <cols>
    <col min="1" max="1" width="2.7109375" style="599" customWidth="1"/>
    <col min="2" max="2" width="4.57421875" style="561" customWidth="1"/>
    <col min="3" max="3" width="5.57421875" style="561" customWidth="1"/>
    <col min="4" max="4" width="33.28125" style="561" customWidth="1"/>
    <col min="5" max="5" width="1.28515625" style="561" customWidth="1"/>
    <col min="6" max="6" width="12.421875" style="561" customWidth="1"/>
    <col min="7" max="7" width="2.28125" style="561" customWidth="1"/>
    <col min="8" max="8" width="12.28125" style="561" customWidth="1"/>
    <col min="9" max="9" width="13.57421875" style="561" customWidth="1"/>
    <col min="10" max="10" width="18.00390625" style="561" bestFit="1" customWidth="1"/>
    <col min="11" max="11" width="2.8515625" style="561" customWidth="1"/>
    <col min="12" max="12" width="12.140625" style="561" customWidth="1"/>
    <col min="13" max="13" width="15.57421875" style="561" customWidth="1"/>
    <col min="14" max="14" width="17.7109375" style="561" bestFit="1" customWidth="1"/>
    <col min="15" max="15" width="2.8515625" style="561" customWidth="1"/>
    <col min="16" max="16" width="15.8515625" style="561" bestFit="1" customWidth="1"/>
    <col min="17" max="17" width="12.00390625" style="561" bestFit="1" customWidth="1"/>
    <col min="18" max="18" width="3.8515625" style="561" customWidth="1"/>
    <col min="19" max="19" width="9.140625" style="561" customWidth="1"/>
    <col min="20" max="20" width="9.140625" style="668" customWidth="1"/>
    <col min="21" max="16384" width="9.140625" style="669" customWidth="1"/>
  </cols>
  <sheetData>
    <row r="1" spans="1:18" s="557" customFormat="1" ht="34.5" customHeight="1">
      <c r="A1" s="452"/>
      <c r="C1" s="552"/>
      <c r="D1" s="551"/>
      <c r="E1" s="552"/>
      <c r="F1" s="552"/>
      <c r="G1" s="552"/>
      <c r="H1" s="552"/>
      <c r="I1" s="552"/>
      <c r="J1" s="552"/>
      <c r="K1" s="552"/>
      <c r="L1" s="552"/>
      <c r="M1" s="552"/>
      <c r="N1" s="2" t="s">
        <v>10</v>
      </c>
      <c r="O1" s="463"/>
      <c r="P1" s="463" t="str">
        <f>'PSS Bill Impacts  - App.2 V'!P1</f>
        <v>EB-2012-0161</v>
      </c>
      <c r="Q1" s="463"/>
      <c r="R1" s="463"/>
    </row>
    <row r="2" spans="1:18" s="557" customFormat="1" ht="19.5" customHeight="1">
      <c r="A2" s="665"/>
      <c r="C2" s="554"/>
      <c r="D2" s="453"/>
      <c r="E2" s="554"/>
      <c r="F2" s="554"/>
      <c r="G2" s="554"/>
      <c r="H2" s="554"/>
      <c r="I2" s="554"/>
      <c r="J2" s="554"/>
      <c r="K2" s="554"/>
      <c r="L2" s="554"/>
      <c r="M2" s="554"/>
      <c r="N2" s="2" t="s">
        <v>12</v>
      </c>
      <c r="O2" s="463"/>
      <c r="P2" s="463" t="str">
        <f>'PSS Bill Impacts  - App.2 V'!P2</f>
        <v>H</v>
      </c>
      <c r="Q2" s="463"/>
      <c r="R2" s="463"/>
    </row>
    <row r="3" spans="1:18" s="557" customFormat="1" ht="21.75" customHeight="1">
      <c r="A3" s="665"/>
      <c r="C3" s="554"/>
      <c r="D3" s="453" t="s">
        <v>615</v>
      </c>
      <c r="E3" s="554"/>
      <c r="F3" s="554"/>
      <c r="G3" s="554"/>
      <c r="H3" s="554"/>
      <c r="I3" s="554"/>
      <c r="J3" s="554"/>
      <c r="K3" s="554"/>
      <c r="L3" s="554"/>
      <c r="M3" s="554"/>
      <c r="N3" s="2" t="s">
        <v>14</v>
      </c>
      <c r="O3" s="463"/>
      <c r="P3" s="463">
        <f>'PSS Bill Impacts  - App.2 V'!P3</f>
        <v>6</v>
      </c>
      <c r="Q3" s="463"/>
      <c r="R3" s="463"/>
    </row>
    <row r="4" spans="1:18" s="557" customFormat="1" ht="19.5" customHeight="1">
      <c r="A4" s="665"/>
      <c r="C4" s="554"/>
      <c r="D4" s="555" t="s">
        <v>563</v>
      </c>
      <c r="E4" s="554"/>
      <c r="F4" s="554"/>
      <c r="G4" s="554"/>
      <c r="H4" s="554"/>
      <c r="I4" s="554"/>
      <c r="J4" s="554"/>
      <c r="K4" s="556"/>
      <c r="L4" s="556"/>
      <c r="M4" s="556"/>
      <c r="N4" s="2" t="s">
        <v>16</v>
      </c>
      <c r="O4" s="463"/>
      <c r="P4" s="463">
        <f>'PSS Bill Impacts  - App.2 V'!P4</f>
        <v>3</v>
      </c>
      <c r="Q4" s="463"/>
      <c r="R4" s="463"/>
    </row>
    <row r="5" spans="1:18" s="557" customFormat="1" ht="15" customHeight="1">
      <c r="A5" s="665"/>
      <c r="E5" s="558"/>
      <c r="F5" s="558"/>
      <c r="G5" s="558"/>
      <c r="N5" s="2" t="s">
        <v>18</v>
      </c>
      <c r="O5" s="463"/>
      <c r="P5" s="463"/>
      <c r="Q5" s="463"/>
      <c r="R5" s="463"/>
    </row>
    <row r="6" spans="1:18" s="557" customFormat="1" ht="15" customHeight="1">
      <c r="A6" s="665"/>
      <c r="N6" s="2" t="s">
        <v>19</v>
      </c>
      <c r="O6" s="463"/>
      <c r="P6" s="559">
        <v>41033</v>
      </c>
      <c r="Q6" s="463"/>
      <c r="R6" s="463"/>
    </row>
    <row r="7" spans="1:20" s="561" customFormat="1" ht="7.5" customHeight="1">
      <c r="A7" s="599"/>
      <c r="N7" s="463"/>
      <c r="O7" s="463"/>
      <c r="P7" s="463"/>
      <c r="Q7" s="463"/>
      <c r="R7" s="463"/>
      <c r="T7" s="666"/>
    </row>
    <row r="8" spans="1:20" s="561" customFormat="1" ht="15.75">
      <c r="A8" s="599"/>
      <c r="B8" s="551" t="s">
        <v>564</v>
      </c>
      <c r="D8" s="563" t="s">
        <v>565</v>
      </c>
      <c r="F8" s="1123" t="s">
        <v>433</v>
      </c>
      <c r="G8" s="1123"/>
      <c r="H8" s="1123"/>
      <c r="I8" s="1123"/>
      <c r="J8" s="1123"/>
      <c r="K8" s="1123"/>
      <c r="L8" s="1123"/>
      <c r="M8" s="1123"/>
      <c r="N8" s="1123"/>
      <c r="O8" s="1123"/>
      <c r="P8" s="1123"/>
      <c r="Q8" s="1123"/>
      <c r="T8" s="666"/>
    </row>
    <row r="9" spans="1:20" s="561" customFormat="1" ht="7.5" customHeight="1">
      <c r="A9" s="599"/>
      <c r="B9" s="551"/>
      <c r="D9" s="564"/>
      <c r="F9" s="565"/>
      <c r="G9" s="565"/>
      <c r="H9" s="565"/>
      <c r="I9" s="565"/>
      <c r="J9" s="565"/>
      <c r="K9" s="565"/>
      <c r="L9" s="565"/>
      <c r="M9" s="565"/>
      <c r="N9" s="565"/>
      <c r="O9" s="565"/>
      <c r="P9" s="565"/>
      <c r="Q9" s="565"/>
      <c r="T9" s="666"/>
    </row>
    <row r="10" spans="1:20" s="561" customFormat="1" ht="12.75">
      <c r="A10" s="599"/>
      <c r="B10" s="551" t="s">
        <v>566</v>
      </c>
      <c r="F10" s="400" t="s">
        <v>567</v>
      </c>
      <c r="G10" s="400"/>
      <c r="H10" s="566">
        <v>800</v>
      </c>
      <c r="I10" s="400" t="s">
        <v>568</v>
      </c>
      <c r="T10" s="666"/>
    </row>
    <row r="11" spans="1:20" s="561" customFormat="1" ht="10.5" customHeight="1">
      <c r="A11" s="599"/>
      <c r="B11" s="551" t="s">
        <v>569</v>
      </c>
      <c r="T11" s="666"/>
    </row>
    <row r="12" spans="1:20" s="561" customFormat="1" ht="12.75">
      <c r="A12" s="599"/>
      <c r="F12" s="568"/>
      <c r="G12" s="568"/>
      <c r="H12" s="1124" t="s">
        <v>570</v>
      </c>
      <c r="I12" s="1125"/>
      <c r="J12" s="1126"/>
      <c r="L12" s="1124" t="s">
        <v>571</v>
      </c>
      <c r="M12" s="1125"/>
      <c r="N12" s="1126"/>
      <c r="P12" s="1124" t="s">
        <v>572</v>
      </c>
      <c r="Q12" s="1126"/>
      <c r="T12" s="666"/>
    </row>
    <row r="13" spans="1:20" s="561" customFormat="1" ht="12.75">
      <c r="A13" s="599"/>
      <c r="F13" s="1108" t="s">
        <v>573</v>
      </c>
      <c r="G13" s="569"/>
      <c r="H13" s="570" t="s">
        <v>574</v>
      </c>
      <c r="I13" s="570" t="s">
        <v>575</v>
      </c>
      <c r="J13" s="571" t="s">
        <v>576</v>
      </c>
      <c r="L13" s="570" t="s">
        <v>574</v>
      </c>
      <c r="M13" s="572" t="s">
        <v>575</v>
      </c>
      <c r="N13" s="571" t="s">
        <v>576</v>
      </c>
      <c r="P13" s="1110" t="s">
        <v>577</v>
      </c>
      <c r="Q13" s="1112" t="s">
        <v>578</v>
      </c>
      <c r="T13" s="666"/>
    </row>
    <row r="14" spans="1:20" s="561" customFormat="1" ht="12.75">
      <c r="A14" s="599"/>
      <c r="F14" s="1109"/>
      <c r="G14" s="569"/>
      <c r="H14" s="573" t="s">
        <v>410</v>
      </c>
      <c r="I14" s="573"/>
      <c r="J14" s="574" t="s">
        <v>410</v>
      </c>
      <c r="L14" s="573" t="s">
        <v>410</v>
      </c>
      <c r="M14" s="574"/>
      <c r="N14" s="574" t="s">
        <v>410</v>
      </c>
      <c r="P14" s="1111"/>
      <c r="Q14" s="1113"/>
      <c r="T14" s="666"/>
    </row>
    <row r="15" spans="1:17" ht="12.75">
      <c r="A15" s="575"/>
      <c r="D15" s="577" t="s">
        <v>555</v>
      </c>
      <c r="E15" s="577"/>
      <c r="F15" s="667" t="s">
        <v>564</v>
      </c>
      <c r="G15" s="579"/>
      <c r="H15" s="580">
        <v>15.34</v>
      </c>
      <c r="I15" s="581">
        <v>1</v>
      </c>
      <c r="J15" s="582">
        <f aca="true" t="shared" si="0" ref="J15:J29">I15*H15</f>
        <v>15.34</v>
      </c>
      <c r="K15" s="577"/>
      <c r="L15" s="580">
        <v>13.57</v>
      </c>
      <c r="M15" s="583">
        <v>1</v>
      </c>
      <c r="N15" s="582">
        <f aca="true" t="shared" si="1" ref="N15:N29">M15*L15</f>
        <v>13.57</v>
      </c>
      <c r="O15" s="577"/>
      <c r="P15" s="584">
        <f aca="true" t="shared" si="2" ref="P15:P46">N15-J15</f>
        <v>-1.7699999999999996</v>
      </c>
      <c r="Q15" s="585">
        <f aca="true" t="shared" si="3" ref="Q15:Q46">IF((J15)=0,"",(P15/J15))</f>
        <v>-0.11538461538461536</v>
      </c>
    </row>
    <row r="16" spans="1:17" ht="12.75">
      <c r="A16" s="575"/>
      <c r="D16" s="577" t="s">
        <v>579</v>
      </c>
      <c r="E16" s="577"/>
      <c r="F16" s="667" t="s">
        <v>564</v>
      </c>
      <c r="G16" s="579"/>
      <c r="H16" s="580">
        <v>0</v>
      </c>
      <c r="I16" s="581">
        <v>1</v>
      </c>
      <c r="J16" s="582">
        <f t="shared" si="0"/>
        <v>0</v>
      </c>
      <c r="K16" s="577"/>
      <c r="L16" s="580">
        <v>0</v>
      </c>
      <c r="M16" s="583">
        <v>1</v>
      </c>
      <c r="N16" s="582">
        <f t="shared" si="1"/>
        <v>0</v>
      </c>
      <c r="O16" s="577"/>
      <c r="P16" s="584">
        <f t="shared" si="2"/>
        <v>0</v>
      </c>
      <c r="Q16" s="585">
        <f t="shared" si="3"/>
      </c>
    </row>
    <row r="17" spans="1:17" ht="12.75">
      <c r="A17" s="575"/>
      <c r="D17" s="644" t="s">
        <v>580</v>
      </c>
      <c r="E17" s="577"/>
      <c r="F17" s="667" t="s">
        <v>564</v>
      </c>
      <c r="G17" s="579"/>
      <c r="H17" s="580">
        <v>0</v>
      </c>
      <c r="I17" s="581">
        <v>1</v>
      </c>
      <c r="J17" s="582">
        <f t="shared" si="0"/>
        <v>0</v>
      </c>
      <c r="K17" s="577"/>
      <c r="L17" s="580">
        <v>0.2</v>
      </c>
      <c r="M17" s="583">
        <v>1</v>
      </c>
      <c r="N17" s="582">
        <f t="shared" si="1"/>
        <v>0.2</v>
      </c>
      <c r="O17" s="577"/>
      <c r="P17" s="584">
        <f t="shared" si="2"/>
        <v>0.2</v>
      </c>
      <c r="Q17" s="585">
        <f t="shared" si="3"/>
      </c>
    </row>
    <row r="18" spans="1:17" ht="12.75">
      <c r="A18" s="575"/>
      <c r="D18" s="577" t="s">
        <v>581</v>
      </c>
      <c r="E18" s="577"/>
      <c r="F18" s="667" t="s">
        <v>564</v>
      </c>
      <c r="G18" s="579"/>
      <c r="H18" s="580">
        <v>1.78</v>
      </c>
      <c r="I18" s="581">
        <v>1</v>
      </c>
      <c r="J18" s="582">
        <f t="shared" si="0"/>
        <v>1.78</v>
      </c>
      <c r="K18" s="577"/>
      <c r="L18" s="587">
        <v>0</v>
      </c>
      <c r="M18" s="583">
        <v>1</v>
      </c>
      <c r="N18" s="582">
        <f t="shared" si="1"/>
        <v>0</v>
      </c>
      <c r="O18" s="577"/>
      <c r="P18" s="584">
        <f t="shared" si="2"/>
        <v>-1.78</v>
      </c>
      <c r="Q18" s="585">
        <f t="shared" si="3"/>
        <v>-1</v>
      </c>
    </row>
    <row r="19" spans="1:17" ht="12.75">
      <c r="A19" s="575"/>
      <c r="D19" s="577" t="s">
        <v>582</v>
      </c>
      <c r="E19" s="577"/>
      <c r="F19" s="667" t="s">
        <v>566</v>
      </c>
      <c r="G19" s="579"/>
      <c r="H19" s="587">
        <v>0.0137</v>
      </c>
      <c r="I19" s="581">
        <f>H10</f>
        <v>800</v>
      </c>
      <c r="J19" s="582">
        <f t="shared" si="0"/>
        <v>10.96</v>
      </c>
      <c r="K19" s="577"/>
      <c r="L19" s="587">
        <v>0.0151</v>
      </c>
      <c r="M19" s="583">
        <f>H10</f>
        <v>800</v>
      </c>
      <c r="N19" s="582">
        <f t="shared" si="1"/>
        <v>12.08</v>
      </c>
      <c r="O19" s="577"/>
      <c r="P19" s="584">
        <f t="shared" si="2"/>
        <v>1.1199999999999992</v>
      </c>
      <c r="Q19" s="585">
        <f t="shared" si="3"/>
        <v>0.10218978102189773</v>
      </c>
    </row>
    <row r="20" spans="1:17" ht="12.75">
      <c r="A20" s="575"/>
      <c r="D20" s="577" t="s">
        <v>583</v>
      </c>
      <c r="E20" s="577"/>
      <c r="F20" s="667" t="s">
        <v>566</v>
      </c>
      <c r="G20" s="579"/>
      <c r="H20" s="587">
        <v>0.0008</v>
      </c>
      <c r="I20" s="581">
        <f aca="true" t="shared" si="4" ref="I20:I25">I19</f>
        <v>800</v>
      </c>
      <c r="J20" s="582">
        <f t="shared" si="0"/>
        <v>0.64</v>
      </c>
      <c r="K20" s="577"/>
      <c r="L20" s="587">
        <v>0.0003</v>
      </c>
      <c r="M20" s="583">
        <f aca="true" t="shared" si="5" ref="M20:M25">M19</f>
        <v>800</v>
      </c>
      <c r="N20" s="582">
        <f t="shared" si="1"/>
        <v>0.24</v>
      </c>
      <c r="O20" s="577"/>
      <c r="P20" s="584">
        <f t="shared" si="2"/>
        <v>-0.4</v>
      </c>
      <c r="Q20" s="585">
        <f t="shared" si="3"/>
        <v>-0.625</v>
      </c>
    </row>
    <row r="21" spans="1:17" ht="12.75">
      <c r="A21" s="575"/>
      <c r="D21" s="577" t="s">
        <v>584</v>
      </c>
      <c r="E21" s="577"/>
      <c r="F21" s="667" t="s">
        <v>566</v>
      </c>
      <c r="G21" s="579"/>
      <c r="H21" s="587">
        <v>0</v>
      </c>
      <c r="I21" s="581">
        <f t="shared" si="4"/>
        <v>800</v>
      </c>
      <c r="J21" s="582">
        <f t="shared" si="0"/>
        <v>0</v>
      </c>
      <c r="K21" s="577"/>
      <c r="L21" s="587">
        <v>0</v>
      </c>
      <c r="M21" s="583">
        <f t="shared" si="5"/>
        <v>800</v>
      </c>
      <c r="N21" s="582">
        <f t="shared" si="1"/>
        <v>0</v>
      </c>
      <c r="O21" s="577"/>
      <c r="P21" s="584">
        <f t="shared" si="2"/>
        <v>0</v>
      </c>
      <c r="Q21" s="585">
        <f t="shared" si="3"/>
      </c>
    </row>
    <row r="22" spans="1:17" ht="12.75">
      <c r="A22" s="575"/>
      <c r="D22" s="577" t="s">
        <v>585</v>
      </c>
      <c r="E22" s="577"/>
      <c r="F22" s="667" t="s">
        <v>566</v>
      </c>
      <c r="G22" s="579"/>
      <c r="H22" s="587">
        <v>-0.0006</v>
      </c>
      <c r="I22" s="581">
        <f t="shared" si="4"/>
        <v>800</v>
      </c>
      <c r="J22" s="582">
        <f t="shared" si="0"/>
        <v>-0.48</v>
      </c>
      <c r="K22" s="577"/>
      <c r="L22" s="587">
        <v>0</v>
      </c>
      <c r="M22" s="583">
        <f t="shared" si="5"/>
        <v>800</v>
      </c>
      <c r="N22" s="582">
        <f t="shared" si="1"/>
        <v>0</v>
      </c>
      <c r="O22" s="577"/>
      <c r="P22" s="584">
        <f t="shared" si="2"/>
        <v>0.48</v>
      </c>
      <c r="Q22" s="585">
        <f t="shared" si="3"/>
        <v>-1</v>
      </c>
    </row>
    <row r="23" spans="1:17" ht="12.75">
      <c r="A23" s="575"/>
      <c r="D23" s="577" t="s">
        <v>586</v>
      </c>
      <c r="E23" s="577"/>
      <c r="F23" s="667" t="s">
        <v>566</v>
      </c>
      <c r="G23" s="579"/>
      <c r="H23" s="587">
        <v>0</v>
      </c>
      <c r="I23" s="581">
        <f t="shared" si="4"/>
        <v>800</v>
      </c>
      <c r="J23" s="582">
        <f t="shared" si="0"/>
        <v>0</v>
      </c>
      <c r="K23" s="577"/>
      <c r="L23" s="587">
        <v>0</v>
      </c>
      <c r="M23" s="583">
        <f t="shared" si="5"/>
        <v>800</v>
      </c>
      <c r="N23" s="582">
        <f t="shared" si="1"/>
        <v>0</v>
      </c>
      <c r="O23" s="577"/>
      <c r="P23" s="584">
        <f t="shared" si="2"/>
        <v>0</v>
      </c>
      <c r="Q23" s="585">
        <f t="shared" si="3"/>
      </c>
    </row>
    <row r="24" spans="1:17" ht="25.5">
      <c r="A24" s="575"/>
      <c r="D24" s="589" t="s">
        <v>616</v>
      </c>
      <c r="E24" s="577"/>
      <c r="F24" s="667" t="s">
        <v>566</v>
      </c>
      <c r="G24" s="579"/>
      <c r="H24" s="587">
        <v>0.0004</v>
      </c>
      <c r="I24" s="581">
        <f t="shared" si="4"/>
        <v>800</v>
      </c>
      <c r="J24" s="582">
        <f t="shared" si="0"/>
        <v>0.32</v>
      </c>
      <c r="K24" s="577"/>
      <c r="L24" s="587">
        <f>H24</f>
        <v>0.0004</v>
      </c>
      <c r="M24" s="583">
        <f t="shared" si="5"/>
        <v>800</v>
      </c>
      <c r="N24" s="582">
        <f t="shared" si="1"/>
        <v>0.32</v>
      </c>
      <c r="O24" s="577"/>
      <c r="P24" s="584">
        <f t="shared" si="2"/>
        <v>0</v>
      </c>
      <c r="Q24" s="585">
        <f t="shared" si="3"/>
        <v>0</v>
      </c>
    </row>
    <row r="25" spans="1:17" ht="38.25">
      <c r="A25" s="588"/>
      <c r="D25" s="589" t="s">
        <v>617</v>
      </c>
      <c r="E25" s="577"/>
      <c r="F25" s="667" t="s">
        <v>566</v>
      </c>
      <c r="G25" s="579"/>
      <c r="H25" s="587">
        <v>-0.0006</v>
      </c>
      <c r="I25" s="581">
        <f t="shared" si="4"/>
        <v>800</v>
      </c>
      <c r="J25" s="582">
        <f t="shared" si="0"/>
        <v>-0.48</v>
      </c>
      <c r="K25" s="577"/>
      <c r="L25" s="587">
        <f>H25</f>
        <v>-0.0006</v>
      </c>
      <c r="M25" s="583">
        <f t="shared" si="5"/>
        <v>800</v>
      </c>
      <c r="N25" s="582">
        <f t="shared" si="1"/>
        <v>-0.48</v>
      </c>
      <c r="O25" s="577"/>
      <c r="P25" s="584">
        <f t="shared" si="2"/>
        <v>0</v>
      </c>
      <c r="Q25" s="585">
        <f t="shared" si="3"/>
        <v>0</v>
      </c>
    </row>
    <row r="26" spans="1:17" ht="38.25">
      <c r="A26" s="588"/>
      <c r="D26" s="589" t="s">
        <v>618</v>
      </c>
      <c r="E26" s="577"/>
      <c r="F26" s="667" t="s">
        <v>566</v>
      </c>
      <c r="G26" s="579"/>
      <c r="H26" s="587"/>
      <c r="I26" s="591"/>
      <c r="J26" s="582">
        <f t="shared" si="0"/>
        <v>0</v>
      </c>
      <c r="K26" s="577"/>
      <c r="L26" s="587">
        <v>0.0008</v>
      </c>
      <c r="M26" s="583">
        <f>M25</f>
        <v>800</v>
      </c>
      <c r="N26" s="582">
        <f t="shared" si="1"/>
        <v>0.64</v>
      </c>
      <c r="O26" s="577"/>
      <c r="P26" s="584">
        <f t="shared" si="2"/>
        <v>0.64</v>
      </c>
      <c r="Q26" s="585">
        <f t="shared" si="3"/>
      </c>
    </row>
    <row r="27" spans="4:17" ht="12.75">
      <c r="D27" s="590"/>
      <c r="E27" s="577"/>
      <c r="F27" s="667"/>
      <c r="G27" s="579"/>
      <c r="H27" s="587"/>
      <c r="I27" s="591"/>
      <c r="J27" s="582">
        <f t="shared" si="0"/>
        <v>0</v>
      </c>
      <c r="K27" s="577"/>
      <c r="L27" s="587"/>
      <c r="M27" s="592"/>
      <c r="N27" s="582">
        <f t="shared" si="1"/>
        <v>0</v>
      </c>
      <c r="O27" s="577"/>
      <c r="P27" s="584">
        <f t="shared" si="2"/>
        <v>0</v>
      </c>
      <c r="Q27" s="585">
        <f t="shared" si="3"/>
      </c>
    </row>
    <row r="28" spans="4:17" ht="12.75">
      <c r="D28" s="590"/>
      <c r="E28" s="577"/>
      <c r="F28" s="667"/>
      <c r="G28" s="579"/>
      <c r="H28" s="587"/>
      <c r="I28" s="591"/>
      <c r="J28" s="582">
        <f t="shared" si="0"/>
        <v>0</v>
      </c>
      <c r="K28" s="577"/>
      <c r="L28" s="587"/>
      <c r="M28" s="592"/>
      <c r="N28" s="582">
        <f t="shared" si="1"/>
        <v>0</v>
      </c>
      <c r="O28" s="577"/>
      <c r="P28" s="584">
        <f t="shared" si="2"/>
        <v>0</v>
      </c>
      <c r="Q28" s="585">
        <f t="shared" si="3"/>
      </c>
    </row>
    <row r="29" spans="4:17" ht="13.5" thickBot="1">
      <c r="D29" s="590"/>
      <c r="E29" s="577"/>
      <c r="F29" s="667"/>
      <c r="G29" s="579"/>
      <c r="H29" s="587"/>
      <c r="I29" s="591"/>
      <c r="J29" s="582">
        <f t="shared" si="0"/>
        <v>0</v>
      </c>
      <c r="K29" s="577"/>
      <c r="L29" s="587"/>
      <c r="M29" s="592"/>
      <c r="N29" s="582">
        <f t="shared" si="1"/>
        <v>0</v>
      </c>
      <c r="O29" s="577"/>
      <c r="P29" s="584">
        <f t="shared" si="2"/>
        <v>0</v>
      </c>
      <c r="Q29" s="585">
        <f t="shared" si="3"/>
      </c>
    </row>
    <row r="30" spans="4:17" ht="13.5" thickBot="1">
      <c r="D30" s="400" t="s">
        <v>589</v>
      </c>
      <c r="G30" s="551"/>
      <c r="H30" s="593"/>
      <c r="I30" s="594"/>
      <c r="J30" s="595">
        <f>SUM(J15:J29)</f>
        <v>28.080000000000002</v>
      </c>
      <c r="L30" s="593"/>
      <c r="M30" s="596"/>
      <c r="N30" s="595">
        <f>SUM(N15:N29)</f>
        <v>26.57</v>
      </c>
      <c r="P30" s="597">
        <f t="shared" si="2"/>
        <v>-1.5100000000000016</v>
      </c>
      <c r="Q30" s="598">
        <f t="shared" si="3"/>
        <v>-0.05377492877492883</v>
      </c>
    </row>
    <row r="31" spans="4:17" ht="12.75">
      <c r="D31" s="599" t="s">
        <v>590</v>
      </c>
      <c r="E31" s="599"/>
      <c r="F31" s="670" t="s">
        <v>566</v>
      </c>
      <c r="G31" s="601"/>
      <c r="H31" s="602">
        <v>0.0069</v>
      </c>
      <c r="I31" s="603">
        <f>H10*(1+H48)</f>
        <v>845.2</v>
      </c>
      <c r="J31" s="604">
        <f>I31*H31</f>
        <v>5.83188</v>
      </c>
      <c r="K31" s="599"/>
      <c r="L31" s="602">
        <v>0.0071</v>
      </c>
      <c r="M31" s="605">
        <f>H10*(1+L48)</f>
        <v>827.6</v>
      </c>
      <c r="N31" s="604">
        <f>M31*L31</f>
        <v>5.87596</v>
      </c>
      <c r="O31" s="599"/>
      <c r="P31" s="606">
        <f t="shared" si="2"/>
        <v>0.04408000000000012</v>
      </c>
      <c r="Q31" s="607">
        <f t="shared" si="3"/>
        <v>0.007558454563536993</v>
      </c>
    </row>
    <row r="32" spans="4:17" ht="26.25" thickBot="1">
      <c r="D32" s="608" t="s">
        <v>591</v>
      </c>
      <c r="E32" s="599"/>
      <c r="F32" s="670" t="s">
        <v>566</v>
      </c>
      <c r="G32" s="601"/>
      <c r="H32" s="602">
        <v>0.0054</v>
      </c>
      <c r="I32" s="603">
        <f>I31</f>
        <v>845.2</v>
      </c>
      <c r="J32" s="604">
        <f>I32*H32</f>
        <v>4.564080000000001</v>
      </c>
      <c r="K32" s="599"/>
      <c r="L32" s="602">
        <v>0.0032</v>
      </c>
      <c r="M32" s="605">
        <f>M31</f>
        <v>827.6</v>
      </c>
      <c r="N32" s="604">
        <f>M32*L32</f>
        <v>2.64832</v>
      </c>
      <c r="O32" s="599"/>
      <c r="P32" s="606">
        <f t="shared" si="2"/>
        <v>-1.9157600000000006</v>
      </c>
      <c r="Q32" s="607">
        <f t="shared" si="3"/>
        <v>-0.41974724369423855</v>
      </c>
    </row>
    <row r="33" spans="4:17" ht="26.25" thickBot="1">
      <c r="D33" s="609" t="s">
        <v>592</v>
      </c>
      <c r="E33" s="577"/>
      <c r="F33" s="577"/>
      <c r="G33" s="579"/>
      <c r="H33" s="610"/>
      <c r="I33" s="611"/>
      <c r="J33" s="612">
        <f>SUM(J30:J32)</f>
        <v>38.47596</v>
      </c>
      <c r="K33" s="613"/>
      <c r="L33" s="614"/>
      <c r="M33" s="615"/>
      <c r="N33" s="612">
        <f>SUM(N30:N32)</f>
        <v>35.09428</v>
      </c>
      <c r="O33" s="613"/>
      <c r="P33" s="616">
        <f t="shared" si="2"/>
        <v>-3.381680000000003</v>
      </c>
      <c r="Q33" s="617">
        <f t="shared" si="3"/>
        <v>-0.08789072449394382</v>
      </c>
    </row>
    <row r="34" spans="4:17" ht="25.5">
      <c r="D34" s="589" t="s">
        <v>593</v>
      </c>
      <c r="E34" s="577"/>
      <c r="F34" s="667" t="s">
        <v>566</v>
      </c>
      <c r="G34" s="579"/>
      <c r="H34" s="587">
        <v>0.0052</v>
      </c>
      <c r="I34" s="581">
        <f>I32</f>
        <v>845.2</v>
      </c>
      <c r="J34" s="582">
        <f aca="true" t="shared" si="6" ref="J34:J41">I34*H34</f>
        <v>4.39504</v>
      </c>
      <c r="K34" s="577"/>
      <c r="L34" s="587">
        <f aca="true" t="shared" si="7" ref="L34:L40">H34</f>
        <v>0.0052</v>
      </c>
      <c r="M34" s="618">
        <f>M32</f>
        <v>827.6</v>
      </c>
      <c r="N34" s="582">
        <f aca="true" t="shared" si="8" ref="N34:N41">M34*L34</f>
        <v>4.30352</v>
      </c>
      <c r="O34" s="577"/>
      <c r="P34" s="584">
        <f t="shared" si="2"/>
        <v>-0.09152000000000005</v>
      </c>
      <c r="Q34" s="585">
        <f t="shared" si="3"/>
        <v>-0.02082347373402746</v>
      </c>
    </row>
    <row r="35" spans="4:17" ht="25.5">
      <c r="D35" s="589" t="s">
        <v>594</v>
      </c>
      <c r="E35" s="577"/>
      <c r="F35" s="667" t="s">
        <v>566</v>
      </c>
      <c r="G35" s="579"/>
      <c r="H35" s="587">
        <v>0.0011</v>
      </c>
      <c r="I35" s="581">
        <f>I32</f>
        <v>845.2</v>
      </c>
      <c r="J35" s="582">
        <f t="shared" si="6"/>
        <v>0.9297200000000001</v>
      </c>
      <c r="K35" s="577"/>
      <c r="L35" s="587">
        <f t="shared" si="7"/>
        <v>0.0011</v>
      </c>
      <c r="M35" s="618">
        <f>M32</f>
        <v>827.6</v>
      </c>
      <c r="N35" s="582">
        <f t="shared" si="8"/>
        <v>0.9103600000000001</v>
      </c>
      <c r="O35" s="577"/>
      <c r="P35" s="584">
        <f t="shared" si="2"/>
        <v>-0.019360000000000044</v>
      </c>
      <c r="Q35" s="585">
        <f t="shared" si="3"/>
        <v>-0.020823473734027494</v>
      </c>
    </row>
    <row r="36" spans="4:17" ht="12.75">
      <c r="D36" s="589" t="s">
        <v>595</v>
      </c>
      <c r="E36" s="577"/>
      <c r="F36" s="667" t="s">
        <v>566</v>
      </c>
      <c r="G36" s="579"/>
      <c r="H36" s="587">
        <v>0</v>
      </c>
      <c r="I36" s="581">
        <f>I32</f>
        <v>845.2</v>
      </c>
      <c r="J36" s="582">
        <f t="shared" si="6"/>
        <v>0</v>
      </c>
      <c r="K36" s="577"/>
      <c r="L36" s="587">
        <f t="shared" si="7"/>
        <v>0</v>
      </c>
      <c r="M36" s="618">
        <f>M32</f>
        <v>827.6</v>
      </c>
      <c r="N36" s="582">
        <f t="shared" si="8"/>
        <v>0</v>
      </c>
      <c r="O36" s="577"/>
      <c r="P36" s="584">
        <f t="shared" si="2"/>
        <v>0</v>
      </c>
      <c r="Q36" s="585">
        <f t="shared" si="3"/>
      </c>
    </row>
    <row r="37" spans="4:17" ht="12.75">
      <c r="D37" s="577" t="s">
        <v>596</v>
      </c>
      <c r="E37" s="577"/>
      <c r="F37" s="667" t="s">
        <v>564</v>
      </c>
      <c r="G37" s="579"/>
      <c r="H37" s="587">
        <v>0.25</v>
      </c>
      <c r="I37" s="581">
        <v>1</v>
      </c>
      <c r="J37" s="582">
        <f t="shared" si="6"/>
        <v>0.25</v>
      </c>
      <c r="K37" s="577"/>
      <c r="L37" s="587">
        <f t="shared" si="7"/>
        <v>0.25</v>
      </c>
      <c r="M37" s="619">
        <v>1</v>
      </c>
      <c r="N37" s="582">
        <f t="shared" si="8"/>
        <v>0.25</v>
      </c>
      <c r="O37" s="577"/>
      <c r="P37" s="584">
        <f t="shared" si="2"/>
        <v>0</v>
      </c>
      <c r="Q37" s="585">
        <f t="shared" si="3"/>
        <v>0</v>
      </c>
    </row>
    <row r="38" spans="4:17" ht="12.75">
      <c r="D38" s="577" t="s">
        <v>597</v>
      </c>
      <c r="E38" s="577"/>
      <c r="F38" s="667" t="s">
        <v>566</v>
      </c>
      <c r="G38" s="579"/>
      <c r="H38" s="587">
        <v>0.007</v>
      </c>
      <c r="I38" s="581">
        <f>H10</f>
        <v>800</v>
      </c>
      <c r="J38" s="582">
        <f t="shared" si="6"/>
        <v>5.6000000000000005</v>
      </c>
      <c r="K38" s="577"/>
      <c r="L38" s="587">
        <f t="shared" si="7"/>
        <v>0.007</v>
      </c>
      <c r="M38" s="619">
        <f>H10</f>
        <v>800</v>
      </c>
      <c r="N38" s="582">
        <f t="shared" si="8"/>
        <v>5.6000000000000005</v>
      </c>
      <c r="O38" s="577"/>
      <c r="P38" s="584">
        <f t="shared" si="2"/>
        <v>0</v>
      </c>
      <c r="Q38" s="585">
        <f t="shared" si="3"/>
        <v>0</v>
      </c>
    </row>
    <row r="39" spans="4:17" ht="12.75">
      <c r="D39" s="577" t="s">
        <v>598</v>
      </c>
      <c r="E39" s="577"/>
      <c r="F39" s="667" t="s">
        <v>566</v>
      </c>
      <c r="G39" s="579"/>
      <c r="H39" s="587">
        <v>0.075</v>
      </c>
      <c r="I39" s="581">
        <f>IF(I31&lt;H49,I31,H49)</f>
        <v>800</v>
      </c>
      <c r="J39" s="582">
        <f t="shared" si="6"/>
        <v>60</v>
      </c>
      <c r="K39" s="577"/>
      <c r="L39" s="587">
        <f t="shared" si="7"/>
        <v>0.075</v>
      </c>
      <c r="M39" s="620">
        <f>IF(M31&lt;L49,M31,L49)</f>
        <v>800</v>
      </c>
      <c r="N39" s="582">
        <f t="shared" si="8"/>
        <v>60</v>
      </c>
      <c r="O39" s="577"/>
      <c r="P39" s="584">
        <f t="shared" si="2"/>
        <v>0</v>
      </c>
      <c r="Q39" s="585">
        <f t="shared" si="3"/>
        <v>0</v>
      </c>
    </row>
    <row r="40" spans="4:17" ht="12.75">
      <c r="D40" s="577" t="s">
        <v>599</v>
      </c>
      <c r="E40" s="577"/>
      <c r="F40" s="667" t="s">
        <v>566</v>
      </c>
      <c r="G40" s="579"/>
      <c r="H40" s="587">
        <v>0.088</v>
      </c>
      <c r="I40" s="621">
        <f>IF(I31&lt;H49,0,I34-I39)</f>
        <v>45.200000000000045</v>
      </c>
      <c r="J40" s="582">
        <f t="shared" si="6"/>
        <v>3.977600000000004</v>
      </c>
      <c r="K40" s="577"/>
      <c r="L40" s="587">
        <f t="shared" si="7"/>
        <v>0.088</v>
      </c>
      <c r="M40" s="622">
        <f>IF(M31&lt;L49,0,M31-M39)</f>
        <v>27.600000000000023</v>
      </c>
      <c r="N40" s="582">
        <f t="shared" si="8"/>
        <v>2.428800000000002</v>
      </c>
      <c r="O40" s="577"/>
      <c r="P40" s="584">
        <f t="shared" si="2"/>
        <v>-1.5488000000000017</v>
      </c>
      <c r="Q40" s="585">
        <f t="shared" si="3"/>
        <v>-0.3893805309734514</v>
      </c>
    </row>
    <row r="41" spans="4:17" ht="13.5" thickBot="1">
      <c r="D41" s="590"/>
      <c r="E41" s="577"/>
      <c r="F41" s="667"/>
      <c r="G41" s="579"/>
      <c r="H41" s="587"/>
      <c r="I41" s="591"/>
      <c r="J41" s="582">
        <f t="shared" si="6"/>
        <v>0</v>
      </c>
      <c r="K41" s="577"/>
      <c r="L41" s="587"/>
      <c r="M41" s="592"/>
      <c r="N41" s="582">
        <f t="shared" si="8"/>
        <v>0</v>
      </c>
      <c r="O41" s="577"/>
      <c r="P41" s="584">
        <f t="shared" si="2"/>
        <v>0</v>
      </c>
      <c r="Q41" s="585">
        <f t="shared" si="3"/>
      </c>
    </row>
    <row r="42" spans="4:17" ht="13.5" thickBot="1">
      <c r="D42" s="623" t="s">
        <v>600</v>
      </c>
      <c r="E42" s="577"/>
      <c r="F42" s="577"/>
      <c r="G42" s="577"/>
      <c r="H42" s="624"/>
      <c r="I42" s="625"/>
      <c r="J42" s="612">
        <f>SUM(J33:J41)</f>
        <v>113.62832000000002</v>
      </c>
      <c r="K42" s="613"/>
      <c r="L42" s="626"/>
      <c r="M42" s="627"/>
      <c r="N42" s="612">
        <f>SUM(N33:N41)</f>
        <v>108.58695999999999</v>
      </c>
      <c r="O42" s="613"/>
      <c r="P42" s="616">
        <f t="shared" si="2"/>
        <v>-5.041360000000026</v>
      </c>
      <c r="Q42" s="617">
        <f t="shared" si="3"/>
        <v>-0.04436710848140697</v>
      </c>
    </row>
    <row r="43" spans="4:17" ht="13.5" thickBot="1">
      <c r="D43" s="579" t="s">
        <v>601</v>
      </c>
      <c r="E43" s="577"/>
      <c r="F43" s="577"/>
      <c r="G43" s="577"/>
      <c r="H43" s="628">
        <v>0.13</v>
      </c>
      <c r="I43" s="629"/>
      <c r="J43" s="630">
        <f>J42*H43</f>
        <v>14.771681600000003</v>
      </c>
      <c r="K43" s="577"/>
      <c r="L43" s="628">
        <v>0.13</v>
      </c>
      <c r="M43" s="631"/>
      <c r="N43" s="630">
        <f>N42*L43</f>
        <v>14.1163048</v>
      </c>
      <c r="O43" s="577"/>
      <c r="P43" s="584">
        <f t="shared" si="2"/>
        <v>-0.6553768000000026</v>
      </c>
      <c r="Q43" s="585">
        <f t="shared" si="3"/>
        <v>-0.04436710848140692</v>
      </c>
    </row>
    <row r="44" spans="1:20" s="395" customFormat="1" ht="26.25" thickBot="1">
      <c r="A44" s="560"/>
      <c r="D44" s="609" t="s">
        <v>602</v>
      </c>
      <c r="E44" s="577"/>
      <c r="F44" s="577"/>
      <c r="G44" s="577"/>
      <c r="H44" s="610"/>
      <c r="I44" s="611"/>
      <c r="J44" s="612">
        <f>ROUND(SUM(J42:J43),2)</f>
        <v>128.4</v>
      </c>
      <c r="K44" s="577"/>
      <c r="L44" s="614"/>
      <c r="M44" s="615"/>
      <c r="N44" s="612">
        <f>ROUND(SUM(N42:N43),2)</f>
        <v>122.7</v>
      </c>
      <c r="O44" s="577"/>
      <c r="P44" s="616">
        <f t="shared" si="2"/>
        <v>-5.700000000000003</v>
      </c>
      <c r="Q44" s="617">
        <f t="shared" si="3"/>
        <v>-0.044392523364486</v>
      </c>
      <c r="T44" s="258"/>
    </row>
    <row r="45" spans="1:20" s="395" customFormat="1" ht="13.5" thickBot="1">
      <c r="A45" s="560"/>
      <c r="D45" s="579" t="s">
        <v>603</v>
      </c>
      <c r="E45" s="577"/>
      <c r="F45" s="577"/>
      <c r="G45" s="577"/>
      <c r="H45" s="632"/>
      <c r="I45" s="629"/>
      <c r="J45" s="633">
        <f>ROUND(-J44*10%,2)</f>
        <v>-12.84</v>
      </c>
      <c r="K45" s="577"/>
      <c r="L45" s="632"/>
      <c r="M45" s="631"/>
      <c r="N45" s="633">
        <f>ROUND(-N44*10%,2)</f>
        <v>-12.27</v>
      </c>
      <c r="O45" s="577"/>
      <c r="P45" s="584">
        <f t="shared" si="2"/>
        <v>0.5700000000000003</v>
      </c>
      <c r="Q45" s="585">
        <f t="shared" si="3"/>
        <v>-0.04439252336448601</v>
      </c>
      <c r="T45" s="258"/>
    </row>
    <row r="46" spans="4:17" ht="13.5" thickBot="1">
      <c r="D46" s="609" t="s">
        <v>604</v>
      </c>
      <c r="E46" s="577"/>
      <c r="F46" s="577"/>
      <c r="G46" s="577"/>
      <c r="H46" s="610"/>
      <c r="I46" s="611"/>
      <c r="J46" s="612">
        <f>ROUND(SUM(J44:J45),2)</f>
        <v>115.56</v>
      </c>
      <c r="K46" s="613"/>
      <c r="L46" s="614"/>
      <c r="M46" s="615"/>
      <c r="N46" s="612">
        <f>ROUND(SUM(N44:N45),2)</f>
        <v>110.43</v>
      </c>
      <c r="O46" s="613"/>
      <c r="P46" s="616">
        <f t="shared" si="2"/>
        <v>-5.1299999999999955</v>
      </c>
      <c r="Q46" s="617">
        <f t="shared" si="3"/>
        <v>-0.04439252336448594</v>
      </c>
    </row>
    <row r="47" ht="10.5" customHeight="1"/>
    <row r="48" spans="4:14" ht="12.75">
      <c r="D48" s="400" t="s">
        <v>605</v>
      </c>
      <c r="H48" s="634">
        <v>0.056499999999999995</v>
      </c>
      <c r="J48" s="635"/>
      <c r="L48" s="634">
        <v>0.034499999999999975</v>
      </c>
      <c r="N48" s="636"/>
    </row>
    <row r="49" spans="4:12" ht="18.75" customHeight="1">
      <c r="D49" s="637" t="s">
        <v>606</v>
      </c>
      <c r="H49" s="638">
        <v>800</v>
      </c>
      <c r="L49" s="638">
        <f>H49</f>
        <v>800</v>
      </c>
    </row>
    <row r="50" ht="12.75">
      <c r="B50" s="400" t="s">
        <v>265</v>
      </c>
    </row>
    <row r="51" spans="2:17" ht="12.75">
      <c r="B51" s="1127"/>
      <c r="C51" s="1128"/>
      <c r="D51" s="1128"/>
      <c r="E51" s="1128"/>
      <c r="F51" s="1128"/>
      <c r="G51" s="1128"/>
      <c r="H51" s="1128"/>
      <c r="I51" s="1128"/>
      <c r="J51" s="1128"/>
      <c r="K51" s="1128"/>
      <c r="L51" s="1128"/>
      <c r="M51" s="1128"/>
      <c r="N51" s="1128"/>
      <c r="O51" s="1128"/>
      <c r="P51" s="1128"/>
      <c r="Q51" s="1129"/>
    </row>
    <row r="52" spans="2:17" ht="12.75">
      <c r="B52" s="1130"/>
      <c r="C52" s="1131"/>
      <c r="D52" s="1131"/>
      <c r="E52" s="1131"/>
      <c r="F52" s="1131"/>
      <c r="G52" s="1131"/>
      <c r="H52" s="1131"/>
      <c r="I52" s="1131"/>
      <c r="J52" s="1131"/>
      <c r="K52" s="1131"/>
      <c r="L52" s="1131"/>
      <c r="M52" s="1131"/>
      <c r="N52" s="1131"/>
      <c r="O52" s="1131"/>
      <c r="P52" s="1131"/>
      <c r="Q52" s="1132"/>
    </row>
    <row r="53" spans="2:17" ht="12.75">
      <c r="B53" s="1130"/>
      <c r="C53" s="1131"/>
      <c r="D53" s="1131"/>
      <c r="E53" s="1131"/>
      <c r="F53" s="1131"/>
      <c r="G53" s="1131"/>
      <c r="H53" s="1131"/>
      <c r="I53" s="1131"/>
      <c r="J53" s="1131"/>
      <c r="K53" s="1131"/>
      <c r="L53" s="1131"/>
      <c r="M53" s="1131"/>
      <c r="N53" s="1131"/>
      <c r="O53" s="1131"/>
      <c r="P53" s="1131"/>
      <c r="Q53" s="1132"/>
    </row>
    <row r="54" spans="2:17" ht="12.75">
      <c r="B54" s="1130"/>
      <c r="C54" s="1131"/>
      <c r="D54" s="1131"/>
      <c r="E54" s="1131"/>
      <c r="F54" s="1131"/>
      <c r="G54" s="1131"/>
      <c r="H54" s="1131"/>
      <c r="I54" s="1131"/>
      <c r="J54" s="1131"/>
      <c r="K54" s="1131"/>
      <c r="L54" s="1131"/>
      <c r="M54" s="1131"/>
      <c r="N54" s="1131"/>
      <c r="O54" s="1131"/>
      <c r="P54" s="1131"/>
      <c r="Q54" s="1132"/>
    </row>
    <row r="55" spans="2:17" ht="12.75">
      <c r="B55" s="1133"/>
      <c r="C55" s="1134"/>
      <c r="D55" s="1134"/>
      <c r="E55" s="1134"/>
      <c r="F55" s="1134"/>
      <c r="G55" s="1134"/>
      <c r="H55" s="1134"/>
      <c r="I55" s="1134"/>
      <c r="J55" s="1134"/>
      <c r="K55" s="1134"/>
      <c r="L55" s="1134"/>
      <c r="M55" s="1134"/>
      <c r="N55" s="1134"/>
      <c r="O55" s="1134"/>
      <c r="P55" s="1134"/>
      <c r="Q55" s="1135"/>
    </row>
    <row r="56" ht="12.75"/>
    <row r="57" ht="12.75"/>
    <row r="58" ht="12.75"/>
    <row r="59" ht="12.75"/>
    <row r="60" spans="2:17" ht="15.75">
      <c r="B60" s="551" t="s">
        <v>564</v>
      </c>
      <c r="D60" s="563" t="s">
        <v>565</v>
      </c>
      <c r="F60" s="1123" t="s">
        <v>607</v>
      </c>
      <c r="G60" s="1123"/>
      <c r="H60" s="1123"/>
      <c r="I60" s="1123"/>
      <c r="J60" s="1123"/>
      <c r="K60" s="1123"/>
      <c r="L60" s="1123"/>
      <c r="M60" s="1123"/>
      <c r="N60" s="1123"/>
      <c r="O60" s="1123"/>
      <c r="P60" s="1123"/>
      <c r="Q60" s="1123"/>
    </row>
    <row r="61" spans="2:17" ht="7.5" customHeight="1">
      <c r="B61" s="551"/>
      <c r="D61" s="564"/>
      <c r="F61" s="565"/>
      <c r="G61" s="565"/>
      <c r="H61" s="565"/>
      <c r="I61" s="565"/>
      <c r="J61" s="565"/>
      <c r="K61" s="565"/>
      <c r="L61" s="565"/>
      <c r="M61" s="565"/>
      <c r="N61" s="565"/>
      <c r="O61" s="565"/>
      <c r="P61" s="565"/>
      <c r="Q61" s="565"/>
    </row>
    <row r="62" spans="2:9" ht="12.75">
      <c r="B62" s="551" t="s">
        <v>566</v>
      </c>
      <c r="F62" s="400" t="s">
        <v>567</v>
      </c>
      <c r="G62" s="400"/>
      <c r="H62" s="566">
        <v>2000</v>
      </c>
      <c r="I62" s="400" t="s">
        <v>568</v>
      </c>
    </row>
    <row r="63" ht="10.5" customHeight="1">
      <c r="B63" s="551" t="s">
        <v>569</v>
      </c>
    </row>
    <row r="64" spans="6:17" ht="12.75">
      <c r="F64" s="568"/>
      <c r="G64" s="568"/>
      <c r="H64" s="1124" t="s">
        <v>570</v>
      </c>
      <c r="I64" s="1125"/>
      <c r="J64" s="1126"/>
      <c r="L64" s="1124" t="s">
        <v>571</v>
      </c>
      <c r="M64" s="1125"/>
      <c r="N64" s="1126"/>
      <c r="P64" s="1124" t="s">
        <v>572</v>
      </c>
      <c r="Q64" s="1126"/>
    </row>
    <row r="65" spans="6:17" ht="12.75">
      <c r="F65" s="1108" t="s">
        <v>573</v>
      </c>
      <c r="G65" s="569"/>
      <c r="H65" s="570" t="s">
        <v>574</v>
      </c>
      <c r="I65" s="570" t="s">
        <v>575</v>
      </c>
      <c r="J65" s="571" t="s">
        <v>576</v>
      </c>
      <c r="L65" s="570" t="s">
        <v>574</v>
      </c>
      <c r="M65" s="572" t="s">
        <v>575</v>
      </c>
      <c r="N65" s="571" t="s">
        <v>576</v>
      </c>
      <c r="P65" s="1110" t="s">
        <v>577</v>
      </c>
      <c r="Q65" s="1112" t="s">
        <v>578</v>
      </c>
    </row>
    <row r="66" spans="6:17" ht="12.75">
      <c r="F66" s="1109"/>
      <c r="G66" s="569"/>
      <c r="H66" s="573" t="s">
        <v>410</v>
      </c>
      <c r="I66" s="573"/>
      <c r="J66" s="574" t="s">
        <v>410</v>
      </c>
      <c r="L66" s="573" t="s">
        <v>410</v>
      </c>
      <c r="M66" s="574"/>
      <c r="N66" s="574" t="s">
        <v>410</v>
      </c>
      <c r="P66" s="1111"/>
      <c r="Q66" s="1113"/>
    </row>
    <row r="67" spans="4:17" ht="12.75">
      <c r="D67" s="577" t="s">
        <v>555</v>
      </c>
      <c r="E67" s="577"/>
      <c r="F67" s="667" t="s">
        <v>564</v>
      </c>
      <c r="G67" s="579"/>
      <c r="H67" s="580">
        <v>16.11</v>
      </c>
      <c r="I67" s="581">
        <v>1</v>
      </c>
      <c r="J67" s="582">
        <f aca="true" t="shared" si="9" ref="J67:J81">I67*H67</f>
        <v>16.11</v>
      </c>
      <c r="K67" s="577"/>
      <c r="L67" s="580">
        <v>27.91</v>
      </c>
      <c r="M67" s="583">
        <v>1</v>
      </c>
      <c r="N67" s="582">
        <f aca="true" t="shared" si="10" ref="N67:N81">M67*L67</f>
        <v>27.91</v>
      </c>
      <c r="O67" s="577"/>
      <c r="P67" s="584">
        <f aca="true" t="shared" si="11" ref="P67:P98">N67-J67</f>
        <v>11.8</v>
      </c>
      <c r="Q67" s="585">
        <f aca="true" t="shared" si="12" ref="Q67:Q98">IF((J67)=0,"",(P67/J67))</f>
        <v>0.7324643078833024</v>
      </c>
    </row>
    <row r="68" spans="4:17" ht="12.75">
      <c r="D68" s="644" t="s">
        <v>580</v>
      </c>
      <c r="E68" s="577"/>
      <c r="F68" s="667" t="s">
        <v>564</v>
      </c>
      <c r="G68" s="579"/>
      <c r="H68" s="587">
        <v>0</v>
      </c>
      <c r="I68" s="581">
        <v>1</v>
      </c>
      <c r="J68" s="582">
        <f t="shared" si="9"/>
        <v>0</v>
      </c>
      <c r="K68" s="577"/>
      <c r="L68" s="580">
        <v>0.2</v>
      </c>
      <c r="M68" s="583">
        <v>1</v>
      </c>
      <c r="N68" s="582">
        <f t="shared" si="10"/>
        <v>0.2</v>
      </c>
      <c r="O68" s="577"/>
      <c r="P68" s="584">
        <f t="shared" si="11"/>
        <v>0.2</v>
      </c>
      <c r="Q68" s="585">
        <f t="shared" si="12"/>
      </c>
    </row>
    <row r="69" spans="1:17" ht="12.75">
      <c r="A69" s="657"/>
      <c r="D69" s="577" t="s">
        <v>614</v>
      </c>
      <c r="E69" s="577"/>
      <c r="F69" s="667" t="s">
        <v>564</v>
      </c>
      <c r="G69" s="579"/>
      <c r="H69" s="587">
        <v>4.73</v>
      </c>
      <c r="I69" s="581">
        <v>1</v>
      </c>
      <c r="J69" s="582">
        <f t="shared" si="9"/>
        <v>4.73</v>
      </c>
      <c r="K69" s="577"/>
      <c r="L69" s="587">
        <v>0</v>
      </c>
      <c r="M69" s="583">
        <v>1</v>
      </c>
      <c r="N69" s="582">
        <f t="shared" si="10"/>
        <v>0</v>
      </c>
      <c r="O69" s="577"/>
      <c r="P69" s="584">
        <f t="shared" si="11"/>
        <v>-4.73</v>
      </c>
      <c r="Q69" s="585">
        <f t="shared" si="12"/>
        <v>-1</v>
      </c>
    </row>
    <row r="70" spans="4:17" ht="12.75">
      <c r="D70" s="577" t="s">
        <v>581</v>
      </c>
      <c r="E70" s="577"/>
      <c r="F70" s="667" t="s">
        <v>564</v>
      </c>
      <c r="G70" s="579"/>
      <c r="H70" s="587">
        <v>0</v>
      </c>
      <c r="I70" s="581">
        <v>1</v>
      </c>
      <c r="J70" s="582">
        <f t="shared" si="9"/>
        <v>0</v>
      </c>
      <c r="K70" s="577"/>
      <c r="L70" s="587">
        <v>0</v>
      </c>
      <c r="M70" s="583">
        <v>1</v>
      </c>
      <c r="N70" s="582">
        <f t="shared" si="10"/>
        <v>0</v>
      </c>
      <c r="O70" s="577"/>
      <c r="P70" s="584">
        <f t="shared" si="11"/>
        <v>0</v>
      </c>
      <c r="Q70" s="585">
        <f t="shared" si="12"/>
      </c>
    </row>
    <row r="71" spans="4:17" ht="12.75">
      <c r="D71" s="577" t="s">
        <v>582</v>
      </c>
      <c r="E71" s="577"/>
      <c r="F71" s="667" t="s">
        <v>566</v>
      </c>
      <c r="G71" s="579"/>
      <c r="H71" s="587">
        <v>0.0164</v>
      </c>
      <c r="I71" s="581">
        <f>H62</f>
        <v>2000</v>
      </c>
      <c r="J71" s="582">
        <f t="shared" si="9"/>
        <v>32.800000000000004</v>
      </c>
      <c r="K71" s="577"/>
      <c r="L71" s="587">
        <v>0.0148</v>
      </c>
      <c r="M71" s="583">
        <f>H62</f>
        <v>2000</v>
      </c>
      <c r="N71" s="582">
        <f t="shared" si="10"/>
        <v>29.6</v>
      </c>
      <c r="O71" s="577"/>
      <c r="P71" s="584">
        <f t="shared" si="11"/>
        <v>-3.200000000000003</v>
      </c>
      <c r="Q71" s="585">
        <f t="shared" si="12"/>
        <v>-0.09756097560975617</v>
      </c>
    </row>
    <row r="72" spans="4:17" ht="12.75">
      <c r="D72" s="577" t="s">
        <v>583</v>
      </c>
      <c r="E72" s="577"/>
      <c r="F72" s="667" t="s">
        <v>566</v>
      </c>
      <c r="G72" s="579"/>
      <c r="H72" s="587">
        <v>0.0007</v>
      </c>
      <c r="I72" s="581">
        <f aca="true" t="shared" si="13" ref="I72:I77">I71</f>
        <v>2000</v>
      </c>
      <c r="J72" s="582">
        <f t="shared" si="9"/>
        <v>1.4</v>
      </c>
      <c r="K72" s="577"/>
      <c r="L72" s="587">
        <v>0.0003</v>
      </c>
      <c r="M72" s="583">
        <f aca="true" t="shared" si="14" ref="M72:M77">M71</f>
        <v>2000</v>
      </c>
      <c r="N72" s="582">
        <f t="shared" si="10"/>
        <v>0.6</v>
      </c>
      <c r="O72" s="577"/>
      <c r="P72" s="584">
        <f t="shared" si="11"/>
        <v>-0.7999999999999999</v>
      </c>
      <c r="Q72" s="585">
        <f t="shared" si="12"/>
        <v>-0.5714285714285714</v>
      </c>
    </row>
    <row r="73" spans="4:17" ht="12.75">
      <c r="D73" s="577" t="s">
        <v>584</v>
      </c>
      <c r="E73" s="577"/>
      <c r="F73" s="667" t="s">
        <v>566</v>
      </c>
      <c r="G73" s="579"/>
      <c r="H73" s="587">
        <v>0</v>
      </c>
      <c r="I73" s="581">
        <f t="shared" si="13"/>
        <v>2000</v>
      </c>
      <c r="J73" s="582">
        <f t="shared" si="9"/>
        <v>0</v>
      </c>
      <c r="K73" s="577"/>
      <c r="L73" s="587">
        <v>0</v>
      </c>
      <c r="M73" s="583">
        <f t="shared" si="14"/>
        <v>2000</v>
      </c>
      <c r="N73" s="582">
        <f t="shared" si="10"/>
        <v>0</v>
      </c>
      <c r="O73" s="577"/>
      <c r="P73" s="584">
        <f t="shared" si="11"/>
        <v>0</v>
      </c>
      <c r="Q73" s="585">
        <f t="shared" si="12"/>
      </c>
    </row>
    <row r="74" spans="4:17" ht="12.75">
      <c r="D74" s="577" t="s">
        <v>585</v>
      </c>
      <c r="E74" s="577"/>
      <c r="F74" s="667" t="s">
        <v>566</v>
      </c>
      <c r="G74" s="579"/>
      <c r="H74" s="587">
        <v>-0.0004</v>
      </c>
      <c r="I74" s="581">
        <f t="shared" si="13"/>
        <v>2000</v>
      </c>
      <c r="J74" s="582">
        <f t="shared" si="9"/>
        <v>-0.8</v>
      </c>
      <c r="K74" s="577"/>
      <c r="L74" s="587">
        <v>0</v>
      </c>
      <c r="M74" s="583">
        <f t="shared" si="14"/>
        <v>2000</v>
      </c>
      <c r="N74" s="582">
        <f t="shared" si="10"/>
        <v>0</v>
      </c>
      <c r="O74" s="577"/>
      <c r="P74" s="584">
        <f t="shared" si="11"/>
        <v>0.8</v>
      </c>
      <c r="Q74" s="585">
        <f t="shared" si="12"/>
        <v>-1</v>
      </c>
    </row>
    <row r="75" spans="4:17" ht="12.75">
      <c r="D75" s="577" t="s">
        <v>586</v>
      </c>
      <c r="E75" s="577"/>
      <c r="F75" s="667" t="s">
        <v>566</v>
      </c>
      <c r="G75" s="579"/>
      <c r="H75" s="587">
        <v>0</v>
      </c>
      <c r="I75" s="581">
        <f t="shared" si="13"/>
        <v>2000</v>
      </c>
      <c r="J75" s="582">
        <f t="shared" si="9"/>
        <v>0</v>
      </c>
      <c r="K75" s="577"/>
      <c r="L75" s="587">
        <v>0</v>
      </c>
      <c r="M75" s="583">
        <f t="shared" si="14"/>
        <v>2000</v>
      </c>
      <c r="N75" s="582">
        <f t="shared" si="10"/>
        <v>0</v>
      </c>
      <c r="O75" s="577"/>
      <c r="P75" s="584">
        <f t="shared" si="11"/>
        <v>0</v>
      </c>
      <c r="Q75" s="585">
        <f t="shared" si="12"/>
      </c>
    </row>
    <row r="76" spans="4:17" ht="25.5">
      <c r="D76" s="589" t="s">
        <v>616</v>
      </c>
      <c r="E76" s="577"/>
      <c r="F76" s="667" t="s">
        <v>566</v>
      </c>
      <c r="G76" s="579"/>
      <c r="H76" s="587">
        <v>0.0007</v>
      </c>
      <c r="I76" s="581">
        <f t="shared" si="13"/>
        <v>2000</v>
      </c>
      <c r="J76" s="582">
        <f t="shared" si="9"/>
        <v>1.4</v>
      </c>
      <c r="K76" s="577"/>
      <c r="L76" s="587">
        <f>H76</f>
        <v>0.0007</v>
      </c>
      <c r="M76" s="583">
        <f t="shared" si="14"/>
        <v>2000</v>
      </c>
      <c r="N76" s="582">
        <f t="shared" si="10"/>
        <v>1.4</v>
      </c>
      <c r="O76" s="577"/>
      <c r="P76" s="584">
        <f t="shared" si="11"/>
        <v>0</v>
      </c>
      <c r="Q76" s="585">
        <f t="shared" si="12"/>
        <v>0</v>
      </c>
    </row>
    <row r="77" spans="1:17" ht="38.25">
      <c r="A77" s="601"/>
      <c r="D77" s="589" t="s">
        <v>617</v>
      </c>
      <c r="E77" s="577"/>
      <c r="F77" s="667" t="s">
        <v>566</v>
      </c>
      <c r="G77" s="579"/>
      <c r="H77" s="587">
        <v>-0.0004</v>
      </c>
      <c r="I77" s="581">
        <f t="shared" si="13"/>
        <v>2000</v>
      </c>
      <c r="J77" s="582">
        <f t="shared" si="9"/>
        <v>-0.8</v>
      </c>
      <c r="K77" s="577"/>
      <c r="L77" s="587">
        <f>H77</f>
        <v>-0.0004</v>
      </c>
      <c r="M77" s="583">
        <f t="shared" si="14"/>
        <v>2000</v>
      </c>
      <c r="N77" s="582">
        <f t="shared" si="10"/>
        <v>-0.8</v>
      </c>
      <c r="O77" s="577"/>
      <c r="P77" s="584">
        <f t="shared" si="11"/>
        <v>0</v>
      </c>
      <c r="Q77" s="585">
        <f t="shared" si="12"/>
        <v>0</v>
      </c>
    </row>
    <row r="78" spans="1:17" ht="38.25">
      <c r="A78" s="601"/>
      <c r="D78" s="589" t="s">
        <v>618</v>
      </c>
      <c r="E78" s="577"/>
      <c r="F78" s="667" t="s">
        <v>566</v>
      </c>
      <c r="G78" s="579"/>
      <c r="H78" s="587"/>
      <c r="I78" s="671">
        <f>I77</f>
        <v>2000</v>
      </c>
      <c r="J78" s="582">
        <f t="shared" si="9"/>
        <v>0</v>
      </c>
      <c r="K78" s="577"/>
      <c r="L78" s="587">
        <v>-0.0009</v>
      </c>
      <c r="M78" s="583">
        <f>M77</f>
        <v>2000</v>
      </c>
      <c r="N78" s="582">
        <f t="shared" si="10"/>
        <v>-1.8</v>
      </c>
      <c r="O78" s="577"/>
      <c r="P78" s="584">
        <f t="shared" si="11"/>
        <v>-1.8</v>
      </c>
      <c r="Q78" s="585">
        <f t="shared" si="12"/>
      </c>
    </row>
    <row r="79" spans="4:17" ht="12.75">
      <c r="D79" s="590"/>
      <c r="E79" s="577"/>
      <c r="F79" s="667"/>
      <c r="G79" s="579"/>
      <c r="H79" s="587"/>
      <c r="I79" s="591"/>
      <c r="J79" s="582">
        <f t="shared" si="9"/>
        <v>0</v>
      </c>
      <c r="K79" s="577"/>
      <c r="L79" s="587"/>
      <c r="M79" s="592"/>
      <c r="N79" s="582">
        <f t="shared" si="10"/>
        <v>0</v>
      </c>
      <c r="O79" s="577"/>
      <c r="P79" s="584">
        <f t="shared" si="11"/>
        <v>0</v>
      </c>
      <c r="Q79" s="585">
        <f t="shared" si="12"/>
      </c>
    </row>
    <row r="80" spans="4:17" ht="12.75">
      <c r="D80" s="590"/>
      <c r="E80" s="577"/>
      <c r="F80" s="667"/>
      <c r="G80" s="579"/>
      <c r="H80" s="587"/>
      <c r="I80" s="591"/>
      <c r="J80" s="582">
        <f t="shared" si="9"/>
        <v>0</v>
      </c>
      <c r="K80" s="577"/>
      <c r="L80" s="587"/>
      <c r="M80" s="592"/>
      <c r="N80" s="582">
        <f t="shared" si="10"/>
        <v>0</v>
      </c>
      <c r="O80" s="577"/>
      <c r="P80" s="584">
        <f t="shared" si="11"/>
        <v>0</v>
      </c>
      <c r="Q80" s="585">
        <f t="shared" si="12"/>
      </c>
    </row>
    <row r="81" spans="4:17" ht="13.5" thickBot="1">
      <c r="D81" s="590"/>
      <c r="E81" s="577"/>
      <c r="F81" s="667"/>
      <c r="G81" s="579"/>
      <c r="H81" s="587"/>
      <c r="I81" s="591"/>
      <c r="J81" s="582">
        <f t="shared" si="9"/>
        <v>0</v>
      </c>
      <c r="K81" s="577"/>
      <c r="L81" s="587"/>
      <c r="M81" s="592"/>
      <c r="N81" s="582">
        <f t="shared" si="10"/>
        <v>0</v>
      </c>
      <c r="O81" s="577"/>
      <c r="P81" s="584">
        <f t="shared" si="11"/>
        <v>0</v>
      </c>
      <c r="Q81" s="585">
        <f t="shared" si="12"/>
      </c>
    </row>
    <row r="82" spans="4:17" ht="13.5" thickBot="1">
      <c r="D82" s="400" t="s">
        <v>589</v>
      </c>
      <c r="G82" s="551"/>
      <c r="H82" s="593"/>
      <c r="I82" s="594"/>
      <c r="J82" s="595">
        <f>SUM(J67:J81)</f>
        <v>54.84</v>
      </c>
      <c r="L82" s="593"/>
      <c r="M82" s="596"/>
      <c r="N82" s="595">
        <f>SUM(N67:N81)</f>
        <v>57.11000000000001</v>
      </c>
      <c r="P82" s="597">
        <f t="shared" si="11"/>
        <v>2.270000000000003</v>
      </c>
      <c r="Q82" s="598">
        <f t="shared" si="12"/>
        <v>0.041393143690736746</v>
      </c>
    </row>
    <row r="83" spans="4:17" ht="12.75">
      <c r="D83" s="599" t="s">
        <v>590</v>
      </c>
      <c r="E83" s="599"/>
      <c r="F83" s="670" t="s">
        <v>566</v>
      </c>
      <c r="G83" s="601"/>
      <c r="H83" s="602">
        <v>0.0063</v>
      </c>
      <c r="I83" s="639">
        <f>H62*(1+H100)</f>
        <v>2113</v>
      </c>
      <c r="J83" s="604">
        <f>I83*H83</f>
        <v>13.3119</v>
      </c>
      <c r="K83" s="599"/>
      <c r="L83" s="602">
        <v>0.0065</v>
      </c>
      <c r="M83" s="640">
        <f>H62*(1+L100)</f>
        <v>2069</v>
      </c>
      <c r="N83" s="604">
        <f>M83*L83</f>
        <v>13.4485</v>
      </c>
      <c r="O83" s="599"/>
      <c r="P83" s="606">
        <f t="shared" si="11"/>
        <v>0.1365999999999996</v>
      </c>
      <c r="Q83" s="607">
        <f t="shared" si="12"/>
        <v>0.010261495353781175</v>
      </c>
    </row>
    <row r="84" spans="4:17" ht="26.25" thickBot="1">
      <c r="D84" s="608" t="s">
        <v>591</v>
      </c>
      <c r="E84" s="599"/>
      <c r="F84" s="670" t="s">
        <v>566</v>
      </c>
      <c r="G84" s="601"/>
      <c r="H84" s="602">
        <v>0.0048</v>
      </c>
      <c r="I84" s="639">
        <f>I83</f>
        <v>2113</v>
      </c>
      <c r="J84" s="604">
        <f>I84*H84</f>
        <v>10.142399999999999</v>
      </c>
      <c r="K84" s="599"/>
      <c r="L84" s="602">
        <v>0.0028</v>
      </c>
      <c r="M84" s="640">
        <f>M83</f>
        <v>2069</v>
      </c>
      <c r="N84" s="604">
        <f>M84*L84</f>
        <v>5.7932</v>
      </c>
      <c r="O84" s="599"/>
      <c r="P84" s="606">
        <f t="shared" si="11"/>
        <v>-4.349199999999999</v>
      </c>
      <c r="Q84" s="607">
        <f t="shared" si="12"/>
        <v>-0.42881369301151595</v>
      </c>
    </row>
    <row r="85" spans="4:17" ht="26.25" thickBot="1">
      <c r="D85" s="609" t="s">
        <v>592</v>
      </c>
      <c r="E85" s="577"/>
      <c r="F85" s="577"/>
      <c r="G85" s="579"/>
      <c r="H85" s="610"/>
      <c r="I85" s="611"/>
      <c r="J85" s="612">
        <f>SUM(J82:J84)</f>
        <v>78.29429999999999</v>
      </c>
      <c r="K85" s="613"/>
      <c r="L85" s="614"/>
      <c r="M85" s="615"/>
      <c r="N85" s="612">
        <f>SUM(N82:N84)</f>
        <v>76.35170000000001</v>
      </c>
      <c r="O85" s="613"/>
      <c r="P85" s="616">
        <f t="shared" si="11"/>
        <v>-1.9425999999999846</v>
      </c>
      <c r="Q85" s="617">
        <f t="shared" si="12"/>
        <v>-0.024811512460038404</v>
      </c>
    </row>
    <row r="86" spans="4:17" ht="25.5">
      <c r="D86" s="589" t="s">
        <v>593</v>
      </c>
      <c r="E86" s="577"/>
      <c r="F86" s="667" t="s">
        <v>566</v>
      </c>
      <c r="G86" s="579"/>
      <c r="H86" s="587">
        <v>0.0052</v>
      </c>
      <c r="I86" s="581">
        <f>I84</f>
        <v>2113</v>
      </c>
      <c r="J86" s="582">
        <f aca="true" t="shared" si="15" ref="J86:J93">I86*H86</f>
        <v>10.987599999999999</v>
      </c>
      <c r="K86" s="577"/>
      <c r="L86" s="587">
        <f aca="true" t="shared" si="16" ref="L86:L92">H86</f>
        <v>0.0052</v>
      </c>
      <c r="M86" s="583">
        <f>M84</f>
        <v>2069</v>
      </c>
      <c r="N86" s="582">
        <f aca="true" t="shared" si="17" ref="N86:N93">M86*L86</f>
        <v>10.758799999999999</v>
      </c>
      <c r="O86" s="577"/>
      <c r="P86" s="584">
        <f t="shared" si="11"/>
        <v>-0.22879999999999967</v>
      </c>
      <c r="Q86" s="585">
        <f t="shared" si="12"/>
        <v>-0.02082347373402742</v>
      </c>
    </row>
    <row r="87" spans="4:17" ht="25.5">
      <c r="D87" s="589" t="s">
        <v>594</v>
      </c>
      <c r="E87" s="577"/>
      <c r="F87" s="667" t="s">
        <v>566</v>
      </c>
      <c r="G87" s="579"/>
      <c r="H87" s="587">
        <v>0.0011</v>
      </c>
      <c r="I87" s="581">
        <f>I84</f>
        <v>2113</v>
      </c>
      <c r="J87" s="582">
        <f t="shared" si="15"/>
        <v>2.3243</v>
      </c>
      <c r="K87" s="577"/>
      <c r="L87" s="587">
        <f t="shared" si="16"/>
        <v>0.0011</v>
      </c>
      <c r="M87" s="583">
        <f>M84</f>
        <v>2069</v>
      </c>
      <c r="N87" s="582">
        <f t="shared" si="17"/>
        <v>2.2759</v>
      </c>
      <c r="O87" s="577"/>
      <c r="P87" s="584">
        <f t="shared" si="11"/>
        <v>-0.0484</v>
      </c>
      <c r="Q87" s="585">
        <f t="shared" si="12"/>
        <v>-0.02082347373402745</v>
      </c>
    </row>
    <row r="88" spans="4:17" ht="12.75">
      <c r="D88" s="589" t="s">
        <v>595</v>
      </c>
      <c r="E88" s="577"/>
      <c r="F88" s="667" t="s">
        <v>566</v>
      </c>
      <c r="G88" s="579"/>
      <c r="H88" s="587">
        <v>0</v>
      </c>
      <c r="I88" s="581">
        <f>I84</f>
        <v>2113</v>
      </c>
      <c r="J88" s="582">
        <f t="shared" si="15"/>
        <v>0</v>
      </c>
      <c r="K88" s="577"/>
      <c r="L88" s="587">
        <f t="shared" si="16"/>
        <v>0</v>
      </c>
      <c r="M88" s="583">
        <f>M84</f>
        <v>2069</v>
      </c>
      <c r="N88" s="582">
        <f t="shared" si="17"/>
        <v>0</v>
      </c>
      <c r="O88" s="577"/>
      <c r="P88" s="584">
        <f t="shared" si="11"/>
        <v>0</v>
      </c>
      <c r="Q88" s="585">
        <f t="shared" si="12"/>
      </c>
    </row>
    <row r="89" spans="4:17" ht="12.75">
      <c r="D89" s="577" t="s">
        <v>596</v>
      </c>
      <c r="E89" s="577"/>
      <c r="F89" s="667" t="s">
        <v>564</v>
      </c>
      <c r="G89" s="579"/>
      <c r="H89" s="587">
        <v>0.25</v>
      </c>
      <c r="I89" s="581">
        <v>1</v>
      </c>
      <c r="J89" s="582">
        <f t="shared" si="15"/>
        <v>0.25</v>
      </c>
      <c r="K89" s="577"/>
      <c r="L89" s="587">
        <f t="shared" si="16"/>
        <v>0.25</v>
      </c>
      <c r="M89" s="583">
        <v>1</v>
      </c>
      <c r="N89" s="582">
        <f t="shared" si="17"/>
        <v>0.25</v>
      </c>
      <c r="O89" s="577"/>
      <c r="P89" s="584">
        <f t="shared" si="11"/>
        <v>0</v>
      </c>
      <c r="Q89" s="585">
        <f t="shared" si="12"/>
        <v>0</v>
      </c>
    </row>
    <row r="90" spans="4:17" ht="12.75">
      <c r="D90" s="577" t="s">
        <v>597</v>
      </c>
      <c r="E90" s="577"/>
      <c r="F90" s="667" t="s">
        <v>566</v>
      </c>
      <c r="G90" s="579"/>
      <c r="H90" s="587">
        <v>0.007</v>
      </c>
      <c r="I90" s="581">
        <f>H62</f>
        <v>2000</v>
      </c>
      <c r="J90" s="582">
        <f t="shared" si="15"/>
        <v>14</v>
      </c>
      <c r="K90" s="577"/>
      <c r="L90" s="587">
        <f t="shared" si="16"/>
        <v>0.007</v>
      </c>
      <c r="M90" s="583">
        <f>H62</f>
        <v>2000</v>
      </c>
      <c r="N90" s="582">
        <f t="shared" si="17"/>
        <v>14</v>
      </c>
      <c r="O90" s="577"/>
      <c r="P90" s="584">
        <f t="shared" si="11"/>
        <v>0</v>
      </c>
      <c r="Q90" s="585">
        <f t="shared" si="12"/>
        <v>0</v>
      </c>
    </row>
    <row r="91" spans="4:17" ht="12.75">
      <c r="D91" s="577" t="s">
        <v>598</v>
      </c>
      <c r="E91" s="577"/>
      <c r="F91" s="667" t="s">
        <v>566</v>
      </c>
      <c r="G91" s="579"/>
      <c r="H91" s="587">
        <v>0.075</v>
      </c>
      <c r="I91" s="581">
        <f>IF(I83&lt;H101,I83,H101)</f>
        <v>750</v>
      </c>
      <c r="J91" s="582">
        <f t="shared" si="15"/>
        <v>56.25</v>
      </c>
      <c r="K91" s="577"/>
      <c r="L91" s="587">
        <f t="shared" si="16"/>
        <v>0.075</v>
      </c>
      <c r="M91" s="583">
        <f>IF(M83&lt;L101,M83,L101)</f>
        <v>750</v>
      </c>
      <c r="N91" s="582">
        <f t="shared" si="17"/>
        <v>56.25</v>
      </c>
      <c r="O91" s="577"/>
      <c r="P91" s="584">
        <f t="shared" si="11"/>
        <v>0</v>
      </c>
      <c r="Q91" s="585">
        <f t="shared" si="12"/>
        <v>0</v>
      </c>
    </row>
    <row r="92" spans="4:17" ht="12.75">
      <c r="D92" s="577" t="s">
        <v>599</v>
      </c>
      <c r="E92" s="577"/>
      <c r="F92" s="667" t="s">
        <v>566</v>
      </c>
      <c r="G92" s="579"/>
      <c r="H92" s="587">
        <v>0.088</v>
      </c>
      <c r="I92" s="621">
        <f>IF(I83&lt;H101,0,I86-I91)</f>
        <v>1363</v>
      </c>
      <c r="J92" s="582">
        <f t="shared" si="15"/>
        <v>119.94399999999999</v>
      </c>
      <c r="K92" s="577"/>
      <c r="L92" s="587">
        <f t="shared" si="16"/>
        <v>0.088</v>
      </c>
      <c r="M92" s="642">
        <f>IF(M83&lt;L101,0,M83-M91)</f>
        <v>1319</v>
      </c>
      <c r="N92" s="582">
        <f t="shared" si="17"/>
        <v>116.07199999999999</v>
      </c>
      <c r="O92" s="577"/>
      <c r="P92" s="584">
        <f t="shared" si="11"/>
        <v>-3.872</v>
      </c>
      <c r="Q92" s="585">
        <f t="shared" si="12"/>
        <v>-0.03228173147468819</v>
      </c>
    </row>
    <row r="93" spans="4:17" ht="13.5" thickBot="1">
      <c r="D93" s="590"/>
      <c r="E93" s="577"/>
      <c r="F93" s="667"/>
      <c r="G93" s="579"/>
      <c r="H93" s="587"/>
      <c r="I93" s="591"/>
      <c r="J93" s="582">
        <f t="shared" si="15"/>
        <v>0</v>
      </c>
      <c r="K93" s="577"/>
      <c r="L93" s="587"/>
      <c r="M93" s="592"/>
      <c r="N93" s="582">
        <f t="shared" si="17"/>
        <v>0</v>
      </c>
      <c r="O93" s="577"/>
      <c r="P93" s="584">
        <f t="shared" si="11"/>
        <v>0</v>
      </c>
      <c r="Q93" s="585">
        <f t="shared" si="12"/>
      </c>
    </row>
    <row r="94" spans="4:17" ht="13.5" thickBot="1">
      <c r="D94" s="623" t="s">
        <v>600</v>
      </c>
      <c r="E94" s="577"/>
      <c r="F94" s="577"/>
      <c r="G94" s="577"/>
      <c r="H94" s="624"/>
      <c r="I94" s="625"/>
      <c r="J94" s="612">
        <f>SUM(J85:J93)</f>
        <v>282.0502</v>
      </c>
      <c r="K94" s="613"/>
      <c r="L94" s="626"/>
      <c r="M94" s="627"/>
      <c r="N94" s="612">
        <f>SUM(N85:N93)</f>
        <v>275.9584</v>
      </c>
      <c r="O94" s="613"/>
      <c r="P94" s="616">
        <f t="shared" si="11"/>
        <v>-6.091800000000035</v>
      </c>
      <c r="Q94" s="617">
        <f t="shared" si="12"/>
        <v>-0.02159828285886709</v>
      </c>
    </row>
    <row r="95" spans="4:17" ht="13.5" thickBot="1">
      <c r="D95" s="579" t="s">
        <v>601</v>
      </c>
      <c r="E95" s="577"/>
      <c r="F95" s="577"/>
      <c r="G95" s="577"/>
      <c r="H95" s="628">
        <v>0.13</v>
      </c>
      <c r="I95" s="629"/>
      <c r="J95" s="630">
        <f>J94*H95</f>
        <v>36.666526000000005</v>
      </c>
      <c r="K95" s="577"/>
      <c r="L95" s="628">
        <v>0.13</v>
      </c>
      <c r="M95" s="631"/>
      <c r="N95" s="630">
        <f>N94*L95</f>
        <v>35.874592</v>
      </c>
      <c r="O95" s="577"/>
      <c r="P95" s="584">
        <f t="shared" si="11"/>
        <v>-0.7919340000000048</v>
      </c>
      <c r="Q95" s="585">
        <f t="shared" si="12"/>
        <v>-0.021598282858867095</v>
      </c>
    </row>
    <row r="96" spans="1:20" s="395" customFormat="1" ht="26.25" thickBot="1">
      <c r="A96" s="560"/>
      <c r="D96" s="609" t="s">
        <v>602</v>
      </c>
      <c r="E96" s="577"/>
      <c r="F96" s="577"/>
      <c r="G96" s="577"/>
      <c r="H96" s="610"/>
      <c r="I96" s="611"/>
      <c r="J96" s="612">
        <f>ROUND(SUM(J94:J95),2)</f>
        <v>318.72</v>
      </c>
      <c r="K96" s="577"/>
      <c r="L96" s="614"/>
      <c r="M96" s="615"/>
      <c r="N96" s="612">
        <f>ROUND(SUM(N94:N95),2)</f>
        <v>311.83</v>
      </c>
      <c r="O96" s="577"/>
      <c r="P96" s="616">
        <f t="shared" si="11"/>
        <v>-6.890000000000043</v>
      </c>
      <c r="Q96" s="617">
        <f t="shared" si="12"/>
        <v>-0.02161772088353427</v>
      </c>
      <c r="T96" s="258"/>
    </row>
    <row r="97" spans="1:20" s="395" customFormat="1" ht="13.5" thickBot="1">
      <c r="A97" s="560"/>
      <c r="D97" s="579" t="s">
        <v>603</v>
      </c>
      <c r="E97" s="577"/>
      <c r="F97" s="577"/>
      <c r="G97" s="577"/>
      <c r="H97" s="632"/>
      <c r="I97" s="629"/>
      <c r="J97" s="633">
        <f>ROUND(-J96*10%,2)</f>
        <v>-31.87</v>
      </c>
      <c r="K97" s="577"/>
      <c r="L97" s="632"/>
      <c r="M97" s="631"/>
      <c r="N97" s="633">
        <f>ROUND(-N96*10%,2)</f>
        <v>-31.18</v>
      </c>
      <c r="O97" s="577"/>
      <c r="P97" s="584">
        <f t="shared" si="11"/>
        <v>0.6900000000000013</v>
      </c>
      <c r="Q97" s="585">
        <f t="shared" si="12"/>
        <v>-0.021650454973329188</v>
      </c>
      <c r="T97" s="258"/>
    </row>
    <row r="98" spans="4:17" ht="13.5" thickBot="1">
      <c r="D98" s="609" t="s">
        <v>604</v>
      </c>
      <c r="E98" s="577"/>
      <c r="F98" s="577"/>
      <c r="G98" s="577"/>
      <c r="H98" s="610"/>
      <c r="I98" s="611"/>
      <c r="J98" s="612">
        <f>ROUND(SUM(J96:J97),2)</f>
        <v>286.85</v>
      </c>
      <c r="K98" s="613"/>
      <c r="L98" s="614"/>
      <c r="M98" s="615"/>
      <c r="N98" s="612">
        <f>ROUND(SUM(N96:N97),2)</f>
        <v>280.65</v>
      </c>
      <c r="O98" s="613"/>
      <c r="P98" s="616">
        <f t="shared" si="11"/>
        <v>-6.2000000000000455</v>
      </c>
      <c r="Q98" s="617">
        <f t="shared" si="12"/>
        <v>-0.021614084016036414</v>
      </c>
    </row>
    <row r="99" ht="10.5" customHeight="1"/>
    <row r="100" spans="4:14" ht="12.75">
      <c r="D100" s="400" t="s">
        <v>605</v>
      </c>
      <c r="H100" s="634">
        <v>0.056499999999999995</v>
      </c>
      <c r="J100" s="635"/>
      <c r="L100" s="634">
        <v>0.034499999999999975</v>
      </c>
      <c r="N100" s="636"/>
    </row>
    <row r="101" spans="4:12" ht="18.75" customHeight="1">
      <c r="D101" s="637" t="s">
        <v>606</v>
      </c>
      <c r="H101" s="638">
        <v>750</v>
      </c>
      <c r="L101" s="638">
        <f>H101</f>
        <v>750</v>
      </c>
    </row>
    <row r="102" ht="12.75">
      <c r="B102" s="400" t="s">
        <v>265</v>
      </c>
    </row>
    <row r="103" spans="2:17" ht="12.75">
      <c r="B103" s="1127"/>
      <c r="C103" s="1128"/>
      <c r="D103" s="1128"/>
      <c r="E103" s="1128"/>
      <c r="F103" s="1128"/>
      <c r="G103" s="1128"/>
      <c r="H103" s="1128"/>
      <c r="I103" s="1128"/>
      <c r="J103" s="1128"/>
      <c r="K103" s="1128"/>
      <c r="L103" s="1128"/>
      <c r="M103" s="1128"/>
      <c r="N103" s="1128"/>
      <c r="O103" s="1128"/>
      <c r="P103" s="1128"/>
      <c r="Q103" s="1129"/>
    </row>
    <row r="104" spans="2:17" ht="12.75">
      <c r="B104" s="1130"/>
      <c r="C104" s="1131"/>
      <c r="D104" s="1131"/>
      <c r="E104" s="1131"/>
      <c r="F104" s="1131"/>
      <c r="G104" s="1131"/>
      <c r="H104" s="1131"/>
      <c r="I104" s="1131"/>
      <c r="J104" s="1131"/>
      <c r="K104" s="1131"/>
      <c r="L104" s="1131"/>
      <c r="M104" s="1131"/>
      <c r="N104" s="1131"/>
      <c r="O104" s="1131"/>
      <c r="P104" s="1131"/>
      <c r="Q104" s="1132"/>
    </row>
    <row r="105" spans="2:17" ht="12.75">
      <c r="B105" s="1130"/>
      <c r="C105" s="1131"/>
      <c r="D105" s="1131"/>
      <c r="E105" s="1131"/>
      <c r="F105" s="1131"/>
      <c r="G105" s="1131"/>
      <c r="H105" s="1131"/>
      <c r="I105" s="1131"/>
      <c r="J105" s="1131"/>
      <c r="K105" s="1131"/>
      <c r="L105" s="1131"/>
      <c r="M105" s="1131"/>
      <c r="N105" s="1131"/>
      <c r="O105" s="1131"/>
      <c r="P105" s="1131"/>
      <c r="Q105" s="1132"/>
    </row>
    <row r="106" spans="2:17" ht="12.75">
      <c r="B106" s="1130"/>
      <c r="C106" s="1131"/>
      <c r="D106" s="1131"/>
      <c r="E106" s="1131"/>
      <c r="F106" s="1131"/>
      <c r="G106" s="1131"/>
      <c r="H106" s="1131"/>
      <c r="I106" s="1131"/>
      <c r="J106" s="1131"/>
      <c r="K106" s="1131"/>
      <c r="L106" s="1131"/>
      <c r="M106" s="1131"/>
      <c r="N106" s="1131"/>
      <c r="O106" s="1131"/>
      <c r="P106" s="1131"/>
      <c r="Q106" s="1132"/>
    </row>
    <row r="107" spans="2:17" ht="12.75">
      <c r="B107" s="1133"/>
      <c r="C107" s="1134"/>
      <c r="D107" s="1134"/>
      <c r="E107" s="1134"/>
      <c r="F107" s="1134"/>
      <c r="G107" s="1134"/>
      <c r="H107" s="1134"/>
      <c r="I107" s="1134"/>
      <c r="J107" s="1134"/>
      <c r="K107" s="1134"/>
      <c r="L107" s="1134"/>
      <c r="M107" s="1134"/>
      <c r="N107" s="1134"/>
      <c r="O107" s="1134"/>
      <c r="P107" s="1134"/>
      <c r="Q107" s="1135"/>
    </row>
    <row r="108" ht="12.75"/>
    <row r="109" ht="12.75"/>
    <row r="110" ht="12.75"/>
    <row r="111" ht="12.75"/>
    <row r="112" spans="2:17" ht="15.75">
      <c r="B112" s="551" t="s">
        <v>564</v>
      </c>
      <c r="D112" s="563" t="s">
        <v>565</v>
      </c>
      <c r="F112" s="1123" t="s">
        <v>609</v>
      </c>
      <c r="G112" s="1123"/>
      <c r="H112" s="1123"/>
      <c r="I112" s="1123"/>
      <c r="J112" s="1123"/>
      <c r="K112" s="1123"/>
      <c r="L112" s="1123"/>
      <c r="M112" s="1123"/>
      <c r="N112" s="1123"/>
      <c r="O112" s="1123"/>
      <c r="P112" s="1123"/>
      <c r="Q112" s="1123"/>
    </row>
    <row r="113" spans="2:17" ht="15.75">
      <c r="B113" s="551"/>
      <c r="D113" s="564"/>
      <c r="F113" s="565"/>
      <c r="G113" s="565"/>
      <c r="H113" s="565"/>
      <c r="I113" s="565"/>
      <c r="J113" s="565"/>
      <c r="K113" s="565"/>
      <c r="L113" s="565"/>
      <c r="M113" s="565"/>
      <c r="N113" s="565"/>
      <c r="O113" s="565"/>
      <c r="P113" s="565"/>
      <c r="Q113" s="565"/>
    </row>
    <row r="114" spans="2:9" ht="12.75">
      <c r="B114" s="551" t="s">
        <v>566</v>
      </c>
      <c r="F114" s="400" t="s">
        <v>567</v>
      </c>
      <c r="G114" s="400"/>
      <c r="H114" s="643">
        <v>80000</v>
      </c>
      <c r="I114" s="569" t="s">
        <v>568</v>
      </c>
    </row>
    <row r="115" spans="2:9" ht="12.75">
      <c r="B115" s="551" t="s">
        <v>569</v>
      </c>
      <c r="F115" s="400" t="s">
        <v>610</v>
      </c>
      <c r="H115" s="643">
        <v>250</v>
      </c>
      <c r="I115" s="569" t="s">
        <v>554</v>
      </c>
    </row>
    <row r="116" spans="6:17" ht="12.75">
      <c r="F116" s="568"/>
      <c r="G116" s="568"/>
      <c r="H116" s="1124" t="s">
        <v>570</v>
      </c>
      <c r="I116" s="1125"/>
      <c r="J116" s="1126"/>
      <c r="L116" s="1124" t="s">
        <v>571</v>
      </c>
      <c r="M116" s="1125"/>
      <c r="N116" s="1126"/>
      <c r="P116" s="1124" t="s">
        <v>572</v>
      </c>
      <c r="Q116" s="1126"/>
    </row>
    <row r="117" spans="6:17" ht="12.75">
      <c r="F117" s="1108" t="s">
        <v>573</v>
      </c>
      <c r="G117" s="569"/>
      <c r="H117" s="570" t="s">
        <v>574</v>
      </c>
      <c r="I117" s="570" t="s">
        <v>575</v>
      </c>
      <c r="J117" s="571" t="s">
        <v>576</v>
      </c>
      <c r="L117" s="570" t="s">
        <v>574</v>
      </c>
      <c r="M117" s="572" t="s">
        <v>575</v>
      </c>
      <c r="N117" s="571" t="s">
        <v>576</v>
      </c>
      <c r="P117" s="1110" t="s">
        <v>577</v>
      </c>
      <c r="Q117" s="1112" t="s">
        <v>578</v>
      </c>
    </row>
    <row r="118" spans="6:17" ht="12.75">
      <c r="F118" s="1109"/>
      <c r="G118" s="569"/>
      <c r="H118" s="573" t="s">
        <v>410</v>
      </c>
      <c r="I118" s="573"/>
      <c r="J118" s="574" t="s">
        <v>410</v>
      </c>
      <c r="L118" s="573" t="s">
        <v>410</v>
      </c>
      <c r="M118" s="574"/>
      <c r="N118" s="574" t="s">
        <v>410</v>
      </c>
      <c r="P118" s="1111"/>
      <c r="Q118" s="1113"/>
    </row>
    <row r="119" spans="4:17" ht="12.75">
      <c r="D119" s="577" t="s">
        <v>555</v>
      </c>
      <c r="E119" s="577"/>
      <c r="F119" s="667" t="s">
        <v>564</v>
      </c>
      <c r="G119" s="579"/>
      <c r="H119" s="580">
        <v>395.68</v>
      </c>
      <c r="I119" s="581">
        <v>1</v>
      </c>
      <c r="J119" s="582">
        <f aca="true" t="shared" si="18" ref="J119:J133">I119*H119</f>
        <v>395.68</v>
      </c>
      <c r="K119" s="577"/>
      <c r="L119" s="580">
        <v>148.18</v>
      </c>
      <c r="M119" s="583">
        <v>1</v>
      </c>
      <c r="N119" s="582">
        <f aca="true" t="shared" si="19" ref="N119:N133">M119*L119</f>
        <v>148.18</v>
      </c>
      <c r="O119" s="577"/>
      <c r="P119" s="584">
        <f aca="true" t="shared" si="20" ref="P119:P148">N119-J119</f>
        <v>-247.5</v>
      </c>
      <c r="Q119" s="585">
        <f aca="true" t="shared" si="21" ref="Q119:Q148">IF((J119)=0,"",(P119/J119))</f>
        <v>-0.6255054589567327</v>
      </c>
    </row>
    <row r="120" spans="4:17" ht="12.75">
      <c r="D120" s="577" t="s">
        <v>579</v>
      </c>
      <c r="E120" s="577"/>
      <c r="F120" s="667" t="s">
        <v>564</v>
      </c>
      <c r="G120" s="579"/>
      <c r="H120" s="587">
        <v>0</v>
      </c>
      <c r="I120" s="581">
        <v>1</v>
      </c>
      <c r="J120" s="582">
        <f t="shared" si="18"/>
        <v>0</v>
      </c>
      <c r="K120" s="577"/>
      <c r="L120" s="587">
        <v>0</v>
      </c>
      <c r="M120" s="583">
        <v>1</v>
      </c>
      <c r="N120" s="582">
        <f t="shared" si="19"/>
        <v>0</v>
      </c>
      <c r="O120" s="577"/>
      <c r="P120" s="584">
        <f t="shared" si="20"/>
        <v>0</v>
      </c>
      <c r="Q120" s="585">
        <f t="shared" si="21"/>
      </c>
    </row>
    <row r="121" spans="4:17" ht="12.75">
      <c r="D121" s="644" t="s">
        <v>580</v>
      </c>
      <c r="E121" s="577"/>
      <c r="F121" s="667" t="s">
        <v>564</v>
      </c>
      <c r="G121" s="579"/>
      <c r="H121" s="587">
        <v>0</v>
      </c>
      <c r="I121" s="581">
        <v>1</v>
      </c>
      <c r="J121" s="582">
        <f t="shared" si="18"/>
        <v>0</v>
      </c>
      <c r="K121" s="577"/>
      <c r="L121" s="587">
        <v>0.2</v>
      </c>
      <c r="M121" s="583">
        <v>1</v>
      </c>
      <c r="N121" s="582">
        <f t="shared" si="19"/>
        <v>0.2</v>
      </c>
      <c r="O121" s="577"/>
      <c r="P121" s="584">
        <f t="shared" si="20"/>
        <v>0.2</v>
      </c>
      <c r="Q121" s="585">
        <f t="shared" si="21"/>
      </c>
    </row>
    <row r="122" spans="4:17" ht="12.75">
      <c r="D122" s="577" t="s">
        <v>581</v>
      </c>
      <c r="E122" s="577"/>
      <c r="F122" s="667" t="s">
        <v>564</v>
      </c>
      <c r="G122" s="579"/>
      <c r="H122" s="587">
        <v>0</v>
      </c>
      <c r="I122" s="581">
        <v>1</v>
      </c>
      <c r="J122" s="582">
        <f t="shared" si="18"/>
        <v>0</v>
      </c>
      <c r="K122" s="577"/>
      <c r="L122" s="587">
        <v>0</v>
      </c>
      <c r="M122" s="583">
        <v>1</v>
      </c>
      <c r="N122" s="582">
        <f t="shared" si="19"/>
        <v>0</v>
      </c>
      <c r="O122" s="577"/>
      <c r="P122" s="584">
        <f t="shared" si="20"/>
        <v>0</v>
      </c>
      <c r="Q122" s="585">
        <f t="shared" si="21"/>
      </c>
    </row>
    <row r="123" spans="4:17" ht="12.75">
      <c r="D123" s="577" t="s">
        <v>582</v>
      </c>
      <c r="E123" s="577"/>
      <c r="F123" s="667" t="s">
        <v>569</v>
      </c>
      <c r="G123" s="579"/>
      <c r="H123" s="587">
        <v>1.8393</v>
      </c>
      <c r="I123" s="581">
        <f>H115</f>
        <v>250</v>
      </c>
      <c r="J123" s="582">
        <f t="shared" si="18"/>
        <v>459.825</v>
      </c>
      <c r="K123" s="577"/>
      <c r="L123" s="587">
        <v>3.5449</v>
      </c>
      <c r="M123" s="583">
        <f>H115</f>
        <v>250</v>
      </c>
      <c r="N123" s="582">
        <f t="shared" si="19"/>
        <v>886.225</v>
      </c>
      <c r="O123" s="577"/>
      <c r="P123" s="584">
        <f t="shared" si="20"/>
        <v>426.40000000000003</v>
      </c>
      <c r="Q123" s="585">
        <f t="shared" si="21"/>
        <v>0.9273093024520199</v>
      </c>
    </row>
    <row r="124" spans="4:17" ht="12.75">
      <c r="D124" s="577" t="s">
        <v>583</v>
      </c>
      <c r="E124" s="577"/>
      <c r="F124" s="667" t="s">
        <v>569</v>
      </c>
      <c r="G124" s="579"/>
      <c r="H124" s="587">
        <v>0.2913</v>
      </c>
      <c r="I124" s="581">
        <f aca="true" t="shared" si="22" ref="I124:I129">I123</f>
        <v>250</v>
      </c>
      <c r="J124" s="582">
        <f t="shared" si="18"/>
        <v>72.825</v>
      </c>
      <c r="K124" s="577"/>
      <c r="L124" s="587">
        <v>0.1191</v>
      </c>
      <c r="M124" s="583">
        <f aca="true" t="shared" si="23" ref="M124:M129">M123</f>
        <v>250</v>
      </c>
      <c r="N124" s="582">
        <f t="shared" si="19"/>
        <v>29.775</v>
      </c>
      <c r="O124" s="577"/>
      <c r="P124" s="584">
        <f t="shared" si="20"/>
        <v>-43.050000000000004</v>
      </c>
      <c r="Q124" s="585">
        <f t="shared" si="21"/>
        <v>-0.5911431513903193</v>
      </c>
    </row>
    <row r="125" spans="4:17" ht="12.75">
      <c r="D125" s="577" t="s">
        <v>584</v>
      </c>
      <c r="E125" s="577"/>
      <c r="F125" s="667" t="s">
        <v>569</v>
      </c>
      <c r="G125" s="579"/>
      <c r="H125" s="587">
        <v>0</v>
      </c>
      <c r="I125" s="581">
        <f t="shared" si="22"/>
        <v>250</v>
      </c>
      <c r="J125" s="582">
        <f t="shared" si="18"/>
        <v>0</v>
      </c>
      <c r="K125" s="577"/>
      <c r="L125" s="587">
        <v>0</v>
      </c>
      <c r="M125" s="583">
        <f t="shared" si="23"/>
        <v>250</v>
      </c>
      <c r="N125" s="582">
        <f t="shared" si="19"/>
        <v>0</v>
      </c>
      <c r="O125" s="577"/>
      <c r="P125" s="584">
        <f t="shared" si="20"/>
        <v>0</v>
      </c>
      <c r="Q125" s="585">
        <f t="shared" si="21"/>
      </c>
    </row>
    <row r="126" spans="4:17" ht="12.75">
      <c r="D126" s="577" t="s">
        <v>585</v>
      </c>
      <c r="E126" s="577"/>
      <c r="F126" s="667" t="s">
        <v>569</v>
      </c>
      <c r="G126" s="579"/>
      <c r="H126" s="587">
        <v>-0.065</v>
      </c>
      <c r="I126" s="581">
        <f t="shared" si="22"/>
        <v>250</v>
      </c>
      <c r="J126" s="582">
        <f t="shared" si="18"/>
        <v>-16.25</v>
      </c>
      <c r="K126" s="577"/>
      <c r="L126" s="587">
        <v>0</v>
      </c>
      <c r="M126" s="583">
        <f t="shared" si="23"/>
        <v>250</v>
      </c>
      <c r="N126" s="582">
        <f t="shared" si="19"/>
        <v>0</v>
      </c>
      <c r="O126" s="577"/>
      <c r="P126" s="584">
        <f t="shared" si="20"/>
        <v>16.25</v>
      </c>
      <c r="Q126" s="585">
        <f t="shared" si="21"/>
        <v>-1</v>
      </c>
    </row>
    <row r="127" spans="4:17" ht="12.75">
      <c r="D127" s="577" t="s">
        <v>586</v>
      </c>
      <c r="E127" s="577"/>
      <c r="F127" s="667" t="s">
        <v>569</v>
      </c>
      <c r="G127" s="579"/>
      <c r="H127" s="587">
        <v>0</v>
      </c>
      <c r="I127" s="581">
        <f t="shared" si="22"/>
        <v>250</v>
      </c>
      <c r="J127" s="582">
        <f t="shared" si="18"/>
        <v>0</v>
      </c>
      <c r="K127" s="577"/>
      <c r="L127" s="587">
        <v>0</v>
      </c>
      <c r="M127" s="583">
        <f t="shared" si="23"/>
        <v>250</v>
      </c>
      <c r="N127" s="582">
        <f t="shared" si="19"/>
        <v>0</v>
      </c>
      <c r="O127" s="577"/>
      <c r="P127" s="584">
        <f t="shared" si="20"/>
        <v>0</v>
      </c>
      <c r="Q127" s="585">
        <f t="shared" si="21"/>
      </c>
    </row>
    <row r="128" spans="4:17" ht="25.5" customHeight="1">
      <c r="D128" s="589" t="s">
        <v>616</v>
      </c>
      <c r="E128" s="577"/>
      <c r="F128" s="667" t="s">
        <v>569</v>
      </c>
      <c r="G128" s="579"/>
      <c r="H128" s="587">
        <v>0.0012</v>
      </c>
      <c r="I128" s="581">
        <f t="shared" si="22"/>
        <v>250</v>
      </c>
      <c r="J128" s="582">
        <f t="shared" si="18"/>
        <v>0.3</v>
      </c>
      <c r="K128" s="577"/>
      <c r="L128" s="587">
        <f>H128</f>
        <v>0.0012</v>
      </c>
      <c r="M128" s="583">
        <f t="shared" si="23"/>
        <v>250</v>
      </c>
      <c r="N128" s="582">
        <f t="shared" si="19"/>
        <v>0.3</v>
      </c>
      <c r="O128" s="577"/>
      <c r="P128" s="584">
        <f t="shared" si="20"/>
        <v>0</v>
      </c>
      <c r="Q128" s="585">
        <f t="shared" si="21"/>
        <v>0</v>
      </c>
    </row>
    <row r="129" spans="1:17" ht="38.25">
      <c r="A129" s="601"/>
      <c r="D129" s="589" t="s">
        <v>617</v>
      </c>
      <c r="E129" s="577"/>
      <c r="F129" s="667" t="s">
        <v>569</v>
      </c>
      <c r="G129" s="579"/>
      <c r="H129" s="587">
        <v>-0.0705</v>
      </c>
      <c r="I129" s="581">
        <f t="shared" si="22"/>
        <v>250</v>
      </c>
      <c r="J129" s="582">
        <f t="shared" si="18"/>
        <v>-17.625</v>
      </c>
      <c r="K129" s="577"/>
      <c r="L129" s="587">
        <f>H129</f>
        <v>-0.0705</v>
      </c>
      <c r="M129" s="583">
        <f t="shared" si="23"/>
        <v>250</v>
      </c>
      <c r="N129" s="582">
        <f t="shared" si="19"/>
        <v>-17.625</v>
      </c>
      <c r="O129" s="577"/>
      <c r="P129" s="584">
        <f t="shared" si="20"/>
        <v>0</v>
      </c>
      <c r="Q129" s="585">
        <f t="shared" si="21"/>
        <v>0</v>
      </c>
    </row>
    <row r="130" spans="1:17" ht="25.5">
      <c r="A130" s="601"/>
      <c r="B130" s="672"/>
      <c r="C130" s="672"/>
      <c r="D130" s="589" t="s">
        <v>611</v>
      </c>
      <c r="E130" s="577"/>
      <c r="F130" s="667" t="s">
        <v>569</v>
      </c>
      <c r="G130" s="579"/>
      <c r="H130" s="587"/>
      <c r="I130" s="646">
        <f>I129</f>
        <v>250</v>
      </c>
      <c r="J130" s="582">
        <f t="shared" si="18"/>
        <v>0</v>
      </c>
      <c r="K130" s="577"/>
      <c r="L130" s="587">
        <v>0.003</v>
      </c>
      <c r="M130" s="583">
        <f>H114</f>
        <v>80000</v>
      </c>
      <c r="N130" s="582">
        <f t="shared" si="19"/>
        <v>240</v>
      </c>
      <c r="O130" s="577"/>
      <c r="P130" s="584">
        <f t="shared" si="20"/>
        <v>240</v>
      </c>
      <c r="Q130" s="585">
        <f t="shared" si="21"/>
      </c>
    </row>
    <row r="131" spans="1:17" ht="38.25">
      <c r="A131" s="601"/>
      <c r="D131" s="589" t="s">
        <v>618</v>
      </c>
      <c r="E131" s="577"/>
      <c r="F131" s="667" t="s">
        <v>566</v>
      </c>
      <c r="G131" s="579"/>
      <c r="H131" s="587"/>
      <c r="I131" s="646"/>
      <c r="J131" s="582">
        <f t="shared" si="18"/>
        <v>0</v>
      </c>
      <c r="K131" s="577"/>
      <c r="L131" s="587">
        <v>-0.5536</v>
      </c>
      <c r="M131" s="673">
        <f>H115</f>
        <v>250</v>
      </c>
      <c r="N131" s="582">
        <f t="shared" si="19"/>
        <v>-138.4</v>
      </c>
      <c r="O131" s="577"/>
      <c r="P131" s="584">
        <f t="shared" si="20"/>
        <v>-138.4</v>
      </c>
      <c r="Q131" s="585">
        <f t="shared" si="21"/>
      </c>
    </row>
    <row r="132" spans="4:17" ht="12.75">
      <c r="D132" s="590"/>
      <c r="E132" s="577"/>
      <c r="F132" s="667"/>
      <c r="G132" s="579"/>
      <c r="H132" s="587"/>
      <c r="I132" s="646"/>
      <c r="J132" s="582">
        <f t="shared" si="18"/>
        <v>0</v>
      </c>
      <c r="K132" s="577"/>
      <c r="L132" s="587"/>
      <c r="M132" s="647"/>
      <c r="N132" s="582">
        <f t="shared" si="19"/>
        <v>0</v>
      </c>
      <c r="O132" s="577"/>
      <c r="P132" s="584">
        <f t="shared" si="20"/>
        <v>0</v>
      </c>
      <c r="Q132" s="585">
        <f t="shared" si="21"/>
      </c>
    </row>
    <row r="133" spans="4:17" ht="13.5" thickBot="1">
      <c r="D133" s="590"/>
      <c r="E133" s="577"/>
      <c r="F133" s="667"/>
      <c r="G133" s="579"/>
      <c r="H133" s="587"/>
      <c r="I133" s="646"/>
      <c r="J133" s="582">
        <f t="shared" si="18"/>
        <v>0</v>
      </c>
      <c r="K133" s="577"/>
      <c r="L133" s="587"/>
      <c r="M133" s="647"/>
      <c r="N133" s="582">
        <f t="shared" si="19"/>
        <v>0</v>
      </c>
      <c r="O133" s="577"/>
      <c r="P133" s="584">
        <f t="shared" si="20"/>
        <v>0</v>
      </c>
      <c r="Q133" s="585">
        <f t="shared" si="21"/>
      </c>
    </row>
    <row r="134" spans="4:17" ht="13.5" thickBot="1">
      <c r="D134" s="400" t="s">
        <v>589</v>
      </c>
      <c r="G134" s="551"/>
      <c r="H134" s="593"/>
      <c r="I134" s="648"/>
      <c r="J134" s="595">
        <f>SUM(J119:J133)</f>
        <v>894.755</v>
      </c>
      <c r="L134" s="593"/>
      <c r="M134" s="649"/>
      <c r="N134" s="595">
        <f>SUM(N119:N133)</f>
        <v>1148.655</v>
      </c>
      <c r="P134" s="597">
        <f t="shared" si="20"/>
        <v>253.89999999999998</v>
      </c>
      <c r="Q134" s="598">
        <f t="shared" si="21"/>
        <v>0.28376482947846055</v>
      </c>
    </row>
    <row r="135" spans="4:17" ht="12.75">
      <c r="D135" s="599" t="s">
        <v>590</v>
      </c>
      <c r="E135" s="599"/>
      <c r="F135" s="670" t="s">
        <v>569</v>
      </c>
      <c r="G135" s="601"/>
      <c r="H135" s="602">
        <v>2.4796</v>
      </c>
      <c r="I135" s="639">
        <f>H115</f>
        <v>250</v>
      </c>
      <c r="J135" s="604">
        <f>I135*H135</f>
        <v>619.9</v>
      </c>
      <c r="K135" s="599"/>
      <c r="L135" s="602">
        <v>2.603</v>
      </c>
      <c r="M135" s="640">
        <f>H115</f>
        <v>250</v>
      </c>
      <c r="N135" s="604">
        <f>M135*L135</f>
        <v>650.75</v>
      </c>
      <c r="O135" s="599"/>
      <c r="P135" s="606">
        <f t="shared" si="20"/>
        <v>30.850000000000023</v>
      </c>
      <c r="Q135" s="607">
        <f t="shared" si="21"/>
        <v>0.04976609130504924</v>
      </c>
    </row>
    <row r="136" spans="4:17" ht="26.25" thickBot="1">
      <c r="D136" s="608" t="s">
        <v>591</v>
      </c>
      <c r="E136" s="599"/>
      <c r="F136" s="670" t="s">
        <v>569</v>
      </c>
      <c r="G136" s="601"/>
      <c r="H136" s="602">
        <v>1.8993</v>
      </c>
      <c r="I136" s="639">
        <f>I135</f>
        <v>250</v>
      </c>
      <c r="J136" s="604">
        <f>I136*H136</f>
        <v>474.825</v>
      </c>
      <c r="K136" s="599"/>
      <c r="L136" s="602">
        <v>1.0984</v>
      </c>
      <c r="M136" s="640">
        <f>M135</f>
        <v>250</v>
      </c>
      <c r="N136" s="604">
        <f>M136*L136</f>
        <v>274.6</v>
      </c>
      <c r="O136" s="599"/>
      <c r="P136" s="606">
        <f t="shared" si="20"/>
        <v>-200.22499999999997</v>
      </c>
      <c r="Q136" s="607">
        <f t="shared" si="21"/>
        <v>-0.4216816721950192</v>
      </c>
    </row>
    <row r="137" spans="4:17" ht="26.25" thickBot="1">
      <c r="D137" s="609" t="s">
        <v>592</v>
      </c>
      <c r="E137" s="577"/>
      <c r="F137" s="577"/>
      <c r="G137" s="579"/>
      <c r="H137" s="610"/>
      <c r="I137" s="650"/>
      <c r="J137" s="612">
        <f>SUM(J134:J136)</f>
        <v>1989.48</v>
      </c>
      <c r="K137" s="613"/>
      <c r="L137" s="614"/>
      <c r="M137" s="651"/>
      <c r="N137" s="612">
        <f>SUM(N134:N136)</f>
        <v>2074.005</v>
      </c>
      <c r="O137" s="613"/>
      <c r="P137" s="616">
        <f t="shared" si="20"/>
        <v>84.52500000000009</v>
      </c>
      <c r="Q137" s="617">
        <f t="shared" si="21"/>
        <v>0.04248597623499612</v>
      </c>
    </row>
    <row r="138" spans="4:17" ht="25.5">
      <c r="D138" s="589" t="s">
        <v>593</v>
      </c>
      <c r="E138" s="577"/>
      <c r="F138" s="667" t="s">
        <v>566</v>
      </c>
      <c r="G138" s="579"/>
      <c r="H138" s="587">
        <v>0.0052</v>
      </c>
      <c r="I138" s="581">
        <f>H114*(1+H150)</f>
        <v>84520</v>
      </c>
      <c r="J138" s="582">
        <f aca="true" t="shared" si="24" ref="J138:J145">I138*H138</f>
        <v>439.50399999999996</v>
      </c>
      <c r="K138" s="577"/>
      <c r="L138" s="587">
        <f aca="true" t="shared" si="25" ref="L138:L144">H138</f>
        <v>0.0052</v>
      </c>
      <c r="M138" s="583">
        <f>H114*(1+L150)</f>
        <v>82760</v>
      </c>
      <c r="N138" s="582">
        <f aca="true" t="shared" si="26" ref="N138:N145">M138*L138</f>
        <v>430.352</v>
      </c>
      <c r="O138" s="577"/>
      <c r="P138" s="584">
        <f t="shared" si="20"/>
        <v>-9.151999999999987</v>
      </c>
      <c r="Q138" s="585">
        <f t="shared" si="21"/>
        <v>-0.02082347373402742</v>
      </c>
    </row>
    <row r="139" spans="4:17" ht="25.5">
      <c r="D139" s="589" t="s">
        <v>594</v>
      </c>
      <c r="E139" s="577"/>
      <c r="F139" s="667" t="s">
        <v>566</v>
      </c>
      <c r="G139" s="579"/>
      <c r="H139" s="587">
        <v>0.0011</v>
      </c>
      <c r="I139" s="581">
        <f>I138</f>
        <v>84520</v>
      </c>
      <c r="J139" s="582">
        <f t="shared" si="24"/>
        <v>92.97200000000001</v>
      </c>
      <c r="K139" s="577"/>
      <c r="L139" s="587">
        <f t="shared" si="25"/>
        <v>0.0011</v>
      </c>
      <c r="M139" s="583">
        <f>M138</f>
        <v>82760</v>
      </c>
      <c r="N139" s="582">
        <f t="shared" si="26"/>
        <v>91.036</v>
      </c>
      <c r="O139" s="577"/>
      <c r="P139" s="584">
        <f t="shared" si="20"/>
        <v>-1.936000000000007</v>
      </c>
      <c r="Q139" s="585">
        <f t="shared" si="21"/>
        <v>-0.02082347373402752</v>
      </c>
    </row>
    <row r="140" spans="4:17" ht="12.75">
      <c r="D140" s="589" t="s">
        <v>595</v>
      </c>
      <c r="E140" s="577"/>
      <c r="F140" s="667" t="s">
        <v>566</v>
      </c>
      <c r="G140" s="579"/>
      <c r="H140" s="587">
        <v>0</v>
      </c>
      <c r="I140" s="581">
        <f>I138</f>
        <v>84520</v>
      </c>
      <c r="J140" s="582">
        <f t="shared" si="24"/>
        <v>0</v>
      </c>
      <c r="K140" s="577"/>
      <c r="L140" s="587">
        <f t="shared" si="25"/>
        <v>0</v>
      </c>
      <c r="M140" s="583">
        <f>M138</f>
        <v>82760</v>
      </c>
      <c r="N140" s="582">
        <f t="shared" si="26"/>
        <v>0</v>
      </c>
      <c r="O140" s="577"/>
      <c r="P140" s="584">
        <f t="shared" si="20"/>
        <v>0</v>
      </c>
      <c r="Q140" s="585">
        <f t="shared" si="21"/>
      </c>
    </row>
    <row r="141" spans="4:17" ht="12.75">
      <c r="D141" s="577" t="s">
        <v>596</v>
      </c>
      <c r="E141" s="577"/>
      <c r="F141" s="667" t="s">
        <v>564</v>
      </c>
      <c r="G141" s="579"/>
      <c r="H141" s="587">
        <v>0.25</v>
      </c>
      <c r="I141" s="581">
        <v>1</v>
      </c>
      <c r="J141" s="582">
        <f t="shared" si="24"/>
        <v>0.25</v>
      </c>
      <c r="K141" s="577"/>
      <c r="L141" s="587">
        <f t="shared" si="25"/>
        <v>0.25</v>
      </c>
      <c r="M141" s="583">
        <v>1</v>
      </c>
      <c r="N141" s="582">
        <f t="shared" si="26"/>
        <v>0.25</v>
      </c>
      <c r="O141" s="577"/>
      <c r="P141" s="584">
        <f t="shared" si="20"/>
        <v>0</v>
      </c>
      <c r="Q141" s="585">
        <f t="shared" si="21"/>
        <v>0</v>
      </c>
    </row>
    <row r="142" spans="4:17" ht="12.75">
      <c r="D142" s="577" t="s">
        <v>597</v>
      </c>
      <c r="E142" s="577"/>
      <c r="F142" s="667" t="s">
        <v>566</v>
      </c>
      <c r="G142" s="579"/>
      <c r="H142" s="587">
        <v>0.007</v>
      </c>
      <c r="I142" s="581">
        <f>H114</f>
        <v>80000</v>
      </c>
      <c r="J142" s="582">
        <f t="shared" si="24"/>
        <v>560</v>
      </c>
      <c r="K142" s="577"/>
      <c r="L142" s="587">
        <f t="shared" si="25"/>
        <v>0.007</v>
      </c>
      <c r="M142" s="583">
        <f>H114</f>
        <v>80000</v>
      </c>
      <c r="N142" s="582">
        <f t="shared" si="26"/>
        <v>560</v>
      </c>
      <c r="O142" s="577"/>
      <c r="P142" s="584">
        <f t="shared" si="20"/>
        <v>0</v>
      </c>
      <c r="Q142" s="585">
        <f t="shared" si="21"/>
        <v>0</v>
      </c>
    </row>
    <row r="143" spans="4:17" ht="12.75">
      <c r="D143" s="577" t="s">
        <v>608</v>
      </c>
      <c r="E143" s="577"/>
      <c r="F143" s="667" t="s">
        <v>566</v>
      </c>
      <c r="G143" s="579"/>
      <c r="H143" s="587">
        <v>0.082</v>
      </c>
      <c r="I143" s="581">
        <f>IF(I138&lt;H151,I138,H151)</f>
        <v>750</v>
      </c>
      <c r="J143" s="582">
        <f t="shared" si="24"/>
        <v>61.5</v>
      </c>
      <c r="K143" s="577"/>
      <c r="L143" s="587">
        <f t="shared" si="25"/>
        <v>0.082</v>
      </c>
      <c r="M143" s="583">
        <f>IF(M138&lt;L151,M138,L151)</f>
        <v>750</v>
      </c>
      <c r="N143" s="582">
        <f t="shared" si="26"/>
        <v>61.5</v>
      </c>
      <c r="O143" s="577"/>
      <c r="P143" s="584">
        <f t="shared" si="20"/>
        <v>0</v>
      </c>
      <c r="Q143" s="585">
        <f t="shared" si="21"/>
        <v>0</v>
      </c>
    </row>
    <row r="144" spans="4:17" ht="12.75">
      <c r="D144" s="577" t="s">
        <v>608</v>
      </c>
      <c r="E144" s="577"/>
      <c r="F144" s="667" t="s">
        <v>566</v>
      </c>
      <c r="G144" s="579"/>
      <c r="H144" s="587">
        <v>0.082</v>
      </c>
      <c r="I144" s="621">
        <f>IF(I138&lt;H151,0,I138-I143)</f>
        <v>83770</v>
      </c>
      <c r="J144" s="582">
        <f t="shared" si="24"/>
        <v>6869.14</v>
      </c>
      <c r="K144" s="577"/>
      <c r="L144" s="587">
        <f t="shared" si="25"/>
        <v>0.082</v>
      </c>
      <c r="M144" s="642">
        <f>IF(M138&lt;L151,0,M138-M143)</f>
        <v>82010</v>
      </c>
      <c r="N144" s="582">
        <f t="shared" si="26"/>
        <v>6724.820000000001</v>
      </c>
      <c r="O144" s="577"/>
      <c r="P144" s="584">
        <f t="shared" si="20"/>
        <v>-144.3199999999997</v>
      </c>
      <c r="Q144" s="585">
        <f t="shared" si="21"/>
        <v>-0.0210099080816521</v>
      </c>
    </row>
    <row r="145" spans="4:17" ht="13.5" thickBot="1">
      <c r="D145" s="590"/>
      <c r="E145" s="577"/>
      <c r="F145" s="667"/>
      <c r="G145" s="579"/>
      <c r="H145" s="587"/>
      <c r="I145" s="646"/>
      <c r="J145" s="582">
        <f t="shared" si="24"/>
        <v>0</v>
      </c>
      <c r="K145" s="577"/>
      <c r="L145" s="587"/>
      <c r="M145" s="647"/>
      <c r="N145" s="582">
        <f t="shared" si="26"/>
        <v>0</v>
      </c>
      <c r="O145" s="577"/>
      <c r="P145" s="584">
        <f t="shared" si="20"/>
        <v>0</v>
      </c>
      <c r="Q145" s="585">
        <f t="shared" si="21"/>
      </c>
    </row>
    <row r="146" spans="4:17" ht="13.5" thickBot="1">
      <c r="D146" s="623" t="s">
        <v>600</v>
      </c>
      <c r="E146" s="577"/>
      <c r="F146" s="577"/>
      <c r="G146" s="577"/>
      <c r="H146" s="624"/>
      <c r="I146" s="625"/>
      <c r="J146" s="612">
        <f>SUM(J137:J145)</f>
        <v>10012.846000000001</v>
      </c>
      <c r="K146" s="613"/>
      <c r="L146" s="626"/>
      <c r="M146" s="651"/>
      <c r="N146" s="612">
        <f>SUM(N137:N145)</f>
        <v>9941.963</v>
      </c>
      <c r="O146" s="613"/>
      <c r="P146" s="616">
        <f t="shared" si="20"/>
        <v>-70.88300000000163</v>
      </c>
      <c r="Q146" s="617">
        <f t="shared" si="21"/>
        <v>-0.0070792060519058835</v>
      </c>
    </row>
    <row r="147" spans="4:17" ht="13.5" thickBot="1">
      <c r="D147" s="579" t="s">
        <v>601</v>
      </c>
      <c r="E147" s="577"/>
      <c r="F147" s="577"/>
      <c r="G147" s="577"/>
      <c r="H147" s="628">
        <v>0.13</v>
      </c>
      <c r="I147" s="629"/>
      <c r="J147" s="630">
        <f>J146*H147</f>
        <v>1301.6699800000001</v>
      </c>
      <c r="K147" s="577"/>
      <c r="L147" s="628">
        <v>0.13</v>
      </c>
      <c r="M147" s="652"/>
      <c r="N147" s="630">
        <f>N146*L147</f>
        <v>1292.45519</v>
      </c>
      <c r="O147" s="577"/>
      <c r="P147" s="584">
        <f t="shared" si="20"/>
        <v>-9.214790000000221</v>
      </c>
      <c r="Q147" s="585">
        <f t="shared" si="21"/>
        <v>-0.007079206051905891</v>
      </c>
    </row>
    <row r="148" spans="4:17" ht="26.25" thickBot="1">
      <c r="D148" s="609" t="s">
        <v>602</v>
      </c>
      <c r="E148" s="577"/>
      <c r="F148" s="577"/>
      <c r="G148" s="577"/>
      <c r="H148" s="610"/>
      <c r="I148" s="611"/>
      <c r="J148" s="612">
        <f>ROUND(SUM(J146:J147),2)</f>
        <v>11314.52</v>
      </c>
      <c r="K148" s="613"/>
      <c r="L148" s="614"/>
      <c r="M148" s="651"/>
      <c r="N148" s="612">
        <f>ROUND(SUM(N146:N147),2)</f>
        <v>11234.42</v>
      </c>
      <c r="O148" s="613"/>
      <c r="P148" s="616">
        <f t="shared" si="20"/>
        <v>-80.10000000000036</v>
      </c>
      <c r="Q148" s="617">
        <f t="shared" si="21"/>
        <v>-0.0070793988609327094</v>
      </c>
    </row>
    <row r="149" ht="12.75"/>
    <row r="150" spans="4:14" ht="12.75">
      <c r="D150" s="400" t="s">
        <v>605</v>
      </c>
      <c r="H150" s="634">
        <v>0.056499999999999995</v>
      </c>
      <c r="J150" s="635"/>
      <c r="L150" s="634">
        <v>0.034499999999999975</v>
      </c>
      <c r="N150" s="636"/>
    </row>
    <row r="151" spans="4:12" ht="12.75">
      <c r="D151" s="637" t="s">
        <v>606</v>
      </c>
      <c r="H151" s="638">
        <v>750</v>
      </c>
      <c r="L151" s="638">
        <f>H151</f>
        <v>750</v>
      </c>
    </row>
    <row r="152" ht="12.75">
      <c r="B152" s="400" t="s">
        <v>265</v>
      </c>
    </row>
    <row r="153" spans="2:17" ht="12.75">
      <c r="B153" s="1127" t="s">
        <v>612</v>
      </c>
      <c r="C153" s="1115"/>
      <c r="D153" s="1115"/>
      <c r="E153" s="1115"/>
      <c r="F153" s="1115"/>
      <c r="G153" s="1115"/>
      <c r="H153" s="1115"/>
      <c r="I153" s="1115"/>
      <c r="J153" s="1115"/>
      <c r="K153" s="1115"/>
      <c r="L153" s="1115"/>
      <c r="M153" s="1115"/>
      <c r="N153" s="1115"/>
      <c r="O153" s="1115"/>
      <c r="P153" s="1115"/>
      <c r="Q153" s="1116"/>
    </row>
    <row r="154" spans="2:17" ht="12.75">
      <c r="B154" s="1117"/>
      <c r="C154" s="1118"/>
      <c r="D154" s="1118"/>
      <c r="E154" s="1118"/>
      <c r="F154" s="1118"/>
      <c r="G154" s="1118"/>
      <c r="H154" s="1118"/>
      <c r="I154" s="1118"/>
      <c r="J154" s="1118"/>
      <c r="K154" s="1118"/>
      <c r="L154" s="1118"/>
      <c r="M154" s="1118"/>
      <c r="N154" s="1118"/>
      <c r="O154" s="1118"/>
      <c r="P154" s="1118"/>
      <c r="Q154" s="1119"/>
    </row>
    <row r="155" spans="2:17" ht="12.75">
      <c r="B155" s="1117"/>
      <c r="C155" s="1118"/>
      <c r="D155" s="1118"/>
      <c r="E155" s="1118"/>
      <c r="F155" s="1118"/>
      <c r="G155" s="1118"/>
      <c r="H155" s="1118"/>
      <c r="I155" s="1118"/>
      <c r="J155" s="1118"/>
      <c r="K155" s="1118"/>
      <c r="L155" s="1118"/>
      <c r="M155" s="1118"/>
      <c r="N155" s="1118"/>
      <c r="O155" s="1118"/>
      <c r="P155" s="1118"/>
      <c r="Q155" s="1119"/>
    </row>
    <row r="156" spans="2:17" ht="12.75">
      <c r="B156" s="1117"/>
      <c r="C156" s="1118"/>
      <c r="D156" s="1118"/>
      <c r="E156" s="1118"/>
      <c r="F156" s="1118"/>
      <c r="G156" s="1118"/>
      <c r="H156" s="1118"/>
      <c r="I156" s="1118"/>
      <c r="J156" s="1118"/>
      <c r="K156" s="1118"/>
      <c r="L156" s="1118"/>
      <c r="M156" s="1118"/>
      <c r="N156" s="1118"/>
      <c r="O156" s="1118"/>
      <c r="P156" s="1118"/>
      <c r="Q156" s="1119"/>
    </row>
    <row r="157" spans="2:17" ht="12.75">
      <c r="B157" s="1120"/>
      <c r="C157" s="1121"/>
      <c r="D157" s="1121"/>
      <c r="E157" s="1121"/>
      <c r="F157" s="1121"/>
      <c r="G157" s="1121"/>
      <c r="H157" s="1121"/>
      <c r="I157" s="1121"/>
      <c r="J157" s="1121"/>
      <c r="K157" s="1121"/>
      <c r="L157" s="1121"/>
      <c r="M157" s="1121"/>
      <c r="N157" s="1121"/>
      <c r="O157" s="1121"/>
      <c r="P157" s="1121"/>
      <c r="Q157" s="1122"/>
    </row>
    <row r="158" ht="12.75"/>
    <row r="159" ht="12.75"/>
    <row r="160" ht="12.75"/>
    <row r="161" ht="12.75"/>
    <row r="162" spans="2:17" ht="15.75">
      <c r="B162" s="551" t="s">
        <v>564</v>
      </c>
      <c r="D162" s="563" t="s">
        <v>565</v>
      </c>
      <c r="F162" s="1123" t="s">
        <v>559</v>
      </c>
      <c r="G162" s="1123"/>
      <c r="H162" s="1123"/>
      <c r="I162" s="1123"/>
      <c r="J162" s="1123"/>
      <c r="K162" s="1123"/>
      <c r="L162" s="1123"/>
      <c r="M162" s="1123"/>
      <c r="N162" s="1123"/>
      <c r="O162" s="1123"/>
      <c r="P162" s="1123"/>
      <c r="Q162" s="1123"/>
    </row>
    <row r="163" spans="2:17" ht="15.75">
      <c r="B163" s="551"/>
      <c r="D163" s="564"/>
      <c r="F163" s="565"/>
      <c r="G163" s="565"/>
      <c r="H163" s="565"/>
      <c r="I163" s="565"/>
      <c r="J163" s="565"/>
      <c r="K163" s="565"/>
      <c r="L163" s="565"/>
      <c r="M163" s="565"/>
      <c r="N163" s="565"/>
      <c r="O163" s="565"/>
      <c r="P163" s="565"/>
      <c r="Q163" s="565"/>
    </row>
    <row r="164" spans="2:9" ht="12.75">
      <c r="B164" s="551" t="s">
        <v>566</v>
      </c>
      <c r="F164" s="400" t="s">
        <v>567</v>
      </c>
      <c r="G164" s="400"/>
      <c r="H164" s="643">
        <v>2800000</v>
      </c>
      <c r="I164" s="569" t="s">
        <v>568</v>
      </c>
    </row>
    <row r="165" spans="2:9" ht="12.75">
      <c r="B165" s="551" t="s">
        <v>569</v>
      </c>
      <c r="F165" s="400" t="s">
        <v>610</v>
      </c>
      <c r="H165" s="643">
        <v>7350</v>
      </c>
      <c r="I165" s="569" t="s">
        <v>554</v>
      </c>
    </row>
    <row r="166" spans="6:17" ht="12.75">
      <c r="F166" s="568"/>
      <c r="G166" s="568"/>
      <c r="H166" s="1124" t="s">
        <v>570</v>
      </c>
      <c r="I166" s="1125"/>
      <c r="J166" s="1126"/>
      <c r="L166" s="1124" t="s">
        <v>571</v>
      </c>
      <c r="M166" s="1125"/>
      <c r="N166" s="1126"/>
      <c r="P166" s="1124" t="s">
        <v>572</v>
      </c>
      <c r="Q166" s="1126"/>
    </row>
    <row r="167" spans="6:17" ht="12.75">
      <c r="F167" s="1108" t="s">
        <v>573</v>
      </c>
      <c r="G167" s="569"/>
      <c r="H167" s="570" t="s">
        <v>574</v>
      </c>
      <c r="I167" s="570" t="s">
        <v>575</v>
      </c>
      <c r="J167" s="571" t="s">
        <v>576</v>
      </c>
      <c r="L167" s="570" t="s">
        <v>574</v>
      </c>
      <c r="M167" s="572" t="s">
        <v>575</v>
      </c>
      <c r="N167" s="571" t="s">
        <v>576</v>
      </c>
      <c r="P167" s="1110" t="s">
        <v>577</v>
      </c>
      <c r="Q167" s="1112" t="s">
        <v>578</v>
      </c>
    </row>
    <row r="168" spans="6:17" ht="12.75">
      <c r="F168" s="1109"/>
      <c r="G168" s="569"/>
      <c r="H168" s="573" t="s">
        <v>410</v>
      </c>
      <c r="I168" s="573"/>
      <c r="J168" s="574" t="s">
        <v>410</v>
      </c>
      <c r="L168" s="573" t="s">
        <v>410</v>
      </c>
      <c r="M168" s="574"/>
      <c r="N168" s="574" t="s">
        <v>410</v>
      </c>
      <c r="P168" s="1111"/>
      <c r="Q168" s="1113"/>
    </row>
    <row r="169" spans="4:17" ht="12.75">
      <c r="D169" s="577" t="s">
        <v>555</v>
      </c>
      <c r="E169" s="577"/>
      <c r="F169" s="667" t="s">
        <v>564</v>
      </c>
      <c r="G169" s="579"/>
      <c r="H169" s="580">
        <v>9690.24</v>
      </c>
      <c r="I169" s="581">
        <v>1</v>
      </c>
      <c r="J169" s="582">
        <f aca="true" t="shared" si="27" ref="J169:J183">I169*H169</f>
        <v>9690.24</v>
      </c>
      <c r="K169" s="577"/>
      <c r="L169" s="580">
        <v>6017.469999999999</v>
      </c>
      <c r="M169" s="583">
        <v>1</v>
      </c>
      <c r="N169" s="582">
        <f aca="true" t="shared" si="28" ref="N169:N183">M169*L169</f>
        <v>6017.469999999999</v>
      </c>
      <c r="O169" s="577"/>
      <c r="P169" s="584">
        <f aca="true" t="shared" si="29" ref="P169:P198">N169-J169</f>
        <v>-3672.7700000000004</v>
      </c>
      <c r="Q169" s="585">
        <f aca="true" t="shared" si="30" ref="Q169:Q198">IF((J169)=0,"",(P169/J169))</f>
        <v>-0.3790174443563834</v>
      </c>
    </row>
    <row r="170" spans="4:17" ht="12.75">
      <c r="D170" s="577" t="s">
        <v>579</v>
      </c>
      <c r="E170" s="577"/>
      <c r="F170" s="667" t="s">
        <v>564</v>
      </c>
      <c r="G170" s="579"/>
      <c r="H170" s="587">
        <v>0</v>
      </c>
      <c r="I170" s="581">
        <v>1</v>
      </c>
      <c r="J170" s="582">
        <f t="shared" si="27"/>
        <v>0</v>
      </c>
      <c r="K170" s="577"/>
      <c r="L170" s="587">
        <v>0</v>
      </c>
      <c r="M170" s="583">
        <v>1</v>
      </c>
      <c r="N170" s="582">
        <f t="shared" si="28"/>
        <v>0</v>
      </c>
      <c r="O170" s="577"/>
      <c r="P170" s="584">
        <f t="shared" si="29"/>
        <v>0</v>
      </c>
      <c r="Q170" s="585">
        <f t="shared" si="30"/>
      </c>
    </row>
    <row r="171" spans="4:17" ht="12.75">
      <c r="D171" s="644" t="s">
        <v>580</v>
      </c>
      <c r="E171" s="577"/>
      <c r="F171" s="667" t="s">
        <v>564</v>
      </c>
      <c r="G171" s="579"/>
      <c r="H171" s="587">
        <v>0</v>
      </c>
      <c r="I171" s="581">
        <v>1</v>
      </c>
      <c r="J171" s="582">
        <f t="shared" si="27"/>
        <v>0</v>
      </c>
      <c r="K171" s="577"/>
      <c r="L171" s="580">
        <v>0.2</v>
      </c>
      <c r="M171" s="583">
        <v>1</v>
      </c>
      <c r="N171" s="582">
        <f t="shared" si="28"/>
        <v>0.2</v>
      </c>
      <c r="O171" s="577"/>
      <c r="P171" s="584">
        <f t="shared" si="29"/>
        <v>0.2</v>
      </c>
      <c r="Q171" s="585">
        <f t="shared" si="30"/>
      </c>
    </row>
    <row r="172" spans="4:17" ht="12.75">
      <c r="D172" s="577" t="s">
        <v>581</v>
      </c>
      <c r="E172" s="577"/>
      <c r="F172" s="667" t="s">
        <v>564</v>
      </c>
      <c r="G172" s="579"/>
      <c r="H172" s="587">
        <v>0</v>
      </c>
      <c r="I172" s="581">
        <v>1</v>
      </c>
      <c r="J172" s="582">
        <f t="shared" si="27"/>
        <v>0</v>
      </c>
      <c r="K172" s="577"/>
      <c r="L172" s="587">
        <v>0</v>
      </c>
      <c r="M172" s="583">
        <v>1</v>
      </c>
      <c r="N172" s="582">
        <f t="shared" si="28"/>
        <v>0</v>
      </c>
      <c r="O172" s="577"/>
      <c r="P172" s="584">
        <f t="shared" si="29"/>
        <v>0</v>
      </c>
      <c r="Q172" s="585">
        <f t="shared" si="30"/>
      </c>
    </row>
    <row r="173" spans="4:17" ht="12.75">
      <c r="D173" s="577" t="s">
        <v>582</v>
      </c>
      <c r="E173" s="577"/>
      <c r="F173" s="667" t="s">
        <v>569</v>
      </c>
      <c r="G173" s="579"/>
      <c r="H173" s="587">
        <v>0.5918</v>
      </c>
      <c r="I173" s="581">
        <f>H165</f>
        <v>7350</v>
      </c>
      <c r="J173" s="582">
        <f t="shared" si="27"/>
        <v>4349.73</v>
      </c>
      <c r="K173" s="577"/>
      <c r="L173" s="587">
        <v>1.7969</v>
      </c>
      <c r="M173" s="583">
        <f>H165</f>
        <v>7350</v>
      </c>
      <c r="N173" s="582">
        <f t="shared" si="28"/>
        <v>13207.215</v>
      </c>
      <c r="O173" s="577"/>
      <c r="P173" s="584">
        <f t="shared" si="29"/>
        <v>8857.485</v>
      </c>
      <c r="Q173" s="585">
        <f t="shared" si="30"/>
        <v>2.0363298411625554</v>
      </c>
    </row>
    <row r="174" spans="4:17" ht="12.75">
      <c r="D174" s="577" t="s">
        <v>583</v>
      </c>
      <c r="E174" s="577"/>
      <c r="F174" s="667" t="s">
        <v>569</v>
      </c>
      <c r="G174" s="579"/>
      <c r="H174" s="587">
        <v>0.3886</v>
      </c>
      <c r="I174" s="581">
        <f aca="true" t="shared" si="31" ref="I174:I179">I173</f>
        <v>7350</v>
      </c>
      <c r="J174" s="582">
        <f t="shared" si="27"/>
        <v>2856.21</v>
      </c>
      <c r="K174" s="577"/>
      <c r="L174" s="587">
        <v>0.1439</v>
      </c>
      <c r="M174" s="583">
        <f aca="true" t="shared" si="32" ref="M174:M179">M173</f>
        <v>7350</v>
      </c>
      <c r="N174" s="582">
        <f t="shared" si="28"/>
        <v>1057.665</v>
      </c>
      <c r="O174" s="577"/>
      <c r="P174" s="584">
        <f t="shared" si="29"/>
        <v>-1798.545</v>
      </c>
      <c r="Q174" s="585">
        <f t="shared" si="30"/>
        <v>-0.6296963458569224</v>
      </c>
    </row>
    <row r="175" spans="4:17" ht="12.75">
      <c r="D175" s="577" t="s">
        <v>584</v>
      </c>
      <c r="E175" s="577"/>
      <c r="F175" s="667" t="s">
        <v>569</v>
      </c>
      <c r="G175" s="579"/>
      <c r="H175" s="587">
        <v>0</v>
      </c>
      <c r="I175" s="581">
        <f t="shared" si="31"/>
        <v>7350</v>
      </c>
      <c r="J175" s="582">
        <f t="shared" si="27"/>
        <v>0</v>
      </c>
      <c r="K175" s="577"/>
      <c r="L175" s="587">
        <v>0</v>
      </c>
      <c r="M175" s="583">
        <f t="shared" si="32"/>
        <v>7350</v>
      </c>
      <c r="N175" s="582">
        <f t="shared" si="28"/>
        <v>0</v>
      </c>
      <c r="O175" s="577"/>
      <c r="P175" s="584">
        <f t="shared" si="29"/>
        <v>0</v>
      </c>
      <c r="Q175" s="585">
        <f t="shared" si="30"/>
      </c>
    </row>
    <row r="176" spans="4:17" ht="12.75">
      <c r="D176" s="577" t="s">
        <v>585</v>
      </c>
      <c r="E176" s="577"/>
      <c r="F176" s="667" t="s">
        <v>569</v>
      </c>
      <c r="G176" s="579"/>
      <c r="H176" s="587">
        <v>-0.0764</v>
      </c>
      <c r="I176" s="581">
        <f t="shared" si="31"/>
        <v>7350</v>
      </c>
      <c r="J176" s="582">
        <f t="shared" si="27"/>
        <v>-561.54</v>
      </c>
      <c r="K176" s="577"/>
      <c r="L176" s="587">
        <v>0</v>
      </c>
      <c r="M176" s="583">
        <f t="shared" si="32"/>
        <v>7350</v>
      </c>
      <c r="N176" s="582">
        <f t="shared" si="28"/>
        <v>0</v>
      </c>
      <c r="O176" s="577"/>
      <c r="P176" s="584">
        <f t="shared" si="29"/>
        <v>561.54</v>
      </c>
      <c r="Q176" s="585">
        <f t="shared" si="30"/>
        <v>-1</v>
      </c>
    </row>
    <row r="177" spans="4:17" ht="12.75">
      <c r="D177" s="577" t="s">
        <v>586</v>
      </c>
      <c r="E177" s="577"/>
      <c r="F177" s="667" t="s">
        <v>569</v>
      </c>
      <c r="G177" s="579"/>
      <c r="H177" s="587">
        <v>0</v>
      </c>
      <c r="I177" s="581">
        <f t="shared" si="31"/>
        <v>7350</v>
      </c>
      <c r="J177" s="582">
        <f t="shared" si="27"/>
        <v>0</v>
      </c>
      <c r="K177" s="577"/>
      <c r="L177" s="587">
        <v>0</v>
      </c>
      <c r="M177" s="583">
        <f t="shared" si="32"/>
        <v>7350</v>
      </c>
      <c r="N177" s="582">
        <f t="shared" si="28"/>
        <v>0</v>
      </c>
      <c r="O177" s="577"/>
      <c r="P177" s="584">
        <f t="shared" si="29"/>
        <v>0</v>
      </c>
      <c r="Q177" s="585">
        <f t="shared" si="30"/>
      </c>
    </row>
    <row r="178" spans="4:17" ht="12.75">
      <c r="D178" s="577" t="s">
        <v>587</v>
      </c>
      <c r="E178" s="577"/>
      <c r="F178" s="667" t="s">
        <v>569</v>
      </c>
      <c r="G178" s="579"/>
      <c r="H178" s="587">
        <v>0</v>
      </c>
      <c r="I178" s="581">
        <f t="shared" si="31"/>
        <v>7350</v>
      </c>
      <c r="J178" s="582">
        <f t="shared" si="27"/>
        <v>0</v>
      </c>
      <c r="K178" s="577"/>
      <c r="L178" s="587">
        <v>0</v>
      </c>
      <c r="M178" s="583">
        <f t="shared" si="32"/>
        <v>7350</v>
      </c>
      <c r="N178" s="582">
        <f t="shared" si="28"/>
        <v>0</v>
      </c>
      <c r="O178" s="577"/>
      <c r="P178" s="584">
        <f t="shared" si="29"/>
        <v>0</v>
      </c>
      <c r="Q178" s="585">
        <f t="shared" si="30"/>
      </c>
    </row>
    <row r="179" spans="1:17" ht="38.25">
      <c r="A179" s="601"/>
      <c r="D179" s="589" t="s">
        <v>618</v>
      </c>
      <c r="E179" s="577"/>
      <c r="F179" s="667" t="s">
        <v>569</v>
      </c>
      <c r="G179" s="579"/>
      <c r="H179" s="587">
        <v>0</v>
      </c>
      <c r="I179" s="581">
        <f t="shared" si="31"/>
        <v>7350</v>
      </c>
      <c r="J179" s="582">
        <f t="shared" si="27"/>
        <v>0</v>
      </c>
      <c r="K179" s="577"/>
      <c r="L179" s="587">
        <v>-0.0829</v>
      </c>
      <c r="M179" s="583">
        <f t="shared" si="32"/>
        <v>7350</v>
      </c>
      <c r="N179" s="582">
        <f t="shared" si="28"/>
        <v>-609.315</v>
      </c>
      <c r="O179" s="577"/>
      <c r="P179" s="584">
        <f t="shared" si="29"/>
        <v>-609.315</v>
      </c>
      <c r="Q179" s="585">
        <f t="shared" si="30"/>
      </c>
    </row>
    <row r="180" spans="1:17" ht="25.5">
      <c r="A180" s="601"/>
      <c r="D180" s="589" t="s">
        <v>611</v>
      </c>
      <c r="E180" s="577"/>
      <c r="F180" s="667" t="s">
        <v>566</v>
      </c>
      <c r="G180" s="579"/>
      <c r="H180" s="587"/>
      <c r="I180" s="646"/>
      <c r="J180" s="582">
        <f t="shared" si="27"/>
        <v>0</v>
      </c>
      <c r="K180" s="577"/>
      <c r="L180" s="587">
        <v>0.0001</v>
      </c>
      <c r="M180" s="583">
        <f>H164</f>
        <v>2800000</v>
      </c>
      <c r="N180" s="582">
        <f t="shared" si="28"/>
        <v>280</v>
      </c>
      <c r="O180" s="577"/>
      <c r="P180" s="584">
        <f t="shared" si="29"/>
        <v>280</v>
      </c>
      <c r="Q180" s="585">
        <f t="shared" si="30"/>
      </c>
    </row>
    <row r="181" spans="4:17" ht="12.75">
      <c r="D181" s="590"/>
      <c r="E181" s="577"/>
      <c r="F181" s="667"/>
      <c r="G181" s="579"/>
      <c r="H181" s="587"/>
      <c r="I181" s="646"/>
      <c r="J181" s="582">
        <f t="shared" si="27"/>
        <v>0</v>
      </c>
      <c r="K181" s="577"/>
      <c r="L181" s="587"/>
      <c r="M181" s="647"/>
      <c r="N181" s="582">
        <f t="shared" si="28"/>
        <v>0</v>
      </c>
      <c r="O181" s="577"/>
      <c r="P181" s="584">
        <f t="shared" si="29"/>
        <v>0</v>
      </c>
      <c r="Q181" s="585">
        <f t="shared" si="30"/>
      </c>
    </row>
    <row r="182" spans="4:17" ht="12.75">
      <c r="D182" s="590"/>
      <c r="E182" s="577"/>
      <c r="F182" s="667"/>
      <c r="G182" s="579"/>
      <c r="H182" s="587"/>
      <c r="I182" s="646"/>
      <c r="J182" s="582">
        <f t="shared" si="27"/>
        <v>0</v>
      </c>
      <c r="K182" s="577"/>
      <c r="L182" s="587"/>
      <c r="M182" s="647"/>
      <c r="N182" s="582">
        <f t="shared" si="28"/>
        <v>0</v>
      </c>
      <c r="O182" s="577"/>
      <c r="P182" s="584">
        <f t="shared" si="29"/>
        <v>0</v>
      </c>
      <c r="Q182" s="585">
        <f t="shared" si="30"/>
      </c>
    </row>
    <row r="183" spans="4:17" ht="13.5" thickBot="1">
      <c r="D183" s="590"/>
      <c r="E183" s="577"/>
      <c r="F183" s="667"/>
      <c r="G183" s="579"/>
      <c r="H183" s="587"/>
      <c r="I183" s="646"/>
      <c r="J183" s="582">
        <f t="shared" si="27"/>
        <v>0</v>
      </c>
      <c r="K183" s="577"/>
      <c r="L183" s="587"/>
      <c r="M183" s="647"/>
      <c r="N183" s="582">
        <f t="shared" si="28"/>
        <v>0</v>
      </c>
      <c r="O183" s="577"/>
      <c r="P183" s="584">
        <f t="shared" si="29"/>
        <v>0</v>
      </c>
      <c r="Q183" s="585">
        <f t="shared" si="30"/>
      </c>
    </row>
    <row r="184" spans="4:17" ht="13.5" thickBot="1">
      <c r="D184" s="400" t="s">
        <v>589</v>
      </c>
      <c r="G184" s="551"/>
      <c r="H184" s="593"/>
      <c r="I184" s="648"/>
      <c r="J184" s="595">
        <f>SUM(J169:J183)</f>
        <v>16334.64</v>
      </c>
      <c r="L184" s="593"/>
      <c r="M184" s="649"/>
      <c r="N184" s="595">
        <f>SUM(N169:N183)</f>
        <v>19953.235</v>
      </c>
      <c r="P184" s="597">
        <f t="shared" si="29"/>
        <v>3618.595000000001</v>
      </c>
      <c r="Q184" s="598">
        <f t="shared" si="30"/>
        <v>0.2215289103402341</v>
      </c>
    </row>
    <row r="185" spans="4:17" ht="12.75">
      <c r="D185" s="599" t="s">
        <v>590</v>
      </c>
      <c r="E185" s="599"/>
      <c r="F185" s="670" t="s">
        <v>569</v>
      </c>
      <c r="G185" s="601"/>
      <c r="H185" s="602">
        <v>3.1192</v>
      </c>
      <c r="I185" s="639">
        <f>H165</f>
        <v>7350</v>
      </c>
      <c r="J185" s="604">
        <f>I185*H185</f>
        <v>22926.120000000003</v>
      </c>
      <c r="K185" s="599"/>
      <c r="L185" s="602">
        <v>3.0886</v>
      </c>
      <c r="M185" s="640">
        <f>H165</f>
        <v>7350</v>
      </c>
      <c r="N185" s="604">
        <f>M185*L185</f>
        <v>22701.21</v>
      </c>
      <c r="O185" s="599"/>
      <c r="P185" s="606">
        <f t="shared" si="29"/>
        <v>-224.9100000000035</v>
      </c>
      <c r="Q185" s="607">
        <f t="shared" si="30"/>
        <v>-0.00981020774557594</v>
      </c>
    </row>
    <row r="186" spans="4:17" ht="26.25" thickBot="1">
      <c r="D186" s="608" t="s">
        <v>591</v>
      </c>
      <c r="E186" s="599"/>
      <c r="F186" s="670" t="s">
        <v>569</v>
      </c>
      <c r="G186" s="601"/>
      <c r="H186" s="602">
        <v>2.5775</v>
      </c>
      <c r="I186" s="639">
        <f>I185</f>
        <v>7350</v>
      </c>
      <c r="J186" s="604">
        <f>I186*H186</f>
        <v>18944.625</v>
      </c>
      <c r="K186" s="599"/>
      <c r="L186" s="602">
        <v>1.1266</v>
      </c>
      <c r="M186" s="640">
        <f>M185</f>
        <v>7350</v>
      </c>
      <c r="N186" s="604">
        <f>M186*L186</f>
        <v>8280.51</v>
      </c>
      <c r="O186" s="599"/>
      <c r="P186" s="606">
        <f t="shared" si="29"/>
        <v>-10664.115</v>
      </c>
      <c r="Q186" s="607">
        <f t="shared" si="30"/>
        <v>-0.562909796314258</v>
      </c>
    </row>
    <row r="187" spans="4:17" ht="26.25" thickBot="1">
      <c r="D187" s="609" t="s">
        <v>592</v>
      </c>
      <c r="E187" s="577"/>
      <c r="F187" s="577"/>
      <c r="G187" s="579"/>
      <c r="H187" s="610"/>
      <c r="I187" s="650"/>
      <c r="J187" s="612">
        <f>SUM(J184:J186)</f>
        <v>58205.385</v>
      </c>
      <c r="K187" s="613"/>
      <c r="L187" s="614"/>
      <c r="M187" s="651"/>
      <c r="N187" s="612">
        <f>SUM(N184:N186)</f>
        <v>50934.955</v>
      </c>
      <c r="O187" s="613"/>
      <c r="P187" s="616">
        <f t="shared" si="29"/>
        <v>-7270.43</v>
      </c>
      <c r="Q187" s="617">
        <f t="shared" si="30"/>
        <v>-0.12490992027627684</v>
      </c>
    </row>
    <row r="188" spans="4:17" ht="25.5">
      <c r="D188" s="589" t="s">
        <v>593</v>
      </c>
      <c r="E188" s="577"/>
      <c r="F188" s="667" t="s">
        <v>566</v>
      </c>
      <c r="G188" s="579"/>
      <c r="H188" s="587">
        <v>0.0052</v>
      </c>
      <c r="I188" s="581">
        <f>H164*(1+H200)</f>
        <v>2840600</v>
      </c>
      <c r="J188" s="582">
        <f aca="true" t="shared" si="33" ref="J188:J195">I188*H188</f>
        <v>14771.119999999999</v>
      </c>
      <c r="K188" s="577"/>
      <c r="L188" s="587">
        <f aca="true" t="shared" si="34" ref="L188:L194">H188</f>
        <v>0.0052</v>
      </c>
      <c r="M188" s="583">
        <f>H164*(1+L200)</f>
        <v>2840600</v>
      </c>
      <c r="N188" s="582">
        <f aca="true" t="shared" si="35" ref="N188:N195">M188*L188</f>
        <v>14771.119999999999</v>
      </c>
      <c r="O188" s="577"/>
      <c r="P188" s="584">
        <f t="shared" si="29"/>
        <v>0</v>
      </c>
      <c r="Q188" s="585">
        <f t="shared" si="30"/>
        <v>0</v>
      </c>
    </row>
    <row r="189" spans="4:17" ht="25.5">
      <c r="D189" s="589" t="s">
        <v>594</v>
      </c>
      <c r="E189" s="577"/>
      <c r="F189" s="667" t="s">
        <v>566</v>
      </c>
      <c r="G189" s="579"/>
      <c r="H189" s="587">
        <v>0.0011</v>
      </c>
      <c r="I189" s="581">
        <f>I188</f>
        <v>2840600</v>
      </c>
      <c r="J189" s="582">
        <f t="shared" si="33"/>
        <v>3124.6600000000003</v>
      </c>
      <c r="K189" s="577"/>
      <c r="L189" s="587">
        <f t="shared" si="34"/>
        <v>0.0011</v>
      </c>
      <c r="M189" s="583">
        <f>M188</f>
        <v>2840600</v>
      </c>
      <c r="N189" s="582">
        <f t="shared" si="35"/>
        <v>3124.6600000000003</v>
      </c>
      <c r="O189" s="577"/>
      <c r="P189" s="584">
        <f t="shared" si="29"/>
        <v>0</v>
      </c>
      <c r="Q189" s="585">
        <f t="shared" si="30"/>
        <v>0</v>
      </c>
    </row>
    <row r="190" spans="4:17" ht="12.75">
      <c r="D190" s="589" t="s">
        <v>595</v>
      </c>
      <c r="E190" s="577"/>
      <c r="F190" s="667" t="s">
        <v>566</v>
      </c>
      <c r="G190" s="579"/>
      <c r="H190" s="587">
        <v>0</v>
      </c>
      <c r="I190" s="581">
        <f>I188</f>
        <v>2840600</v>
      </c>
      <c r="J190" s="582">
        <f t="shared" si="33"/>
        <v>0</v>
      </c>
      <c r="K190" s="577"/>
      <c r="L190" s="587">
        <f t="shared" si="34"/>
        <v>0</v>
      </c>
      <c r="M190" s="583">
        <f>M188</f>
        <v>2840600</v>
      </c>
      <c r="N190" s="582">
        <f t="shared" si="35"/>
        <v>0</v>
      </c>
      <c r="O190" s="577"/>
      <c r="P190" s="584">
        <f t="shared" si="29"/>
        <v>0</v>
      </c>
      <c r="Q190" s="585">
        <f t="shared" si="30"/>
      </c>
    </row>
    <row r="191" spans="4:17" ht="12.75">
      <c r="D191" s="577" t="s">
        <v>596</v>
      </c>
      <c r="E191" s="577"/>
      <c r="F191" s="667" t="s">
        <v>564</v>
      </c>
      <c r="G191" s="579"/>
      <c r="H191" s="587">
        <v>0.25</v>
      </c>
      <c r="I191" s="581">
        <v>1</v>
      </c>
      <c r="J191" s="582">
        <f t="shared" si="33"/>
        <v>0.25</v>
      </c>
      <c r="K191" s="577"/>
      <c r="L191" s="587">
        <f t="shared" si="34"/>
        <v>0.25</v>
      </c>
      <c r="M191" s="583">
        <v>1</v>
      </c>
      <c r="N191" s="582">
        <f t="shared" si="35"/>
        <v>0.25</v>
      </c>
      <c r="O191" s="577"/>
      <c r="P191" s="584">
        <f t="shared" si="29"/>
        <v>0</v>
      </c>
      <c r="Q191" s="585">
        <f t="shared" si="30"/>
        <v>0</v>
      </c>
    </row>
    <row r="192" spans="4:17" ht="12.75">
      <c r="D192" s="577" t="s">
        <v>597</v>
      </c>
      <c r="E192" s="577"/>
      <c r="F192" s="667" t="s">
        <v>566</v>
      </c>
      <c r="G192" s="579"/>
      <c r="H192" s="587">
        <v>0.007</v>
      </c>
      <c r="I192" s="581">
        <f>H164</f>
        <v>2800000</v>
      </c>
      <c r="J192" s="582">
        <f t="shared" si="33"/>
        <v>19600</v>
      </c>
      <c r="K192" s="577"/>
      <c r="L192" s="587">
        <f t="shared" si="34"/>
        <v>0.007</v>
      </c>
      <c r="M192" s="583">
        <f>H164</f>
        <v>2800000</v>
      </c>
      <c r="N192" s="582">
        <f t="shared" si="35"/>
        <v>19600</v>
      </c>
      <c r="O192" s="577"/>
      <c r="P192" s="584">
        <f t="shared" si="29"/>
        <v>0</v>
      </c>
      <c r="Q192" s="585">
        <f t="shared" si="30"/>
        <v>0</v>
      </c>
    </row>
    <row r="193" spans="4:17" ht="12.75">
      <c r="D193" s="577" t="s">
        <v>608</v>
      </c>
      <c r="E193" s="577"/>
      <c r="F193" s="667" t="s">
        <v>566</v>
      </c>
      <c r="G193" s="579"/>
      <c r="H193" s="587">
        <v>0.082</v>
      </c>
      <c r="I193" s="581">
        <f>IF(I188&lt;H201,I188,H201)</f>
        <v>750</v>
      </c>
      <c r="J193" s="582">
        <f t="shared" si="33"/>
        <v>61.5</v>
      </c>
      <c r="K193" s="577"/>
      <c r="L193" s="587">
        <f t="shared" si="34"/>
        <v>0.082</v>
      </c>
      <c r="M193" s="583">
        <f>IF(M188&lt;L201,M188,L201)</f>
        <v>750</v>
      </c>
      <c r="N193" s="582">
        <f t="shared" si="35"/>
        <v>61.5</v>
      </c>
      <c r="O193" s="577"/>
      <c r="P193" s="584">
        <f t="shared" si="29"/>
        <v>0</v>
      </c>
      <c r="Q193" s="585">
        <f t="shared" si="30"/>
        <v>0</v>
      </c>
    </row>
    <row r="194" spans="4:17" ht="12.75">
      <c r="D194" s="577" t="s">
        <v>608</v>
      </c>
      <c r="E194" s="577"/>
      <c r="F194" s="667" t="s">
        <v>566</v>
      </c>
      <c r="G194" s="579"/>
      <c r="H194" s="587">
        <v>0.082</v>
      </c>
      <c r="I194" s="621">
        <f>IF(I188&lt;H201,0,I188-I193)</f>
        <v>2839850</v>
      </c>
      <c r="J194" s="582">
        <f t="shared" si="33"/>
        <v>232867.7</v>
      </c>
      <c r="K194" s="577"/>
      <c r="L194" s="587">
        <f t="shared" si="34"/>
        <v>0.082</v>
      </c>
      <c r="M194" s="642">
        <f>IF(M188&lt;L201,0,M188-M193)</f>
        <v>2839850</v>
      </c>
      <c r="N194" s="582">
        <f t="shared" si="35"/>
        <v>232867.7</v>
      </c>
      <c r="O194" s="577"/>
      <c r="P194" s="584">
        <f t="shared" si="29"/>
        <v>0</v>
      </c>
      <c r="Q194" s="585">
        <f t="shared" si="30"/>
        <v>0</v>
      </c>
    </row>
    <row r="195" spans="4:17" ht="13.5" thickBot="1">
      <c r="D195" s="590"/>
      <c r="E195" s="577"/>
      <c r="F195" s="667"/>
      <c r="G195" s="579"/>
      <c r="H195" s="587"/>
      <c r="I195" s="646"/>
      <c r="J195" s="582">
        <f t="shared" si="33"/>
        <v>0</v>
      </c>
      <c r="K195" s="577"/>
      <c r="L195" s="587"/>
      <c r="M195" s="647"/>
      <c r="N195" s="582">
        <f t="shared" si="35"/>
        <v>0</v>
      </c>
      <c r="O195" s="577"/>
      <c r="P195" s="584">
        <f t="shared" si="29"/>
        <v>0</v>
      </c>
      <c r="Q195" s="585">
        <f t="shared" si="30"/>
      </c>
    </row>
    <row r="196" spans="4:17" ht="13.5" thickBot="1">
      <c r="D196" s="623" t="s">
        <v>600</v>
      </c>
      <c r="E196" s="577"/>
      <c r="F196" s="577"/>
      <c r="G196" s="577"/>
      <c r="H196" s="624"/>
      <c r="I196" s="625"/>
      <c r="J196" s="612">
        <f>SUM(J187:J195)</f>
        <v>328630.615</v>
      </c>
      <c r="K196" s="613"/>
      <c r="L196" s="626"/>
      <c r="M196" s="651"/>
      <c r="N196" s="612">
        <f>SUM(N187:N195)</f>
        <v>321360.185</v>
      </c>
      <c r="O196" s="613"/>
      <c r="P196" s="616">
        <f t="shared" si="29"/>
        <v>-7270.429999999993</v>
      </c>
      <c r="Q196" s="617">
        <f t="shared" si="30"/>
        <v>-0.02212341050452647</v>
      </c>
    </row>
    <row r="197" spans="4:17" ht="13.5" thickBot="1">
      <c r="D197" s="579" t="s">
        <v>601</v>
      </c>
      <c r="E197" s="577"/>
      <c r="F197" s="577"/>
      <c r="G197" s="577"/>
      <c r="H197" s="628">
        <v>0.13</v>
      </c>
      <c r="I197" s="629"/>
      <c r="J197" s="630">
        <f>J196*H197</f>
        <v>42721.97995</v>
      </c>
      <c r="K197" s="577"/>
      <c r="L197" s="628">
        <v>0.13</v>
      </c>
      <c r="M197" s="652"/>
      <c r="N197" s="630">
        <f>N196*L197</f>
        <v>41776.82405</v>
      </c>
      <c r="O197" s="577"/>
      <c r="P197" s="584">
        <f t="shared" si="29"/>
        <v>-945.1558999999979</v>
      </c>
      <c r="Q197" s="585">
        <f t="shared" si="30"/>
        <v>-0.022123410504526438</v>
      </c>
    </row>
    <row r="198" spans="4:17" ht="26.25" thickBot="1">
      <c r="D198" s="609" t="s">
        <v>602</v>
      </c>
      <c r="E198" s="577"/>
      <c r="F198" s="577"/>
      <c r="G198" s="577"/>
      <c r="H198" s="610"/>
      <c r="I198" s="611"/>
      <c r="J198" s="612">
        <f>ROUND(SUM(J196:J197),2)</f>
        <v>371352.59</v>
      </c>
      <c r="K198" s="613"/>
      <c r="L198" s="614"/>
      <c r="M198" s="651"/>
      <c r="N198" s="612">
        <f>ROUND(SUM(N196:N197),2)</f>
        <v>363137.01</v>
      </c>
      <c r="O198" s="613"/>
      <c r="P198" s="616">
        <f t="shared" si="29"/>
        <v>-8215.580000000016</v>
      </c>
      <c r="Q198" s="617">
        <f t="shared" si="30"/>
        <v>-0.022123394911558354</v>
      </c>
    </row>
    <row r="199" ht="12.75"/>
    <row r="200" spans="4:14" ht="12.75">
      <c r="D200" s="400" t="s">
        <v>605</v>
      </c>
      <c r="H200" s="634">
        <v>0.014499999999999957</v>
      </c>
      <c r="J200" s="635"/>
      <c r="L200" s="634">
        <f>H200</f>
        <v>0.014499999999999957</v>
      </c>
      <c r="N200" s="636"/>
    </row>
    <row r="201" spans="4:12" ht="12.75">
      <c r="D201" s="637" t="s">
        <v>606</v>
      </c>
      <c r="H201" s="638">
        <v>750</v>
      </c>
      <c r="L201" s="638">
        <f>H201</f>
        <v>750</v>
      </c>
    </row>
    <row r="202" ht="12.75">
      <c r="B202" s="400" t="s">
        <v>265</v>
      </c>
    </row>
    <row r="203" spans="2:17" ht="12.75">
      <c r="B203" s="1127" t="s">
        <v>612</v>
      </c>
      <c r="C203" s="1115"/>
      <c r="D203" s="1115"/>
      <c r="E203" s="1115"/>
      <c r="F203" s="1115"/>
      <c r="G203" s="1115"/>
      <c r="H203" s="1115"/>
      <c r="I203" s="1115"/>
      <c r="J203" s="1115"/>
      <c r="K203" s="1115"/>
      <c r="L203" s="1115"/>
      <c r="M203" s="1115"/>
      <c r="N203" s="1115"/>
      <c r="O203" s="1115"/>
      <c r="P203" s="1115"/>
      <c r="Q203" s="1116"/>
    </row>
    <row r="204" spans="2:17" ht="12.75">
      <c r="B204" s="1117"/>
      <c r="C204" s="1118"/>
      <c r="D204" s="1118"/>
      <c r="E204" s="1118"/>
      <c r="F204" s="1118"/>
      <c r="G204" s="1118"/>
      <c r="H204" s="1118"/>
      <c r="I204" s="1118"/>
      <c r="J204" s="1118"/>
      <c r="K204" s="1118"/>
      <c r="L204" s="1118"/>
      <c r="M204" s="1118"/>
      <c r="N204" s="1118"/>
      <c r="O204" s="1118"/>
      <c r="P204" s="1118"/>
      <c r="Q204" s="1119"/>
    </row>
    <row r="205" spans="2:17" ht="12.75">
      <c r="B205" s="1117"/>
      <c r="C205" s="1118"/>
      <c r="D205" s="1118"/>
      <c r="E205" s="1118"/>
      <c r="F205" s="1118"/>
      <c r="G205" s="1118"/>
      <c r="H205" s="1118"/>
      <c r="I205" s="1118"/>
      <c r="J205" s="1118"/>
      <c r="K205" s="1118"/>
      <c r="L205" s="1118"/>
      <c r="M205" s="1118"/>
      <c r="N205" s="1118"/>
      <c r="O205" s="1118"/>
      <c r="P205" s="1118"/>
      <c r="Q205" s="1119"/>
    </row>
    <row r="206" spans="2:17" ht="12.75">
      <c r="B206" s="1117"/>
      <c r="C206" s="1118"/>
      <c r="D206" s="1118"/>
      <c r="E206" s="1118"/>
      <c r="F206" s="1118"/>
      <c r="G206" s="1118"/>
      <c r="H206" s="1118"/>
      <c r="I206" s="1118"/>
      <c r="J206" s="1118"/>
      <c r="K206" s="1118"/>
      <c r="L206" s="1118"/>
      <c r="M206" s="1118"/>
      <c r="N206" s="1118"/>
      <c r="O206" s="1118"/>
      <c r="P206" s="1118"/>
      <c r="Q206" s="1119"/>
    </row>
    <row r="207" spans="2:17" ht="12.75">
      <c r="B207" s="1120"/>
      <c r="C207" s="1121"/>
      <c r="D207" s="1121"/>
      <c r="E207" s="1121"/>
      <c r="F207" s="1121"/>
      <c r="G207" s="1121"/>
      <c r="H207" s="1121"/>
      <c r="I207" s="1121"/>
      <c r="J207" s="1121"/>
      <c r="K207" s="1121"/>
      <c r="L207" s="1121"/>
      <c r="M207" s="1121"/>
      <c r="N207" s="1121"/>
      <c r="O207" s="1121"/>
      <c r="P207" s="1121"/>
      <c r="Q207" s="1122"/>
    </row>
    <row r="208" ht="12.75"/>
    <row r="209" ht="12.75"/>
    <row r="210" ht="12.75"/>
    <row r="211" ht="12.75"/>
    <row r="212" spans="2:17" ht="15.75">
      <c r="B212" s="551" t="s">
        <v>564</v>
      </c>
      <c r="D212" s="563" t="s">
        <v>565</v>
      </c>
      <c r="F212" s="1123" t="s">
        <v>562</v>
      </c>
      <c r="G212" s="1123"/>
      <c r="H212" s="1123"/>
      <c r="I212" s="1123"/>
      <c r="J212" s="1123"/>
      <c r="K212" s="1123"/>
      <c r="L212" s="1123"/>
      <c r="M212" s="1123"/>
      <c r="N212" s="1123"/>
      <c r="O212" s="1123"/>
      <c r="P212" s="1123"/>
      <c r="Q212" s="1123"/>
    </row>
    <row r="213" spans="2:17" ht="15.75">
      <c r="B213" s="551"/>
      <c r="D213" s="564"/>
      <c r="F213" s="565"/>
      <c r="G213" s="565"/>
      <c r="H213" s="565"/>
      <c r="I213" s="565"/>
      <c r="J213" s="565"/>
      <c r="K213" s="565"/>
      <c r="L213" s="565"/>
      <c r="M213" s="565"/>
      <c r="N213" s="565"/>
      <c r="O213" s="565"/>
      <c r="P213" s="565"/>
      <c r="Q213" s="565"/>
    </row>
    <row r="214" spans="2:9" ht="12.75">
      <c r="B214" s="551" t="s">
        <v>566</v>
      </c>
      <c r="F214" s="400" t="s">
        <v>567</v>
      </c>
      <c r="G214" s="400"/>
      <c r="H214" s="566">
        <v>150</v>
      </c>
      <c r="I214" s="400" t="s">
        <v>568</v>
      </c>
    </row>
    <row r="215" ht="12.75">
      <c r="B215" s="551" t="s">
        <v>569</v>
      </c>
    </row>
    <row r="216" spans="6:17" ht="12.75">
      <c r="F216" s="568"/>
      <c r="G216" s="568"/>
      <c r="H216" s="1124" t="s">
        <v>570</v>
      </c>
      <c r="I216" s="1125"/>
      <c r="J216" s="1126"/>
      <c r="L216" s="1124" t="s">
        <v>571</v>
      </c>
      <c r="M216" s="1125"/>
      <c r="N216" s="1126"/>
      <c r="P216" s="1124" t="s">
        <v>572</v>
      </c>
      <c r="Q216" s="1126"/>
    </row>
    <row r="217" spans="6:17" ht="12.75">
      <c r="F217" s="1108" t="s">
        <v>573</v>
      </c>
      <c r="G217" s="569"/>
      <c r="H217" s="570" t="s">
        <v>574</v>
      </c>
      <c r="I217" s="570" t="s">
        <v>575</v>
      </c>
      <c r="J217" s="571" t="s">
        <v>576</v>
      </c>
      <c r="L217" s="570" t="s">
        <v>574</v>
      </c>
      <c r="M217" s="572" t="s">
        <v>575</v>
      </c>
      <c r="N217" s="571" t="s">
        <v>576</v>
      </c>
      <c r="P217" s="1110" t="s">
        <v>577</v>
      </c>
      <c r="Q217" s="1112" t="s">
        <v>578</v>
      </c>
    </row>
    <row r="218" spans="6:17" ht="12.75">
      <c r="F218" s="1109"/>
      <c r="G218" s="569"/>
      <c r="H218" s="573" t="s">
        <v>410</v>
      </c>
      <c r="I218" s="573"/>
      <c r="J218" s="574" t="s">
        <v>410</v>
      </c>
      <c r="L218" s="573" t="s">
        <v>410</v>
      </c>
      <c r="M218" s="574"/>
      <c r="N218" s="574" t="s">
        <v>410</v>
      </c>
      <c r="P218" s="1111"/>
      <c r="Q218" s="1113"/>
    </row>
    <row r="219" spans="4:17" ht="12.75">
      <c r="D219" s="577" t="s">
        <v>555</v>
      </c>
      <c r="E219" s="577"/>
      <c r="F219" s="667" t="s">
        <v>564</v>
      </c>
      <c r="G219" s="579"/>
      <c r="H219" s="580">
        <v>7.95</v>
      </c>
      <c r="I219" s="581">
        <v>1</v>
      </c>
      <c r="J219" s="582">
        <f aca="true" t="shared" si="36" ref="J219:J233">I219*H219</f>
        <v>7.95</v>
      </c>
      <c r="K219" s="577"/>
      <c r="L219" s="580">
        <v>8.059999999999999</v>
      </c>
      <c r="M219" s="583">
        <v>1</v>
      </c>
      <c r="N219" s="582">
        <f aca="true" t="shared" si="37" ref="N219:N233">M219*L219</f>
        <v>8.059999999999999</v>
      </c>
      <c r="O219" s="577"/>
      <c r="P219" s="584">
        <f aca="true" t="shared" si="38" ref="P219:P248">N219-J219</f>
        <v>0.10999999999999854</v>
      </c>
      <c r="Q219" s="585">
        <f aca="true" t="shared" si="39" ref="Q219:Q248">IF((J219)=0,"",(P219/J219))</f>
        <v>0.0138364779874212</v>
      </c>
    </row>
    <row r="220" spans="4:17" ht="12.75">
      <c r="D220" s="577" t="s">
        <v>579</v>
      </c>
      <c r="E220" s="577"/>
      <c r="F220" s="667" t="s">
        <v>564</v>
      </c>
      <c r="G220" s="579"/>
      <c r="H220" s="587">
        <v>0</v>
      </c>
      <c r="I220" s="581">
        <v>1</v>
      </c>
      <c r="J220" s="582">
        <f t="shared" si="36"/>
        <v>0</v>
      </c>
      <c r="K220" s="577"/>
      <c r="L220" s="587">
        <v>0</v>
      </c>
      <c r="M220" s="583">
        <v>1</v>
      </c>
      <c r="N220" s="582">
        <f t="shared" si="37"/>
        <v>0</v>
      </c>
      <c r="O220" s="577"/>
      <c r="P220" s="584">
        <f t="shared" si="38"/>
        <v>0</v>
      </c>
      <c r="Q220" s="585">
        <f t="shared" si="39"/>
      </c>
    </row>
    <row r="221" spans="4:17" ht="12.75">
      <c r="D221" s="644" t="s">
        <v>580</v>
      </c>
      <c r="E221" s="577"/>
      <c r="F221" s="667" t="s">
        <v>564</v>
      </c>
      <c r="G221" s="579"/>
      <c r="H221" s="587">
        <v>0</v>
      </c>
      <c r="I221" s="581">
        <v>1</v>
      </c>
      <c r="J221" s="582">
        <f t="shared" si="36"/>
        <v>0</v>
      </c>
      <c r="K221" s="577"/>
      <c r="L221" s="580">
        <v>0.2</v>
      </c>
      <c r="M221" s="583">
        <v>1</v>
      </c>
      <c r="N221" s="582">
        <f t="shared" si="37"/>
        <v>0.2</v>
      </c>
      <c r="O221" s="577"/>
      <c r="P221" s="584">
        <f t="shared" si="38"/>
        <v>0.2</v>
      </c>
      <c r="Q221" s="585">
        <f t="shared" si="39"/>
      </c>
    </row>
    <row r="222" spans="4:17" ht="12.75">
      <c r="D222" s="577" t="s">
        <v>581</v>
      </c>
      <c r="E222" s="577"/>
      <c r="F222" s="667" t="s">
        <v>564</v>
      </c>
      <c r="G222" s="579"/>
      <c r="H222" s="587">
        <v>0</v>
      </c>
      <c r="I222" s="581">
        <v>1</v>
      </c>
      <c r="J222" s="582">
        <f t="shared" si="36"/>
        <v>0</v>
      </c>
      <c r="K222" s="577"/>
      <c r="L222" s="587">
        <v>0</v>
      </c>
      <c r="M222" s="583">
        <v>1</v>
      </c>
      <c r="N222" s="582">
        <f t="shared" si="37"/>
        <v>0</v>
      </c>
      <c r="O222" s="577"/>
      <c r="P222" s="584">
        <f t="shared" si="38"/>
        <v>0</v>
      </c>
      <c r="Q222" s="585">
        <f t="shared" si="39"/>
      </c>
    </row>
    <row r="223" spans="4:17" ht="12.75">
      <c r="D223" s="577" t="s">
        <v>582</v>
      </c>
      <c r="E223" s="577"/>
      <c r="F223" s="667" t="s">
        <v>566</v>
      </c>
      <c r="G223" s="579"/>
      <c r="H223" s="587">
        <v>0.0161</v>
      </c>
      <c r="I223" s="581">
        <f>H214</f>
        <v>150</v>
      </c>
      <c r="J223" s="582">
        <f t="shared" si="36"/>
        <v>2.415</v>
      </c>
      <c r="K223" s="577"/>
      <c r="L223" s="587">
        <v>0.0156</v>
      </c>
      <c r="M223" s="583">
        <f>H214</f>
        <v>150</v>
      </c>
      <c r="N223" s="582">
        <f t="shared" si="37"/>
        <v>2.34</v>
      </c>
      <c r="O223" s="577"/>
      <c r="P223" s="584">
        <f t="shared" si="38"/>
        <v>-0.07500000000000018</v>
      </c>
      <c r="Q223" s="585">
        <f t="shared" si="39"/>
        <v>-0.031055900621118085</v>
      </c>
    </row>
    <row r="224" spans="4:17" ht="12.75">
      <c r="D224" s="577" t="s">
        <v>583</v>
      </c>
      <c r="E224" s="577"/>
      <c r="F224" s="667" t="s">
        <v>566</v>
      </c>
      <c r="G224" s="579"/>
      <c r="H224" s="587">
        <v>0.0007</v>
      </c>
      <c r="I224" s="581">
        <f aca="true" t="shared" si="40" ref="I224:I229">I223</f>
        <v>150</v>
      </c>
      <c r="J224" s="582">
        <f t="shared" si="36"/>
        <v>0.105</v>
      </c>
      <c r="K224" s="577"/>
      <c r="L224" s="587">
        <v>0.0003</v>
      </c>
      <c r="M224" s="583">
        <f aca="true" t="shared" si="41" ref="M224:M230">M223</f>
        <v>150</v>
      </c>
      <c r="N224" s="582">
        <f t="shared" si="37"/>
        <v>0.045</v>
      </c>
      <c r="O224" s="577"/>
      <c r="P224" s="584">
        <f t="shared" si="38"/>
        <v>-0.06</v>
      </c>
      <c r="Q224" s="585">
        <f t="shared" si="39"/>
        <v>-0.5714285714285714</v>
      </c>
    </row>
    <row r="225" spans="4:17" ht="12.75">
      <c r="D225" s="577" t="s">
        <v>584</v>
      </c>
      <c r="E225" s="577"/>
      <c r="F225" s="667" t="s">
        <v>566</v>
      </c>
      <c r="G225" s="579"/>
      <c r="H225" s="587">
        <v>0</v>
      </c>
      <c r="I225" s="581">
        <f t="shared" si="40"/>
        <v>150</v>
      </c>
      <c r="J225" s="582">
        <f t="shared" si="36"/>
        <v>0</v>
      </c>
      <c r="K225" s="577"/>
      <c r="L225" s="587">
        <v>0</v>
      </c>
      <c r="M225" s="583">
        <f t="shared" si="41"/>
        <v>150</v>
      </c>
      <c r="N225" s="582">
        <f t="shared" si="37"/>
        <v>0</v>
      </c>
      <c r="O225" s="577"/>
      <c r="P225" s="584">
        <f t="shared" si="38"/>
        <v>0</v>
      </c>
      <c r="Q225" s="585">
        <f t="shared" si="39"/>
      </c>
    </row>
    <row r="226" spans="4:17" ht="12.75">
      <c r="D226" s="577" t="s">
        <v>585</v>
      </c>
      <c r="E226" s="577"/>
      <c r="F226" s="667" t="s">
        <v>566</v>
      </c>
      <c r="G226" s="579"/>
      <c r="H226" s="587">
        <v>-0.0005</v>
      </c>
      <c r="I226" s="581">
        <f t="shared" si="40"/>
        <v>150</v>
      </c>
      <c r="J226" s="582">
        <f t="shared" si="36"/>
        <v>-0.075</v>
      </c>
      <c r="K226" s="577"/>
      <c r="L226" s="587">
        <v>0</v>
      </c>
      <c r="M226" s="583">
        <f t="shared" si="41"/>
        <v>150</v>
      </c>
      <c r="N226" s="582">
        <f t="shared" si="37"/>
        <v>0</v>
      </c>
      <c r="O226" s="577"/>
      <c r="P226" s="584">
        <f t="shared" si="38"/>
        <v>0.075</v>
      </c>
      <c r="Q226" s="585">
        <f t="shared" si="39"/>
        <v>-1</v>
      </c>
    </row>
    <row r="227" spans="4:17" ht="12.75">
      <c r="D227" s="577" t="s">
        <v>586</v>
      </c>
      <c r="E227" s="577"/>
      <c r="F227" s="667" t="s">
        <v>566</v>
      </c>
      <c r="G227" s="579"/>
      <c r="H227" s="587">
        <v>0</v>
      </c>
      <c r="I227" s="581">
        <f t="shared" si="40"/>
        <v>150</v>
      </c>
      <c r="J227" s="582">
        <f t="shared" si="36"/>
        <v>0</v>
      </c>
      <c r="K227" s="577"/>
      <c r="L227" s="587">
        <v>0</v>
      </c>
      <c r="M227" s="583">
        <f t="shared" si="41"/>
        <v>150</v>
      </c>
      <c r="N227" s="582">
        <f t="shared" si="37"/>
        <v>0</v>
      </c>
      <c r="O227" s="577"/>
      <c r="P227" s="584">
        <f t="shared" si="38"/>
        <v>0</v>
      </c>
      <c r="Q227" s="585">
        <f t="shared" si="39"/>
      </c>
    </row>
    <row r="228" spans="4:17" ht="12.75">
      <c r="D228" s="577" t="s">
        <v>587</v>
      </c>
      <c r="E228" s="577"/>
      <c r="F228" s="667" t="s">
        <v>566</v>
      </c>
      <c r="G228" s="579"/>
      <c r="H228" s="587">
        <v>0</v>
      </c>
      <c r="I228" s="581">
        <f t="shared" si="40"/>
        <v>150</v>
      </c>
      <c r="J228" s="582">
        <f t="shared" si="36"/>
        <v>0</v>
      </c>
      <c r="K228" s="577"/>
      <c r="L228" s="587">
        <v>0</v>
      </c>
      <c r="M228" s="583">
        <f t="shared" si="41"/>
        <v>150</v>
      </c>
      <c r="N228" s="582">
        <f t="shared" si="37"/>
        <v>0</v>
      </c>
      <c r="O228" s="577"/>
      <c r="P228" s="584">
        <f t="shared" si="38"/>
        <v>0</v>
      </c>
      <c r="Q228" s="585">
        <f t="shared" si="39"/>
      </c>
    </row>
    <row r="229" spans="1:17" ht="38.25">
      <c r="A229" s="601"/>
      <c r="D229" s="589" t="s">
        <v>617</v>
      </c>
      <c r="E229" s="577"/>
      <c r="F229" s="667" t="s">
        <v>566</v>
      </c>
      <c r="G229" s="579"/>
      <c r="H229" s="587">
        <v>-0.0009</v>
      </c>
      <c r="I229" s="581">
        <f t="shared" si="40"/>
        <v>150</v>
      </c>
      <c r="J229" s="582">
        <f t="shared" si="36"/>
        <v>-0.135</v>
      </c>
      <c r="K229" s="577"/>
      <c r="L229" s="674">
        <f>H229</f>
        <v>-0.0009</v>
      </c>
      <c r="M229" s="583">
        <f t="shared" si="41"/>
        <v>150</v>
      </c>
      <c r="N229" s="582">
        <f t="shared" si="37"/>
        <v>-0.135</v>
      </c>
      <c r="O229" s="577"/>
      <c r="P229" s="584">
        <f t="shared" si="38"/>
        <v>0</v>
      </c>
      <c r="Q229" s="585">
        <f t="shared" si="39"/>
        <v>0</v>
      </c>
    </row>
    <row r="230" spans="1:17" ht="38.25">
      <c r="A230" s="601"/>
      <c r="D230" s="589" t="s">
        <v>618</v>
      </c>
      <c r="E230" s="577"/>
      <c r="F230" s="667" t="s">
        <v>566</v>
      </c>
      <c r="G230" s="579"/>
      <c r="H230" s="587"/>
      <c r="I230" s="591"/>
      <c r="J230" s="582">
        <f t="shared" si="36"/>
        <v>0</v>
      </c>
      <c r="K230" s="577"/>
      <c r="L230" s="587">
        <v>-0.0014</v>
      </c>
      <c r="M230" s="583">
        <f t="shared" si="41"/>
        <v>150</v>
      </c>
      <c r="N230" s="582">
        <f t="shared" si="37"/>
        <v>-0.21</v>
      </c>
      <c r="O230" s="577"/>
      <c r="P230" s="584">
        <f t="shared" si="38"/>
        <v>-0.21</v>
      </c>
      <c r="Q230" s="585">
        <f t="shared" si="39"/>
      </c>
    </row>
    <row r="231" spans="4:17" ht="12.75">
      <c r="D231" s="590"/>
      <c r="E231" s="577"/>
      <c r="F231" s="667"/>
      <c r="G231" s="579"/>
      <c r="H231" s="587"/>
      <c r="I231" s="591"/>
      <c r="J231" s="582">
        <f t="shared" si="36"/>
        <v>0</v>
      </c>
      <c r="K231" s="577"/>
      <c r="L231" s="587"/>
      <c r="M231" s="592"/>
      <c r="N231" s="582">
        <f t="shared" si="37"/>
        <v>0</v>
      </c>
      <c r="O231" s="577"/>
      <c r="P231" s="584">
        <f t="shared" si="38"/>
        <v>0</v>
      </c>
      <c r="Q231" s="585">
        <f t="shared" si="39"/>
      </c>
    </row>
    <row r="232" spans="4:17" ht="12.75">
      <c r="D232" s="590"/>
      <c r="E232" s="577"/>
      <c r="F232" s="667"/>
      <c r="G232" s="579"/>
      <c r="H232" s="587"/>
      <c r="I232" s="591"/>
      <c r="J232" s="582">
        <f t="shared" si="36"/>
        <v>0</v>
      </c>
      <c r="K232" s="577"/>
      <c r="L232" s="587"/>
      <c r="M232" s="592"/>
      <c r="N232" s="582">
        <f t="shared" si="37"/>
        <v>0</v>
      </c>
      <c r="O232" s="577"/>
      <c r="P232" s="584">
        <f t="shared" si="38"/>
        <v>0</v>
      </c>
      <c r="Q232" s="585">
        <f t="shared" si="39"/>
      </c>
    </row>
    <row r="233" spans="4:17" ht="13.5" thickBot="1">
      <c r="D233" s="590"/>
      <c r="E233" s="577"/>
      <c r="F233" s="667"/>
      <c r="G233" s="579"/>
      <c r="H233" s="587"/>
      <c r="I233" s="591"/>
      <c r="J233" s="582">
        <f t="shared" si="36"/>
        <v>0</v>
      </c>
      <c r="K233" s="577"/>
      <c r="L233" s="587"/>
      <c r="M233" s="592"/>
      <c r="N233" s="582">
        <f t="shared" si="37"/>
        <v>0</v>
      </c>
      <c r="O233" s="577"/>
      <c r="P233" s="584">
        <f t="shared" si="38"/>
        <v>0</v>
      </c>
      <c r="Q233" s="585">
        <f t="shared" si="39"/>
      </c>
    </row>
    <row r="234" spans="4:17" ht="13.5" thickBot="1">
      <c r="D234" s="400" t="s">
        <v>589</v>
      </c>
      <c r="G234" s="551"/>
      <c r="H234" s="593"/>
      <c r="I234" s="594"/>
      <c r="J234" s="595">
        <f>SUM(J219:J233)</f>
        <v>10.260000000000002</v>
      </c>
      <c r="L234" s="593"/>
      <c r="M234" s="596"/>
      <c r="N234" s="595">
        <f>SUM(N219:N233)</f>
        <v>10.299999999999997</v>
      </c>
      <c r="P234" s="597">
        <f t="shared" si="38"/>
        <v>0.039999999999995595</v>
      </c>
      <c r="Q234" s="598">
        <f t="shared" si="39"/>
        <v>0.003898635477582416</v>
      </c>
    </row>
    <row r="235" spans="4:17" ht="12.75">
      <c r="D235" s="599" t="s">
        <v>590</v>
      </c>
      <c r="E235" s="599"/>
      <c r="F235" s="670" t="s">
        <v>566</v>
      </c>
      <c r="G235" s="601"/>
      <c r="H235" s="602">
        <v>0.0063</v>
      </c>
      <c r="I235" s="639">
        <f>H214*(1+H250)</f>
        <v>158.475</v>
      </c>
      <c r="J235" s="604">
        <f>I235*H235</f>
        <v>0.9983925</v>
      </c>
      <c r="K235" s="599"/>
      <c r="L235" s="602">
        <v>0.0064</v>
      </c>
      <c r="M235" s="640">
        <f>H214*(1+L250)</f>
        <v>155.17499999999998</v>
      </c>
      <c r="N235" s="604">
        <f>M235*L235</f>
        <v>0.9931199999999999</v>
      </c>
      <c r="O235" s="599"/>
      <c r="P235" s="606">
        <f t="shared" si="38"/>
        <v>-0.005272500000000124</v>
      </c>
      <c r="Q235" s="607">
        <f t="shared" si="39"/>
        <v>-0.005280989190123248</v>
      </c>
    </row>
    <row r="236" spans="4:17" ht="26.25" thickBot="1">
      <c r="D236" s="608" t="s">
        <v>591</v>
      </c>
      <c r="E236" s="599"/>
      <c r="F236" s="670" t="s">
        <v>566</v>
      </c>
      <c r="G236" s="601"/>
      <c r="H236" s="602">
        <v>0.0048</v>
      </c>
      <c r="I236" s="639">
        <f>I235</f>
        <v>158.475</v>
      </c>
      <c r="J236" s="604">
        <f>I236*H236</f>
        <v>0.7606799999999999</v>
      </c>
      <c r="K236" s="599"/>
      <c r="L236" s="602">
        <v>0.0031</v>
      </c>
      <c r="M236" s="640">
        <f>M235</f>
        <v>155.17499999999998</v>
      </c>
      <c r="N236" s="604">
        <f>M236*L236</f>
        <v>0.48104249999999993</v>
      </c>
      <c r="O236" s="599"/>
      <c r="P236" s="606">
        <f t="shared" si="38"/>
        <v>-0.2796375</v>
      </c>
      <c r="Q236" s="607">
        <f t="shared" si="39"/>
        <v>-0.36761516011989276</v>
      </c>
    </row>
    <row r="237" spans="4:17" ht="26.25" thickBot="1">
      <c r="D237" s="609" t="s">
        <v>592</v>
      </c>
      <c r="E237" s="577"/>
      <c r="F237" s="577"/>
      <c r="G237" s="579"/>
      <c r="H237" s="610"/>
      <c r="I237" s="611"/>
      <c r="J237" s="612">
        <f>SUM(J234:J236)</f>
        <v>12.019072500000002</v>
      </c>
      <c r="K237" s="613"/>
      <c r="L237" s="614"/>
      <c r="M237" s="615"/>
      <c r="N237" s="612">
        <f>SUM(N234:N236)</f>
        <v>11.774162499999996</v>
      </c>
      <c r="O237" s="613"/>
      <c r="P237" s="616">
        <f t="shared" si="38"/>
        <v>-0.24491000000000618</v>
      </c>
      <c r="Q237" s="617">
        <f t="shared" si="39"/>
        <v>-0.020376780321443785</v>
      </c>
    </row>
    <row r="238" spans="4:17" ht="25.5">
      <c r="D238" s="589" t="s">
        <v>593</v>
      </c>
      <c r="E238" s="577"/>
      <c r="F238" s="667" t="s">
        <v>566</v>
      </c>
      <c r="G238" s="579"/>
      <c r="H238" s="587">
        <v>0.0052</v>
      </c>
      <c r="I238" s="581">
        <f>I236</f>
        <v>158.475</v>
      </c>
      <c r="J238" s="582">
        <f aca="true" t="shared" si="42" ref="J238:J245">I238*H238</f>
        <v>0.82407</v>
      </c>
      <c r="K238" s="577"/>
      <c r="L238" s="587">
        <f aca="true" t="shared" si="43" ref="L238:L244">H238</f>
        <v>0.0052</v>
      </c>
      <c r="M238" s="583">
        <f>M236</f>
        <v>155.17499999999998</v>
      </c>
      <c r="N238" s="582">
        <f aca="true" t="shared" si="44" ref="N238:N245">M238*L238</f>
        <v>0.8069099999999999</v>
      </c>
      <c r="O238" s="577"/>
      <c r="P238" s="584">
        <f t="shared" si="38"/>
        <v>-0.017160000000000064</v>
      </c>
      <c r="Q238" s="585">
        <f t="shared" si="39"/>
        <v>-0.02082347373402753</v>
      </c>
    </row>
    <row r="239" spans="4:17" ht="25.5">
      <c r="D239" s="589" t="s">
        <v>594</v>
      </c>
      <c r="E239" s="577"/>
      <c r="F239" s="667" t="s">
        <v>566</v>
      </c>
      <c r="G239" s="579"/>
      <c r="H239" s="587">
        <v>0.0011</v>
      </c>
      <c r="I239" s="581">
        <f>I236</f>
        <v>158.475</v>
      </c>
      <c r="J239" s="582">
        <f t="shared" si="42"/>
        <v>0.1743225</v>
      </c>
      <c r="K239" s="577"/>
      <c r="L239" s="587">
        <f t="shared" si="43"/>
        <v>0.0011</v>
      </c>
      <c r="M239" s="583">
        <f>M236</f>
        <v>155.17499999999998</v>
      </c>
      <c r="N239" s="582">
        <f t="shared" si="44"/>
        <v>0.1706925</v>
      </c>
      <c r="O239" s="577"/>
      <c r="P239" s="584">
        <f t="shared" si="38"/>
        <v>-0.0036299999999999943</v>
      </c>
      <c r="Q239" s="585">
        <f t="shared" si="39"/>
        <v>-0.020823473734027417</v>
      </c>
    </row>
    <row r="240" spans="4:17" ht="12.75">
      <c r="D240" s="589" t="s">
        <v>595</v>
      </c>
      <c r="E240" s="577"/>
      <c r="F240" s="667" t="s">
        <v>566</v>
      </c>
      <c r="G240" s="579"/>
      <c r="H240" s="587">
        <v>0</v>
      </c>
      <c r="I240" s="581">
        <f>I236</f>
        <v>158.475</v>
      </c>
      <c r="J240" s="582">
        <f t="shared" si="42"/>
        <v>0</v>
      </c>
      <c r="K240" s="577"/>
      <c r="L240" s="587">
        <f t="shared" si="43"/>
        <v>0</v>
      </c>
      <c r="M240" s="583">
        <f>M236</f>
        <v>155.17499999999998</v>
      </c>
      <c r="N240" s="582">
        <f t="shared" si="44"/>
        <v>0</v>
      </c>
      <c r="O240" s="577"/>
      <c r="P240" s="584">
        <f t="shared" si="38"/>
        <v>0</v>
      </c>
      <c r="Q240" s="585">
        <f t="shared" si="39"/>
      </c>
    </row>
    <row r="241" spans="4:17" ht="12.75">
      <c r="D241" s="577" t="s">
        <v>596</v>
      </c>
      <c r="E241" s="577"/>
      <c r="F241" s="667" t="s">
        <v>564</v>
      </c>
      <c r="G241" s="579"/>
      <c r="H241" s="587">
        <v>0.25</v>
      </c>
      <c r="I241" s="581">
        <v>1</v>
      </c>
      <c r="J241" s="582">
        <f t="shared" si="42"/>
        <v>0.25</v>
      </c>
      <c r="K241" s="577"/>
      <c r="L241" s="587">
        <f t="shared" si="43"/>
        <v>0.25</v>
      </c>
      <c r="M241" s="583">
        <v>1</v>
      </c>
      <c r="N241" s="582">
        <f t="shared" si="44"/>
        <v>0.25</v>
      </c>
      <c r="O241" s="577"/>
      <c r="P241" s="584">
        <f t="shared" si="38"/>
        <v>0</v>
      </c>
      <c r="Q241" s="585">
        <f t="shared" si="39"/>
        <v>0</v>
      </c>
    </row>
    <row r="242" spans="4:17" ht="12.75">
      <c r="D242" s="577" t="s">
        <v>597</v>
      </c>
      <c r="E242" s="577"/>
      <c r="F242" s="667" t="s">
        <v>566</v>
      </c>
      <c r="G242" s="579"/>
      <c r="H242" s="587">
        <v>0.007</v>
      </c>
      <c r="I242" s="581">
        <f>H214</f>
        <v>150</v>
      </c>
      <c r="J242" s="582">
        <f t="shared" si="42"/>
        <v>1.05</v>
      </c>
      <c r="K242" s="577"/>
      <c r="L242" s="587">
        <f t="shared" si="43"/>
        <v>0.007</v>
      </c>
      <c r="M242" s="583">
        <f>H214</f>
        <v>150</v>
      </c>
      <c r="N242" s="582">
        <f t="shared" si="44"/>
        <v>1.05</v>
      </c>
      <c r="O242" s="577"/>
      <c r="P242" s="584">
        <f t="shared" si="38"/>
        <v>0</v>
      </c>
      <c r="Q242" s="585">
        <f t="shared" si="39"/>
        <v>0</v>
      </c>
    </row>
    <row r="243" spans="4:17" ht="12.75">
      <c r="D243" s="577" t="s">
        <v>598</v>
      </c>
      <c r="E243" s="577"/>
      <c r="F243" s="667" t="s">
        <v>566</v>
      </c>
      <c r="G243" s="579"/>
      <c r="H243" s="587">
        <v>0.075</v>
      </c>
      <c r="I243" s="581">
        <f>IF(I235&lt;H251,I235,H251)</f>
        <v>158.475</v>
      </c>
      <c r="J243" s="582">
        <f t="shared" si="42"/>
        <v>11.885625</v>
      </c>
      <c r="K243" s="577"/>
      <c r="L243" s="587">
        <f t="shared" si="43"/>
        <v>0.075</v>
      </c>
      <c r="M243" s="583">
        <f>IF(M235&lt;L251,M235,L251)</f>
        <v>155.17499999999998</v>
      </c>
      <c r="N243" s="582">
        <f t="shared" si="44"/>
        <v>11.638124999999999</v>
      </c>
      <c r="O243" s="577"/>
      <c r="P243" s="584">
        <f t="shared" si="38"/>
        <v>-0.2475000000000005</v>
      </c>
      <c r="Q243" s="585">
        <f t="shared" si="39"/>
        <v>-0.020823473734027494</v>
      </c>
    </row>
    <row r="244" spans="4:17" ht="12.75">
      <c r="D244" s="577" t="s">
        <v>599</v>
      </c>
      <c r="E244" s="577"/>
      <c r="F244" s="667" t="s">
        <v>566</v>
      </c>
      <c r="G244" s="579"/>
      <c r="H244" s="587">
        <v>0.088</v>
      </c>
      <c r="I244" s="621">
        <f>IF(I235&lt;H251,0,I238-I243)</f>
        <v>0</v>
      </c>
      <c r="J244" s="582">
        <f t="shared" si="42"/>
        <v>0</v>
      </c>
      <c r="K244" s="577"/>
      <c r="L244" s="587">
        <f t="shared" si="43"/>
        <v>0.088</v>
      </c>
      <c r="M244" s="642">
        <f>IF(M235&lt;L251,0,M235-M243)</f>
        <v>0</v>
      </c>
      <c r="N244" s="582">
        <f t="shared" si="44"/>
        <v>0</v>
      </c>
      <c r="O244" s="577"/>
      <c r="P244" s="584">
        <f t="shared" si="38"/>
        <v>0</v>
      </c>
      <c r="Q244" s="585">
        <f t="shared" si="39"/>
      </c>
    </row>
    <row r="245" spans="4:17" ht="13.5" thickBot="1">
      <c r="D245" s="590"/>
      <c r="E245" s="577"/>
      <c r="F245" s="667"/>
      <c r="G245" s="579"/>
      <c r="H245" s="587"/>
      <c r="I245" s="591"/>
      <c r="J245" s="582">
        <f t="shared" si="42"/>
        <v>0</v>
      </c>
      <c r="K245" s="577"/>
      <c r="L245" s="587"/>
      <c r="M245" s="592"/>
      <c r="N245" s="582">
        <f t="shared" si="44"/>
        <v>0</v>
      </c>
      <c r="O245" s="577"/>
      <c r="P245" s="584">
        <f t="shared" si="38"/>
        <v>0</v>
      </c>
      <c r="Q245" s="585">
        <f t="shared" si="39"/>
      </c>
    </row>
    <row r="246" spans="4:17" ht="13.5" thickBot="1">
      <c r="D246" s="623" t="s">
        <v>600</v>
      </c>
      <c r="E246" s="577"/>
      <c r="F246" s="577"/>
      <c r="G246" s="577"/>
      <c r="H246" s="624"/>
      <c r="I246" s="625"/>
      <c r="J246" s="612">
        <f>SUM(J237:J245)</f>
        <v>26.203090000000003</v>
      </c>
      <c r="K246" s="613"/>
      <c r="L246" s="626"/>
      <c r="M246" s="627"/>
      <c r="N246" s="612">
        <f>SUM(N237:N245)</f>
        <v>25.689889999999995</v>
      </c>
      <c r="O246" s="613"/>
      <c r="P246" s="616">
        <f t="shared" si="38"/>
        <v>-0.5132000000000083</v>
      </c>
      <c r="Q246" s="617">
        <f t="shared" si="39"/>
        <v>-0.01958547636939034</v>
      </c>
    </row>
    <row r="247" spans="4:17" ht="13.5" thickBot="1">
      <c r="D247" s="579" t="s">
        <v>601</v>
      </c>
      <c r="E247" s="577"/>
      <c r="F247" s="577"/>
      <c r="G247" s="577"/>
      <c r="H247" s="628">
        <v>0.13</v>
      </c>
      <c r="I247" s="629"/>
      <c r="J247" s="630">
        <f>J246*H247</f>
        <v>3.4064017000000004</v>
      </c>
      <c r="K247" s="577"/>
      <c r="L247" s="628">
        <v>0.13</v>
      </c>
      <c r="M247" s="631"/>
      <c r="N247" s="630">
        <f>N246*L247</f>
        <v>3.3396856999999995</v>
      </c>
      <c r="O247" s="577"/>
      <c r="P247" s="584">
        <f t="shared" si="38"/>
        <v>-0.06671600000000089</v>
      </c>
      <c r="Q247" s="585">
        <f t="shared" si="39"/>
        <v>-0.01958547636939028</v>
      </c>
    </row>
    <row r="248" spans="4:17" ht="26.25" thickBot="1">
      <c r="D248" s="609" t="s">
        <v>602</v>
      </c>
      <c r="E248" s="577"/>
      <c r="F248" s="577"/>
      <c r="G248" s="577"/>
      <c r="H248" s="610"/>
      <c r="I248" s="611"/>
      <c r="J248" s="612">
        <f>ROUND(SUM(J246:J247),2)</f>
        <v>29.61</v>
      </c>
      <c r="K248" s="613"/>
      <c r="L248" s="614"/>
      <c r="M248" s="615"/>
      <c r="N248" s="612">
        <f>ROUND(SUM(N246:N247),2)</f>
        <v>29.03</v>
      </c>
      <c r="O248" s="613"/>
      <c r="P248" s="616">
        <f t="shared" si="38"/>
        <v>-0.5799999999999983</v>
      </c>
      <c r="Q248" s="617">
        <f t="shared" si="39"/>
        <v>-0.01958797703478549</v>
      </c>
    </row>
    <row r="249" ht="12.75"/>
    <row r="250" spans="4:14" ht="12.75">
      <c r="D250" s="400" t="s">
        <v>605</v>
      </c>
      <c r="H250" s="634">
        <v>0.056499999999999995</v>
      </c>
      <c r="J250" s="635"/>
      <c r="L250" s="634">
        <v>0.034499999999999975</v>
      </c>
      <c r="N250" s="636"/>
    </row>
    <row r="251" spans="4:12" ht="12.75">
      <c r="D251" s="637" t="s">
        <v>606</v>
      </c>
      <c r="H251" s="638">
        <v>750</v>
      </c>
      <c r="L251" s="638">
        <f>H251</f>
        <v>750</v>
      </c>
    </row>
    <row r="252" ht="12.75">
      <c r="B252" s="400" t="s">
        <v>265</v>
      </c>
    </row>
    <row r="253" spans="2:17" ht="12.75">
      <c r="B253" s="1127"/>
      <c r="C253" s="1128"/>
      <c r="D253" s="1128"/>
      <c r="E253" s="1128"/>
      <c r="F253" s="1128"/>
      <c r="G253" s="1128"/>
      <c r="H253" s="1128"/>
      <c r="I253" s="1128"/>
      <c r="J253" s="1128"/>
      <c r="K253" s="1128"/>
      <c r="L253" s="1128"/>
      <c r="M253" s="1128"/>
      <c r="N253" s="1128"/>
      <c r="O253" s="1128"/>
      <c r="P253" s="1128"/>
      <c r="Q253" s="1129"/>
    </row>
    <row r="254" spans="2:17" ht="12.75">
      <c r="B254" s="1130"/>
      <c r="C254" s="1131"/>
      <c r="D254" s="1131"/>
      <c r="E254" s="1131"/>
      <c r="F254" s="1131"/>
      <c r="G254" s="1131"/>
      <c r="H254" s="1131"/>
      <c r="I254" s="1131"/>
      <c r="J254" s="1131"/>
      <c r="K254" s="1131"/>
      <c r="L254" s="1131"/>
      <c r="M254" s="1131"/>
      <c r="N254" s="1131"/>
      <c r="O254" s="1131"/>
      <c r="P254" s="1131"/>
      <c r="Q254" s="1132"/>
    </row>
    <row r="255" spans="2:17" ht="12.75">
      <c r="B255" s="1130"/>
      <c r="C255" s="1131"/>
      <c r="D255" s="1131"/>
      <c r="E255" s="1131"/>
      <c r="F255" s="1131"/>
      <c r="G255" s="1131"/>
      <c r="H255" s="1131"/>
      <c r="I255" s="1131"/>
      <c r="J255" s="1131"/>
      <c r="K255" s="1131"/>
      <c r="L255" s="1131"/>
      <c r="M255" s="1131"/>
      <c r="N255" s="1131"/>
      <c r="O255" s="1131"/>
      <c r="P255" s="1131"/>
      <c r="Q255" s="1132"/>
    </row>
    <row r="256" spans="2:17" ht="12.75">
      <c r="B256" s="1130"/>
      <c r="C256" s="1131"/>
      <c r="D256" s="1131"/>
      <c r="E256" s="1131"/>
      <c r="F256" s="1131"/>
      <c r="G256" s="1131"/>
      <c r="H256" s="1131"/>
      <c r="I256" s="1131"/>
      <c r="J256" s="1131"/>
      <c r="K256" s="1131"/>
      <c r="L256" s="1131"/>
      <c r="M256" s="1131"/>
      <c r="N256" s="1131"/>
      <c r="O256" s="1131"/>
      <c r="P256" s="1131"/>
      <c r="Q256" s="1132"/>
    </row>
    <row r="257" spans="2:17" ht="12.75">
      <c r="B257" s="1133"/>
      <c r="C257" s="1134"/>
      <c r="D257" s="1134"/>
      <c r="E257" s="1134"/>
      <c r="F257" s="1134"/>
      <c r="G257" s="1134"/>
      <c r="H257" s="1134"/>
      <c r="I257" s="1134"/>
      <c r="J257" s="1134"/>
      <c r="K257" s="1134"/>
      <c r="L257" s="1134"/>
      <c r="M257" s="1134"/>
      <c r="N257" s="1134"/>
      <c r="O257" s="1134"/>
      <c r="P257" s="1134"/>
      <c r="Q257" s="1135"/>
    </row>
    <row r="258" ht="12.75"/>
    <row r="259" ht="12.75"/>
    <row r="260" ht="12.75"/>
    <row r="261" ht="12.75"/>
    <row r="262" spans="2:17" ht="15.75" hidden="1" outlineLevel="1">
      <c r="B262" s="551" t="s">
        <v>564</v>
      </c>
      <c r="D262" s="563" t="s">
        <v>565</v>
      </c>
      <c r="F262" s="1123" t="s">
        <v>613</v>
      </c>
      <c r="G262" s="1123"/>
      <c r="H262" s="1123"/>
      <c r="I262" s="1123"/>
      <c r="J262" s="1123"/>
      <c r="K262" s="1123"/>
      <c r="L262" s="1123"/>
      <c r="M262" s="1123"/>
      <c r="N262" s="1123"/>
      <c r="O262" s="1123"/>
      <c r="P262" s="1123"/>
      <c r="Q262" s="1123"/>
    </row>
    <row r="263" spans="2:17" ht="15.75" hidden="1" outlineLevel="1">
      <c r="B263" s="551"/>
      <c r="D263" s="564"/>
      <c r="F263" s="565"/>
      <c r="G263" s="565"/>
      <c r="H263" s="565"/>
      <c r="I263" s="565"/>
      <c r="J263" s="565"/>
      <c r="K263" s="565"/>
      <c r="L263" s="565"/>
      <c r="M263" s="565"/>
      <c r="N263" s="565"/>
      <c r="O263" s="565"/>
      <c r="P263" s="565"/>
      <c r="Q263" s="565"/>
    </row>
    <row r="264" spans="2:9" ht="12.75" hidden="1" outlineLevel="1">
      <c r="B264" s="551" t="s">
        <v>566</v>
      </c>
      <c r="F264" s="400" t="s">
        <v>567</v>
      </c>
      <c r="G264" s="400"/>
      <c r="H264" s="643">
        <v>180</v>
      </c>
      <c r="I264" s="569" t="s">
        <v>568</v>
      </c>
    </row>
    <row r="265" spans="2:9" ht="12.75" hidden="1" outlineLevel="1">
      <c r="B265" s="551" t="s">
        <v>569</v>
      </c>
      <c r="F265" s="400" t="s">
        <v>610</v>
      </c>
      <c r="H265" s="654">
        <v>0.5</v>
      </c>
      <c r="I265" s="569" t="s">
        <v>554</v>
      </c>
    </row>
    <row r="266" spans="6:17" ht="12.75" hidden="1" outlineLevel="1">
      <c r="F266" s="568"/>
      <c r="G266" s="568"/>
      <c r="H266" s="1124" t="s">
        <v>570</v>
      </c>
      <c r="I266" s="1125"/>
      <c r="J266" s="1126"/>
      <c r="L266" s="1124" t="s">
        <v>571</v>
      </c>
      <c r="M266" s="1125"/>
      <c r="N266" s="1126"/>
      <c r="P266" s="1124" t="s">
        <v>572</v>
      </c>
      <c r="Q266" s="1126"/>
    </row>
    <row r="267" spans="6:17" ht="12.75" hidden="1" outlineLevel="1">
      <c r="F267" s="1108" t="s">
        <v>573</v>
      </c>
      <c r="G267" s="569"/>
      <c r="H267" s="570" t="s">
        <v>574</v>
      </c>
      <c r="I267" s="570" t="s">
        <v>575</v>
      </c>
      <c r="J267" s="571" t="s">
        <v>576</v>
      </c>
      <c r="L267" s="570" t="s">
        <v>574</v>
      </c>
      <c r="M267" s="572" t="s">
        <v>575</v>
      </c>
      <c r="N267" s="571" t="s">
        <v>576</v>
      </c>
      <c r="P267" s="1110" t="s">
        <v>577</v>
      </c>
      <c r="Q267" s="1112" t="s">
        <v>578</v>
      </c>
    </row>
    <row r="268" spans="6:17" ht="12.75" hidden="1" outlineLevel="1">
      <c r="F268" s="1109"/>
      <c r="G268" s="569"/>
      <c r="H268" s="573" t="s">
        <v>410</v>
      </c>
      <c r="I268" s="573"/>
      <c r="J268" s="574" t="s">
        <v>410</v>
      </c>
      <c r="L268" s="573" t="s">
        <v>410</v>
      </c>
      <c r="M268" s="574"/>
      <c r="N268" s="574" t="s">
        <v>410</v>
      </c>
      <c r="P268" s="1111"/>
      <c r="Q268" s="1113"/>
    </row>
    <row r="269" spans="4:17" ht="12.75" hidden="1" outlineLevel="1">
      <c r="D269" s="577" t="s">
        <v>555</v>
      </c>
      <c r="E269" s="577"/>
      <c r="F269" s="667" t="s">
        <v>564</v>
      </c>
      <c r="G269" s="579"/>
      <c r="H269" s="580">
        <v>0</v>
      </c>
      <c r="I269" s="581">
        <v>1</v>
      </c>
      <c r="J269" s="582">
        <f aca="true" t="shared" si="45" ref="J269:J283">I269*H269</f>
        <v>0</v>
      </c>
      <c r="K269" s="577"/>
      <c r="L269" s="580">
        <v>3.51</v>
      </c>
      <c r="M269" s="583">
        <v>1</v>
      </c>
      <c r="N269" s="582">
        <f aca="true" t="shared" si="46" ref="N269:N283">M269*L269</f>
        <v>3.51</v>
      </c>
      <c r="O269" s="577"/>
      <c r="P269" s="584">
        <f aca="true" t="shared" si="47" ref="P269:P298">N269-J269</f>
        <v>3.51</v>
      </c>
      <c r="Q269" s="585">
        <f aca="true" t="shared" si="48" ref="Q269:Q298">IF((J269)=0,"",(P269/J269))</f>
      </c>
    </row>
    <row r="270" spans="4:17" ht="12.75" hidden="1" outlineLevel="1">
      <c r="D270" s="577" t="s">
        <v>579</v>
      </c>
      <c r="E270" s="577"/>
      <c r="F270" s="667" t="s">
        <v>564</v>
      </c>
      <c r="G270" s="579"/>
      <c r="H270" s="587">
        <v>0</v>
      </c>
      <c r="I270" s="581">
        <v>1</v>
      </c>
      <c r="J270" s="582">
        <f t="shared" si="45"/>
        <v>0</v>
      </c>
      <c r="K270" s="577"/>
      <c r="L270" s="587">
        <v>0</v>
      </c>
      <c r="M270" s="583">
        <v>1</v>
      </c>
      <c r="N270" s="582">
        <f t="shared" si="46"/>
        <v>0</v>
      </c>
      <c r="O270" s="577"/>
      <c r="P270" s="584">
        <f t="shared" si="47"/>
        <v>0</v>
      </c>
      <c r="Q270" s="585">
        <f t="shared" si="48"/>
      </c>
    </row>
    <row r="271" spans="4:17" ht="12.75" hidden="1" outlineLevel="1">
      <c r="D271" s="644" t="s">
        <v>580</v>
      </c>
      <c r="E271" s="577"/>
      <c r="F271" s="667" t="s">
        <v>564</v>
      </c>
      <c r="G271" s="579"/>
      <c r="H271" s="587">
        <v>0</v>
      </c>
      <c r="I271" s="581">
        <v>1</v>
      </c>
      <c r="J271" s="582">
        <f t="shared" si="45"/>
        <v>0</v>
      </c>
      <c r="K271" s="577"/>
      <c r="L271" s="587">
        <v>0</v>
      </c>
      <c r="M271" s="583">
        <v>1</v>
      </c>
      <c r="N271" s="582">
        <f t="shared" si="46"/>
        <v>0</v>
      </c>
      <c r="O271" s="577"/>
      <c r="P271" s="584">
        <f t="shared" si="47"/>
        <v>0</v>
      </c>
      <c r="Q271" s="585">
        <f t="shared" si="48"/>
      </c>
    </row>
    <row r="272" spans="4:17" ht="12.75" hidden="1" outlineLevel="1">
      <c r="D272" s="577" t="s">
        <v>581</v>
      </c>
      <c r="E272" s="577"/>
      <c r="F272" s="667" t="s">
        <v>564</v>
      </c>
      <c r="G272" s="579"/>
      <c r="H272" s="587">
        <v>0</v>
      </c>
      <c r="I272" s="581">
        <v>1</v>
      </c>
      <c r="J272" s="582">
        <f t="shared" si="45"/>
        <v>0</v>
      </c>
      <c r="K272" s="577"/>
      <c r="L272" s="587">
        <v>0</v>
      </c>
      <c r="M272" s="583">
        <v>1</v>
      </c>
      <c r="N272" s="582">
        <f t="shared" si="46"/>
        <v>0</v>
      </c>
      <c r="O272" s="577"/>
      <c r="P272" s="584">
        <f t="shared" si="47"/>
        <v>0</v>
      </c>
      <c r="Q272" s="585">
        <f t="shared" si="48"/>
      </c>
    </row>
    <row r="273" spans="4:17" ht="12.75" hidden="1" outlineLevel="1">
      <c r="D273" s="577" t="s">
        <v>582</v>
      </c>
      <c r="E273" s="577"/>
      <c r="F273" s="667" t="s">
        <v>569</v>
      </c>
      <c r="G273" s="579"/>
      <c r="H273" s="587">
        <v>0</v>
      </c>
      <c r="I273" s="655">
        <f>H265</f>
        <v>0.5</v>
      </c>
      <c r="J273" s="582">
        <f t="shared" si="45"/>
        <v>0</v>
      </c>
      <c r="K273" s="577"/>
      <c r="L273" s="587">
        <v>8.7473</v>
      </c>
      <c r="M273" s="656">
        <f>H265</f>
        <v>0.5</v>
      </c>
      <c r="N273" s="582">
        <f t="shared" si="46"/>
        <v>4.37365</v>
      </c>
      <c r="O273" s="577"/>
      <c r="P273" s="584">
        <f t="shared" si="47"/>
        <v>4.37365</v>
      </c>
      <c r="Q273" s="585">
        <f t="shared" si="48"/>
      </c>
    </row>
    <row r="274" spans="4:17" ht="12.75" hidden="1" outlineLevel="1">
      <c r="D274" s="577" t="s">
        <v>583</v>
      </c>
      <c r="E274" s="577"/>
      <c r="F274" s="667" t="s">
        <v>569</v>
      </c>
      <c r="G274" s="579"/>
      <c r="H274" s="587">
        <v>0</v>
      </c>
      <c r="I274" s="655">
        <f aca="true" t="shared" si="49" ref="I274:I279">I273</f>
        <v>0.5</v>
      </c>
      <c r="J274" s="582">
        <f t="shared" si="45"/>
        <v>0</v>
      </c>
      <c r="K274" s="577"/>
      <c r="L274" s="587">
        <v>0.1033</v>
      </c>
      <c r="M274" s="656">
        <f aca="true" t="shared" si="50" ref="M274:M279">M273</f>
        <v>0.5</v>
      </c>
      <c r="N274" s="582">
        <f t="shared" si="46"/>
        <v>0.05165</v>
      </c>
      <c r="O274" s="577"/>
      <c r="P274" s="584">
        <f t="shared" si="47"/>
        <v>0.05165</v>
      </c>
      <c r="Q274" s="585">
        <f t="shared" si="48"/>
      </c>
    </row>
    <row r="275" spans="4:17" ht="12.75" hidden="1" outlineLevel="1">
      <c r="D275" s="577" t="s">
        <v>584</v>
      </c>
      <c r="E275" s="577"/>
      <c r="F275" s="667" t="s">
        <v>569</v>
      </c>
      <c r="G275" s="579"/>
      <c r="H275" s="587">
        <v>0</v>
      </c>
      <c r="I275" s="655">
        <f t="shared" si="49"/>
        <v>0.5</v>
      </c>
      <c r="J275" s="582">
        <f t="shared" si="45"/>
        <v>0</v>
      </c>
      <c r="K275" s="577"/>
      <c r="L275" s="587">
        <v>0</v>
      </c>
      <c r="M275" s="656">
        <f t="shared" si="50"/>
        <v>0.5</v>
      </c>
      <c r="N275" s="582">
        <f t="shared" si="46"/>
        <v>0</v>
      </c>
      <c r="O275" s="577"/>
      <c r="P275" s="584">
        <f t="shared" si="47"/>
        <v>0</v>
      </c>
      <c r="Q275" s="585">
        <f t="shared" si="48"/>
      </c>
    </row>
    <row r="276" spans="4:17" ht="12.75" hidden="1" outlineLevel="1">
      <c r="D276" s="577" t="s">
        <v>585</v>
      </c>
      <c r="E276" s="577"/>
      <c r="F276" s="667" t="s">
        <v>569</v>
      </c>
      <c r="G276" s="579"/>
      <c r="H276" s="587">
        <v>0</v>
      </c>
      <c r="I276" s="655">
        <f t="shared" si="49"/>
        <v>0.5</v>
      </c>
      <c r="J276" s="582">
        <f t="shared" si="45"/>
        <v>0</v>
      </c>
      <c r="K276" s="577"/>
      <c r="L276" s="587">
        <v>0</v>
      </c>
      <c r="M276" s="656">
        <f t="shared" si="50"/>
        <v>0.5</v>
      </c>
      <c r="N276" s="582">
        <f t="shared" si="46"/>
        <v>0</v>
      </c>
      <c r="O276" s="577"/>
      <c r="P276" s="584">
        <f t="shared" si="47"/>
        <v>0</v>
      </c>
      <c r="Q276" s="585">
        <f t="shared" si="48"/>
      </c>
    </row>
    <row r="277" spans="4:17" ht="12.75" hidden="1" outlineLevel="1">
      <c r="D277" s="577" t="s">
        <v>586</v>
      </c>
      <c r="E277" s="577"/>
      <c r="F277" s="667" t="s">
        <v>569</v>
      </c>
      <c r="G277" s="579"/>
      <c r="H277" s="587">
        <v>0</v>
      </c>
      <c r="I277" s="655">
        <f t="shared" si="49"/>
        <v>0.5</v>
      </c>
      <c r="J277" s="582">
        <f t="shared" si="45"/>
        <v>0</v>
      </c>
      <c r="K277" s="577"/>
      <c r="L277" s="587">
        <v>0</v>
      </c>
      <c r="M277" s="656">
        <f t="shared" si="50"/>
        <v>0.5</v>
      </c>
      <c r="N277" s="582">
        <f t="shared" si="46"/>
        <v>0</v>
      </c>
      <c r="O277" s="577"/>
      <c r="P277" s="584">
        <f t="shared" si="47"/>
        <v>0</v>
      </c>
      <c r="Q277" s="585">
        <f t="shared" si="48"/>
      </c>
    </row>
    <row r="278" spans="4:17" ht="12.75" hidden="1" outlineLevel="1">
      <c r="D278" s="577" t="s">
        <v>587</v>
      </c>
      <c r="E278" s="577"/>
      <c r="F278" s="667" t="s">
        <v>569</v>
      </c>
      <c r="G278" s="579"/>
      <c r="H278" s="587">
        <v>0</v>
      </c>
      <c r="I278" s="655">
        <f t="shared" si="49"/>
        <v>0.5</v>
      </c>
      <c r="J278" s="582">
        <f t="shared" si="45"/>
        <v>0</v>
      </c>
      <c r="K278" s="577"/>
      <c r="L278" s="587">
        <v>0</v>
      </c>
      <c r="M278" s="656">
        <f t="shared" si="50"/>
        <v>0.5</v>
      </c>
      <c r="N278" s="582">
        <f t="shared" si="46"/>
        <v>0</v>
      </c>
      <c r="O278" s="577"/>
      <c r="P278" s="584">
        <f t="shared" si="47"/>
        <v>0</v>
      </c>
      <c r="Q278" s="585">
        <f t="shared" si="48"/>
      </c>
    </row>
    <row r="279" spans="1:17" ht="25.5" hidden="1" outlineLevel="1">
      <c r="A279" s="601"/>
      <c r="D279" s="589" t="s">
        <v>588</v>
      </c>
      <c r="E279" s="577"/>
      <c r="F279" s="667" t="s">
        <v>569</v>
      </c>
      <c r="G279" s="579"/>
      <c r="H279" s="587">
        <v>0</v>
      </c>
      <c r="I279" s="655">
        <f t="shared" si="49"/>
        <v>0.5</v>
      </c>
      <c r="J279" s="582">
        <f t="shared" si="45"/>
        <v>0</v>
      </c>
      <c r="K279" s="577"/>
      <c r="L279" s="587">
        <v>0</v>
      </c>
      <c r="M279" s="656">
        <f t="shared" si="50"/>
        <v>0.5</v>
      </c>
      <c r="N279" s="582">
        <f t="shared" si="46"/>
        <v>0</v>
      </c>
      <c r="O279" s="577"/>
      <c r="P279" s="584">
        <f t="shared" si="47"/>
        <v>0</v>
      </c>
      <c r="Q279" s="585">
        <f t="shared" si="48"/>
      </c>
    </row>
    <row r="280" spans="4:17" ht="12.75" hidden="1" outlineLevel="1">
      <c r="D280" s="590"/>
      <c r="E280" s="577"/>
      <c r="F280" s="667"/>
      <c r="G280" s="579"/>
      <c r="H280" s="587"/>
      <c r="I280" s="646"/>
      <c r="J280" s="582">
        <f t="shared" si="45"/>
        <v>0</v>
      </c>
      <c r="K280" s="577"/>
      <c r="L280" s="587"/>
      <c r="M280" s="647"/>
      <c r="N280" s="582">
        <f t="shared" si="46"/>
        <v>0</v>
      </c>
      <c r="O280" s="577"/>
      <c r="P280" s="584">
        <f t="shared" si="47"/>
        <v>0</v>
      </c>
      <c r="Q280" s="585">
        <f t="shared" si="48"/>
      </c>
    </row>
    <row r="281" spans="4:17" ht="12.75" hidden="1" outlineLevel="1">
      <c r="D281" s="590"/>
      <c r="E281" s="577"/>
      <c r="F281" s="667"/>
      <c r="G281" s="579"/>
      <c r="H281" s="587"/>
      <c r="I281" s="646"/>
      <c r="J281" s="582">
        <f t="shared" si="45"/>
        <v>0</v>
      </c>
      <c r="K281" s="577"/>
      <c r="L281" s="587"/>
      <c r="M281" s="647"/>
      <c r="N281" s="582">
        <f t="shared" si="46"/>
        <v>0</v>
      </c>
      <c r="O281" s="577"/>
      <c r="P281" s="584">
        <f t="shared" si="47"/>
        <v>0</v>
      </c>
      <c r="Q281" s="585">
        <f t="shared" si="48"/>
      </c>
    </row>
    <row r="282" spans="4:17" ht="12.75" hidden="1" outlineLevel="1">
      <c r="D282" s="590"/>
      <c r="E282" s="577"/>
      <c r="F282" s="667"/>
      <c r="G282" s="579"/>
      <c r="H282" s="587"/>
      <c r="I282" s="646"/>
      <c r="J282" s="582">
        <f t="shared" si="45"/>
        <v>0</v>
      </c>
      <c r="K282" s="577"/>
      <c r="L282" s="587"/>
      <c r="M282" s="647"/>
      <c r="N282" s="582">
        <f t="shared" si="46"/>
        <v>0</v>
      </c>
      <c r="O282" s="577"/>
      <c r="P282" s="584">
        <f t="shared" si="47"/>
        <v>0</v>
      </c>
      <c r="Q282" s="585">
        <f t="shared" si="48"/>
      </c>
    </row>
    <row r="283" spans="4:17" ht="12.75" hidden="1" outlineLevel="1">
      <c r="D283" s="590"/>
      <c r="E283" s="577"/>
      <c r="F283" s="667"/>
      <c r="G283" s="579"/>
      <c r="H283" s="587"/>
      <c r="I283" s="646"/>
      <c r="J283" s="582">
        <f t="shared" si="45"/>
        <v>0</v>
      </c>
      <c r="K283" s="577"/>
      <c r="L283" s="587"/>
      <c r="M283" s="647"/>
      <c r="N283" s="582">
        <f t="shared" si="46"/>
        <v>0</v>
      </c>
      <c r="O283" s="577"/>
      <c r="P283" s="584">
        <f t="shared" si="47"/>
        <v>0</v>
      </c>
      <c r="Q283" s="585">
        <f t="shared" si="48"/>
      </c>
    </row>
    <row r="284" spans="4:17" ht="13.5" hidden="1" outlineLevel="1" thickBot="1">
      <c r="D284" s="400" t="s">
        <v>589</v>
      </c>
      <c r="G284" s="551"/>
      <c r="H284" s="593"/>
      <c r="I284" s="648"/>
      <c r="J284" s="595">
        <f>SUM(J269:J283)</f>
        <v>0</v>
      </c>
      <c r="L284" s="593"/>
      <c r="M284" s="649"/>
      <c r="N284" s="595">
        <f>SUM(N269:N283)</f>
        <v>7.9353</v>
      </c>
      <c r="P284" s="597">
        <f t="shared" si="47"/>
        <v>7.9353</v>
      </c>
      <c r="Q284" s="598">
        <f t="shared" si="48"/>
      </c>
    </row>
    <row r="285" spans="4:17" ht="12.75" hidden="1" outlineLevel="1">
      <c r="D285" s="599" t="s">
        <v>590</v>
      </c>
      <c r="E285" s="599"/>
      <c r="F285" s="670" t="s">
        <v>569</v>
      </c>
      <c r="G285" s="601"/>
      <c r="H285" s="602">
        <v>0</v>
      </c>
      <c r="I285" s="658">
        <f>H265</f>
        <v>0.5</v>
      </c>
      <c r="J285" s="604">
        <f>I285*H285</f>
        <v>0</v>
      </c>
      <c r="K285" s="599"/>
      <c r="L285" s="602">
        <v>2.0118</v>
      </c>
      <c r="M285" s="659">
        <f>H265</f>
        <v>0.5</v>
      </c>
      <c r="N285" s="604">
        <f>M285*L285</f>
        <v>1.0059</v>
      </c>
      <c r="O285" s="599"/>
      <c r="P285" s="606">
        <f t="shared" si="47"/>
        <v>1.0059</v>
      </c>
      <c r="Q285" s="607">
        <f t="shared" si="48"/>
      </c>
    </row>
    <row r="286" spans="4:17" ht="25.5" hidden="1" outlineLevel="1">
      <c r="D286" s="608" t="s">
        <v>591</v>
      </c>
      <c r="E286" s="599"/>
      <c r="F286" s="670" t="s">
        <v>569</v>
      </c>
      <c r="G286" s="601"/>
      <c r="H286" s="602">
        <v>0</v>
      </c>
      <c r="I286" s="658">
        <f>I285</f>
        <v>0.5</v>
      </c>
      <c r="J286" s="604">
        <f>I286*H286</f>
        <v>0</v>
      </c>
      <c r="K286" s="599"/>
      <c r="L286" s="602">
        <v>0.8084</v>
      </c>
      <c r="M286" s="659">
        <f>M285</f>
        <v>0.5</v>
      </c>
      <c r="N286" s="604">
        <f>M286*L286</f>
        <v>0.4042</v>
      </c>
      <c r="O286" s="599"/>
      <c r="P286" s="606">
        <f t="shared" si="47"/>
        <v>0.4042</v>
      </c>
      <c r="Q286" s="607">
        <f t="shared" si="48"/>
      </c>
    </row>
    <row r="287" spans="4:17" ht="26.25" hidden="1" outlineLevel="1" thickBot="1">
      <c r="D287" s="609" t="s">
        <v>592</v>
      </c>
      <c r="E287" s="577"/>
      <c r="F287" s="579"/>
      <c r="G287" s="579"/>
      <c r="H287" s="610"/>
      <c r="I287" s="650"/>
      <c r="J287" s="612">
        <f>SUM(J284:J286)</f>
        <v>0</v>
      </c>
      <c r="K287" s="613"/>
      <c r="L287" s="614"/>
      <c r="M287" s="651"/>
      <c r="N287" s="612">
        <f>SUM(N284:N286)</f>
        <v>9.3454</v>
      </c>
      <c r="O287" s="613"/>
      <c r="P287" s="616">
        <f t="shared" si="47"/>
        <v>9.3454</v>
      </c>
      <c r="Q287" s="617">
        <f t="shared" si="48"/>
      </c>
    </row>
    <row r="288" spans="4:17" ht="25.5" hidden="1" outlineLevel="1">
      <c r="D288" s="589" t="s">
        <v>593</v>
      </c>
      <c r="E288" s="577"/>
      <c r="F288" s="667" t="s">
        <v>566</v>
      </c>
      <c r="G288" s="579"/>
      <c r="H288" s="587">
        <v>0.0052</v>
      </c>
      <c r="I288" s="581">
        <f>H264*(1+H300)</f>
        <v>190.17</v>
      </c>
      <c r="J288" s="582">
        <f aca="true" t="shared" si="51" ref="J288:J295">I288*H288</f>
        <v>0.9888839999999999</v>
      </c>
      <c r="K288" s="577"/>
      <c r="L288" s="587">
        <f aca="true" t="shared" si="52" ref="L288:L294">H288</f>
        <v>0.0052</v>
      </c>
      <c r="M288" s="583">
        <f>H264*(1+L300)</f>
        <v>186.21</v>
      </c>
      <c r="N288" s="582">
        <f aca="true" t="shared" si="53" ref="N288:N295">M288*L288</f>
        <v>0.968292</v>
      </c>
      <c r="O288" s="577"/>
      <c r="P288" s="584">
        <f t="shared" si="47"/>
        <v>-0.020591999999999833</v>
      </c>
      <c r="Q288" s="585">
        <f t="shared" si="48"/>
        <v>-0.020823473734027282</v>
      </c>
    </row>
    <row r="289" spans="4:17" ht="25.5" hidden="1" outlineLevel="1">
      <c r="D289" s="589" t="s">
        <v>594</v>
      </c>
      <c r="E289" s="577"/>
      <c r="F289" s="667" t="s">
        <v>566</v>
      </c>
      <c r="G289" s="579"/>
      <c r="H289" s="587">
        <v>0.0011</v>
      </c>
      <c r="I289" s="581">
        <f>I288</f>
        <v>190.17</v>
      </c>
      <c r="J289" s="582">
        <f t="shared" si="51"/>
        <v>0.209187</v>
      </c>
      <c r="K289" s="577"/>
      <c r="L289" s="587">
        <f t="shared" si="52"/>
        <v>0.0011</v>
      </c>
      <c r="M289" s="583">
        <f>M288</f>
        <v>186.21</v>
      </c>
      <c r="N289" s="582">
        <f t="shared" si="53"/>
        <v>0.204831</v>
      </c>
      <c r="O289" s="577"/>
      <c r="P289" s="584">
        <f t="shared" si="47"/>
        <v>-0.004355999999999999</v>
      </c>
      <c r="Q289" s="585">
        <f t="shared" si="48"/>
        <v>-0.02082347373402744</v>
      </c>
    </row>
    <row r="290" spans="4:17" ht="12.75" hidden="1" outlineLevel="1">
      <c r="D290" s="589" t="s">
        <v>595</v>
      </c>
      <c r="E290" s="577"/>
      <c r="F290" s="667" t="s">
        <v>566</v>
      </c>
      <c r="G290" s="579"/>
      <c r="H290" s="587">
        <v>0</v>
      </c>
      <c r="I290" s="581">
        <f>I288</f>
        <v>190.17</v>
      </c>
      <c r="J290" s="582">
        <f t="shared" si="51"/>
        <v>0</v>
      </c>
      <c r="K290" s="577"/>
      <c r="L290" s="587">
        <f t="shared" si="52"/>
        <v>0</v>
      </c>
      <c r="M290" s="583">
        <f>M288</f>
        <v>186.21</v>
      </c>
      <c r="N290" s="582">
        <f t="shared" si="53"/>
        <v>0</v>
      </c>
      <c r="O290" s="577"/>
      <c r="P290" s="584">
        <f t="shared" si="47"/>
        <v>0</v>
      </c>
      <c r="Q290" s="585">
        <f t="shared" si="48"/>
      </c>
    </row>
    <row r="291" spans="4:17" ht="12.75" hidden="1" outlineLevel="1">
      <c r="D291" s="577" t="s">
        <v>596</v>
      </c>
      <c r="E291" s="577"/>
      <c r="F291" s="667" t="s">
        <v>564</v>
      </c>
      <c r="G291" s="579"/>
      <c r="H291" s="587">
        <v>0.25</v>
      </c>
      <c r="I291" s="581">
        <v>1</v>
      </c>
      <c r="J291" s="582">
        <f t="shared" si="51"/>
        <v>0.25</v>
      </c>
      <c r="K291" s="577"/>
      <c r="L291" s="587">
        <f t="shared" si="52"/>
        <v>0.25</v>
      </c>
      <c r="M291" s="583">
        <v>1</v>
      </c>
      <c r="N291" s="582">
        <f t="shared" si="53"/>
        <v>0.25</v>
      </c>
      <c r="O291" s="577"/>
      <c r="P291" s="584">
        <f t="shared" si="47"/>
        <v>0</v>
      </c>
      <c r="Q291" s="585">
        <f t="shared" si="48"/>
        <v>0</v>
      </c>
    </row>
    <row r="292" spans="4:17" ht="12.75" hidden="1" outlineLevel="1">
      <c r="D292" s="577" t="s">
        <v>597</v>
      </c>
      <c r="E292" s="577"/>
      <c r="F292" s="667" t="s">
        <v>566</v>
      </c>
      <c r="G292" s="579"/>
      <c r="H292" s="587">
        <v>0.007</v>
      </c>
      <c r="I292" s="581">
        <f>H264</f>
        <v>180</v>
      </c>
      <c r="J292" s="582">
        <f t="shared" si="51"/>
        <v>1.26</v>
      </c>
      <c r="K292" s="577"/>
      <c r="L292" s="587">
        <f t="shared" si="52"/>
        <v>0.007</v>
      </c>
      <c r="M292" s="583">
        <f>H264</f>
        <v>180</v>
      </c>
      <c r="N292" s="582">
        <f t="shared" si="53"/>
        <v>1.26</v>
      </c>
      <c r="O292" s="577"/>
      <c r="P292" s="584">
        <f t="shared" si="47"/>
        <v>0</v>
      </c>
      <c r="Q292" s="585">
        <f t="shared" si="48"/>
        <v>0</v>
      </c>
    </row>
    <row r="293" spans="4:17" ht="12.75" hidden="1" outlineLevel="1">
      <c r="D293" s="577" t="s">
        <v>598</v>
      </c>
      <c r="E293" s="577"/>
      <c r="F293" s="667" t="s">
        <v>566</v>
      </c>
      <c r="G293" s="579"/>
      <c r="H293" s="587">
        <v>0.075</v>
      </c>
      <c r="I293" s="581">
        <f>IF(I288&lt;H301,I288,H301)</f>
        <v>190.17</v>
      </c>
      <c r="J293" s="582">
        <f t="shared" si="51"/>
        <v>14.262749999999999</v>
      </c>
      <c r="K293" s="577"/>
      <c r="L293" s="587">
        <f t="shared" si="52"/>
        <v>0.075</v>
      </c>
      <c r="M293" s="583">
        <f>IF(M288&lt;L301,M288,L301)</f>
        <v>186.21</v>
      </c>
      <c r="N293" s="582">
        <f t="shared" si="53"/>
        <v>13.96575</v>
      </c>
      <c r="O293" s="577"/>
      <c r="P293" s="584">
        <f t="shared" si="47"/>
        <v>-0.2969999999999988</v>
      </c>
      <c r="Q293" s="585">
        <f t="shared" si="48"/>
        <v>-0.02082347373402737</v>
      </c>
    </row>
    <row r="294" spans="4:17" ht="12.75" hidden="1" outlineLevel="1">
      <c r="D294" s="577" t="s">
        <v>599</v>
      </c>
      <c r="E294" s="577"/>
      <c r="F294" s="667" t="s">
        <v>566</v>
      </c>
      <c r="G294" s="579"/>
      <c r="H294" s="587">
        <v>0.088</v>
      </c>
      <c r="I294" s="621">
        <f>IF(I288&lt;H301,0,I288-I293)</f>
        <v>0</v>
      </c>
      <c r="J294" s="582">
        <f t="shared" si="51"/>
        <v>0</v>
      </c>
      <c r="K294" s="577"/>
      <c r="L294" s="587">
        <f t="shared" si="52"/>
        <v>0.088</v>
      </c>
      <c r="M294" s="642">
        <f>IF(M288&lt;L301,0,M288-M293)</f>
        <v>0</v>
      </c>
      <c r="N294" s="582">
        <f t="shared" si="53"/>
        <v>0</v>
      </c>
      <c r="O294" s="577"/>
      <c r="P294" s="584">
        <f t="shared" si="47"/>
        <v>0</v>
      </c>
      <c r="Q294" s="585">
        <f t="shared" si="48"/>
      </c>
    </row>
    <row r="295" spans="4:17" ht="12.75" hidden="1" outlineLevel="1">
      <c r="D295" s="590"/>
      <c r="E295" s="577"/>
      <c r="F295" s="667"/>
      <c r="G295" s="579"/>
      <c r="H295" s="587"/>
      <c r="I295" s="646"/>
      <c r="J295" s="582">
        <f t="shared" si="51"/>
        <v>0</v>
      </c>
      <c r="K295" s="577"/>
      <c r="L295" s="587"/>
      <c r="M295" s="647"/>
      <c r="N295" s="582">
        <f t="shared" si="53"/>
        <v>0</v>
      </c>
      <c r="O295" s="577"/>
      <c r="P295" s="584">
        <f t="shared" si="47"/>
        <v>0</v>
      </c>
      <c r="Q295" s="585">
        <f t="shared" si="48"/>
      </c>
    </row>
    <row r="296" spans="4:17" ht="13.5" hidden="1" outlineLevel="1" thickBot="1">
      <c r="D296" s="623" t="s">
        <v>600</v>
      </c>
      <c r="E296" s="577"/>
      <c r="F296" s="577"/>
      <c r="G296" s="577"/>
      <c r="H296" s="624"/>
      <c r="I296" s="625"/>
      <c r="J296" s="612">
        <f>SUM(J287:J295)</f>
        <v>16.970820999999997</v>
      </c>
      <c r="K296" s="613"/>
      <c r="L296" s="626"/>
      <c r="M296" s="651"/>
      <c r="N296" s="612">
        <f>SUM(N287:N295)</f>
        <v>25.994273</v>
      </c>
      <c r="O296" s="613"/>
      <c r="P296" s="616">
        <f t="shared" si="47"/>
        <v>9.023452000000002</v>
      </c>
      <c r="Q296" s="617">
        <f t="shared" si="48"/>
        <v>0.5317039169760852</v>
      </c>
    </row>
    <row r="297" spans="4:17" ht="12.75" hidden="1" outlineLevel="1">
      <c r="D297" s="579" t="s">
        <v>601</v>
      </c>
      <c r="E297" s="577"/>
      <c r="F297" s="577"/>
      <c r="G297" s="577"/>
      <c r="H297" s="628">
        <v>0.13</v>
      </c>
      <c r="I297" s="629"/>
      <c r="J297" s="630">
        <f>J296*H297</f>
        <v>2.20620673</v>
      </c>
      <c r="K297" s="577"/>
      <c r="L297" s="628">
        <v>0.13</v>
      </c>
      <c r="M297" s="652"/>
      <c r="N297" s="630">
        <f>N296*L297</f>
        <v>3.3792554900000003</v>
      </c>
      <c r="O297" s="577"/>
      <c r="P297" s="584">
        <f t="shared" si="47"/>
        <v>1.1730487600000004</v>
      </c>
      <c r="Q297" s="585">
        <f t="shared" si="48"/>
        <v>0.5317039169760852</v>
      </c>
    </row>
    <row r="298" spans="4:17" ht="13.5" hidden="1" outlineLevel="1" thickBot="1">
      <c r="D298" s="609" t="s">
        <v>602</v>
      </c>
      <c r="E298" s="577"/>
      <c r="F298" s="577"/>
      <c r="G298" s="577"/>
      <c r="H298" s="610"/>
      <c r="I298" s="611"/>
      <c r="J298" s="612">
        <f>ROUND(SUM(J296:J297),2)</f>
        <v>19.18</v>
      </c>
      <c r="K298" s="613"/>
      <c r="L298" s="614"/>
      <c r="M298" s="651"/>
      <c r="N298" s="612">
        <f>ROUND(SUM(N296:N297),2)</f>
        <v>29.37</v>
      </c>
      <c r="O298" s="613"/>
      <c r="P298" s="616">
        <f t="shared" si="47"/>
        <v>10.190000000000001</v>
      </c>
      <c r="Q298" s="617">
        <f t="shared" si="48"/>
        <v>0.5312825860271116</v>
      </c>
    </row>
    <row r="299" ht="12.75" hidden="1" outlineLevel="1"/>
    <row r="300" spans="4:14" ht="12.75" hidden="1" outlineLevel="1">
      <c r="D300" s="400" t="s">
        <v>605</v>
      </c>
      <c r="H300" s="634">
        <v>0.056499999999999995</v>
      </c>
      <c r="J300" s="635"/>
      <c r="L300" s="634">
        <v>0.034499999999999975</v>
      </c>
      <c r="N300" s="636"/>
    </row>
    <row r="301" spans="4:12" ht="12.75" hidden="1" outlineLevel="1">
      <c r="D301" s="637" t="s">
        <v>606</v>
      </c>
      <c r="H301" s="638">
        <v>750</v>
      </c>
      <c r="L301" s="638">
        <f>H301</f>
        <v>750</v>
      </c>
    </row>
    <row r="302" ht="12.75" hidden="1" outlineLevel="1">
      <c r="B302" s="400" t="s">
        <v>265</v>
      </c>
    </row>
    <row r="303" spans="2:17" ht="12.75" hidden="1" outlineLevel="1">
      <c r="B303" s="1127"/>
      <c r="C303" s="1128"/>
      <c r="D303" s="1128"/>
      <c r="E303" s="1128"/>
      <c r="F303" s="1128"/>
      <c r="G303" s="1128"/>
      <c r="H303" s="1128"/>
      <c r="I303" s="1128"/>
      <c r="J303" s="1128"/>
      <c r="K303" s="1128"/>
      <c r="L303" s="1128"/>
      <c r="M303" s="1128"/>
      <c r="N303" s="1128"/>
      <c r="O303" s="1128"/>
      <c r="P303" s="1128"/>
      <c r="Q303" s="1129"/>
    </row>
    <row r="304" spans="2:17" ht="12.75" hidden="1" outlineLevel="1">
      <c r="B304" s="1130"/>
      <c r="C304" s="1131"/>
      <c r="D304" s="1131"/>
      <c r="E304" s="1131"/>
      <c r="F304" s="1131"/>
      <c r="G304" s="1131"/>
      <c r="H304" s="1131"/>
      <c r="I304" s="1131"/>
      <c r="J304" s="1131"/>
      <c r="K304" s="1131"/>
      <c r="L304" s="1131"/>
      <c r="M304" s="1131"/>
      <c r="N304" s="1131"/>
      <c r="O304" s="1131"/>
      <c r="P304" s="1131"/>
      <c r="Q304" s="1132"/>
    </row>
    <row r="305" spans="2:17" ht="12.75" hidden="1" outlineLevel="1">
      <c r="B305" s="1130"/>
      <c r="C305" s="1131"/>
      <c r="D305" s="1131"/>
      <c r="E305" s="1131"/>
      <c r="F305" s="1131"/>
      <c r="G305" s="1131"/>
      <c r="H305" s="1131"/>
      <c r="I305" s="1131"/>
      <c r="J305" s="1131"/>
      <c r="K305" s="1131"/>
      <c r="L305" s="1131"/>
      <c r="M305" s="1131"/>
      <c r="N305" s="1131"/>
      <c r="O305" s="1131"/>
      <c r="P305" s="1131"/>
      <c r="Q305" s="1132"/>
    </row>
    <row r="306" spans="2:17" ht="12.75" hidden="1" outlineLevel="1">
      <c r="B306" s="1130"/>
      <c r="C306" s="1131"/>
      <c r="D306" s="1131"/>
      <c r="E306" s="1131"/>
      <c r="F306" s="1131"/>
      <c r="G306" s="1131"/>
      <c r="H306" s="1131"/>
      <c r="I306" s="1131"/>
      <c r="J306" s="1131"/>
      <c r="K306" s="1131"/>
      <c r="L306" s="1131"/>
      <c r="M306" s="1131"/>
      <c r="N306" s="1131"/>
      <c r="O306" s="1131"/>
      <c r="P306" s="1131"/>
      <c r="Q306" s="1132"/>
    </row>
    <row r="307" spans="2:17" ht="12.75" hidden="1" outlineLevel="1">
      <c r="B307" s="1133"/>
      <c r="C307" s="1134"/>
      <c r="D307" s="1134"/>
      <c r="E307" s="1134"/>
      <c r="F307" s="1134"/>
      <c r="G307" s="1134"/>
      <c r="H307" s="1134"/>
      <c r="I307" s="1134"/>
      <c r="J307" s="1134"/>
      <c r="K307" s="1134"/>
      <c r="L307" s="1134"/>
      <c r="M307" s="1134"/>
      <c r="N307" s="1134"/>
      <c r="O307" s="1134"/>
      <c r="P307" s="1134"/>
      <c r="Q307" s="1135"/>
    </row>
    <row r="308" ht="12.75" collapsed="1"/>
    <row r="309" ht="12.75"/>
    <row r="310" ht="12.75"/>
    <row r="311" ht="12.75"/>
    <row r="312" spans="2:17" ht="15.75">
      <c r="B312" s="551" t="s">
        <v>564</v>
      </c>
      <c r="D312" s="563" t="s">
        <v>565</v>
      </c>
      <c r="F312" s="1123" t="s">
        <v>437</v>
      </c>
      <c r="G312" s="1123"/>
      <c r="H312" s="1123"/>
      <c r="I312" s="1123"/>
      <c r="J312" s="1123"/>
      <c r="K312" s="1123"/>
      <c r="L312" s="1123"/>
      <c r="M312" s="1123"/>
      <c r="N312" s="1123"/>
      <c r="O312" s="1123"/>
      <c r="P312" s="1123"/>
      <c r="Q312" s="1123"/>
    </row>
    <row r="313" spans="2:17" ht="15.75">
      <c r="B313" s="551"/>
      <c r="D313" s="564"/>
      <c r="F313" s="565"/>
      <c r="G313" s="565"/>
      <c r="H313" s="565"/>
      <c r="I313" s="565"/>
      <c r="J313" s="565"/>
      <c r="K313" s="565"/>
      <c r="L313" s="565"/>
      <c r="M313" s="565"/>
      <c r="N313" s="565"/>
      <c r="O313" s="565"/>
      <c r="P313" s="565"/>
      <c r="Q313" s="565"/>
    </row>
    <row r="314" spans="2:9" ht="12.75">
      <c r="B314" s="551" t="s">
        <v>566</v>
      </c>
      <c r="F314" s="400" t="s">
        <v>567</v>
      </c>
      <c r="G314" s="400"/>
      <c r="H314" s="643">
        <v>280</v>
      </c>
      <c r="I314" s="569" t="s">
        <v>568</v>
      </c>
    </row>
    <row r="315" spans="2:9" ht="12.75">
      <c r="B315" s="551" t="s">
        <v>569</v>
      </c>
      <c r="F315" s="400" t="s">
        <v>610</v>
      </c>
      <c r="H315" s="660">
        <v>1</v>
      </c>
      <c r="I315" s="569" t="s">
        <v>554</v>
      </c>
    </row>
    <row r="316" spans="6:17" ht="12.75">
      <c r="F316" s="568"/>
      <c r="G316" s="568"/>
      <c r="H316" s="1124" t="s">
        <v>570</v>
      </c>
      <c r="I316" s="1125"/>
      <c r="J316" s="1126"/>
      <c r="L316" s="1124" t="s">
        <v>571</v>
      </c>
      <c r="M316" s="1125"/>
      <c r="N316" s="1126"/>
      <c r="P316" s="1124" t="s">
        <v>572</v>
      </c>
      <c r="Q316" s="1126"/>
    </row>
    <row r="317" spans="6:17" ht="12.75">
      <c r="F317" s="1108" t="s">
        <v>573</v>
      </c>
      <c r="G317" s="569"/>
      <c r="H317" s="570" t="s">
        <v>574</v>
      </c>
      <c r="I317" s="570" t="s">
        <v>575</v>
      </c>
      <c r="J317" s="571" t="s">
        <v>576</v>
      </c>
      <c r="L317" s="570" t="s">
        <v>574</v>
      </c>
      <c r="M317" s="572" t="s">
        <v>575</v>
      </c>
      <c r="N317" s="571" t="s">
        <v>576</v>
      </c>
      <c r="P317" s="1110" t="s">
        <v>577</v>
      </c>
      <c r="Q317" s="1112" t="s">
        <v>578</v>
      </c>
    </row>
    <row r="318" spans="6:17" ht="12.75">
      <c r="F318" s="1109"/>
      <c r="G318" s="569"/>
      <c r="H318" s="573" t="s">
        <v>410</v>
      </c>
      <c r="I318" s="573"/>
      <c r="J318" s="574" t="s">
        <v>410</v>
      </c>
      <c r="L318" s="573" t="s">
        <v>410</v>
      </c>
      <c r="M318" s="574"/>
      <c r="N318" s="574" t="s">
        <v>410</v>
      </c>
      <c r="P318" s="1111"/>
      <c r="Q318" s="1113"/>
    </row>
    <row r="319" spans="4:17" ht="12.75">
      <c r="D319" s="577" t="s">
        <v>555</v>
      </c>
      <c r="E319" s="577"/>
      <c r="F319" s="578" t="s">
        <v>564</v>
      </c>
      <c r="G319" s="579"/>
      <c r="H319" s="580">
        <v>3.02</v>
      </c>
      <c r="I319" s="581">
        <v>1</v>
      </c>
      <c r="J319" s="582">
        <f aca="true" t="shared" si="54" ref="J319:J333">I319*H319</f>
        <v>3.02</v>
      </c>
      <c r="K319" s="577"/>
      <c r="L319" s="580">
        <v>1.34</v>
      </c>
      <c r="M319" s="583">
        <v>1</v>
      </c>
      <c r="N319" s="582">
        <f aca="true" t="shared" si="55" ref="N319:N333">M319*L319</f>
        <v>1.34</v>
      </c>
      <c r="O319" s="577"/>
      <c r="P319" s="584">
        <f aca="true" t="shared" si="56" ref="P319:P348">N319-J319</f>
        <v>-1.68</v>
      </c>
      <c r="Q319" s="585">
        <f aca="true" t="shared" si="57" ref="Q319:Q348">IF((J319)=0,"",(P319/J319))</f>
        <v>-0.5562913907284768</v>
      </c>
    </row>
    <row r="320" spans="4:17" ht="12.75">
      <c r="D320" s="577" t="s">
        <v>579</v>
      </c>
      <c r="E320" s="577"/>
      <c r="F320" s="578" t="s">
        <v>564</v>
      </c>
      <c r="G320" s="579"/>
      <c r="H320" s="587">
        <v>0</v>
      </c>
      <c r="I320" s="581">
        <v>1</v>
      </c>
      <c r="J320" s="582">
        <f t="shared" si="54"/>
        <v>0</v>
      </c>
      <c r="K320" s="577"/>
      <c r="L320" s="587">
        <v>0</v>
      </c>
      <c r="M320" s="583">
        <v>1</v>
      </c>
      <c r="N320" s="582">
        <f t="shared" si="55"/>
        <v>0</v>
      </c>
      <c r="O320" s="577"/>
      <c r="P320" s="584">
        <f t="shared" si="56"/>
        <v>0</v>
      </c>
      <c r="Q320" s="585">
        <f t="shared" si="57"/>
      </c>
    </row>
    <row r="321" spans="4:17" ht="12.75">
      <c r="D321" s="577" t="s">
        <v>614</v>
      </c>
      <c r="E321" s="577"/>
      <c r="F321" s="578" t="s">
        <v>564</v>
      </c>
      <c r="G321" s="579"/>
      <c r="H321" s="587">
        <v>0</v>
      </c>
      <c r="I321" s="581">
        <v>1</v>
      </c>
      <c r="J321" s="582">
        <f t="shared" si="54"/>
        <v>0</v>
      </c>
      <c r="K321" s="577"/>
      <c r="L321" s="587">
        <v>0</v>
      </c>
      <c r="M321" s="583">
        <v>1</v>
      </c>
      <c r="N321" s="582">
        <f t="shared" si="55"/>
        <v>0</v>
      </c>
      <c r="O321" s="577"/>
      <c r="P321" s="584">
        <f t="shared" si="56"/>
        <v>0</v>
      </c>
      <c r="Q321" s="585">
        <f t="shared" si="57"/>
      </c>
    </row>
    <row r="322" spans="4:17" ht="12.75">
      <c r="D322" s="577" t="s">
        <v>581</v>
      </c>
      <c r="E322" s="577"/>
      <c r="F322" s="578" t="s">
        <v>564</v>
      </c>
      <c r="G322" s="579"/>
      <c r="H322" s="587">
        <v>0</v>
      </c>
      <c r="I322" s="581">
        <v>1</v>
      </c>
      <c r="J322" s="582">
        <f t="shared" si="54"/>
        <v>0</v>
      </c>
      <c r="K322" s="577"/>
      <c r="L322" s="587">
        <v>0</v>
      </c>
      <c r="M322" s="583">
        <v>1</v>
      </c>
      <c r="N322" s="582">
        <f t="shared" si="55"/>
        <v>0</v>
      </c>
      <c r="O322" s="577"/>
      <c r="P322" s="584">
        <f t="shared" si="56"/>
        <v>0</v>
      </c>
      <c r="Q322" s="585">
        <f t="shared" si="57"/>
      </c>
    </row>
    <row r="323" spans="4:17" ht="12.75">
      <c r="D323" s="577" t="s">
        <v>582</v>
      </c>
      <c r="E323" s="577"/>
      <c r="F323" s="578" t="s">
        <v>569</v>
      </c>
      <c r="G323" s="579"/>
      <c r="H323" s="587">
        <v>11.2961</v>
      </c>
      <c r="I323" s="661">
        <f>H315</f>
        <v>1</v>
      </c>
      <c r="J323" s="582">
        <f t="shared" si="54"/>
        <v>11.2961</v>
      </c>
      <c r="K323" s="577"/>
      <c r="L323" s="587">
        <v>5.885</v>
      </c>
      <c r="M323" s="662">
        <f>H315</f>
        <v>1</v>
      </c>
      <c r="N323" s="582">
        <f t="shared" si="55"/>
        <v>5.885</v>
      </c>
      <c r="O323" s="577"/>
      <c r="P323" s="584">
        <f t="shared" si="56"/>
        <v>-5.411099999999999</v>
      </c>
      <c r="Q323" s="585">
        <f t="shared" si="57"/>
        <v>-0.4790237338550473</v>
      </c>
    </row>
    <row r="324" spans="4:17" ht="12.75">
      <c r="D324" s="577" t="s">
        <v>583</v>
      </c>
      <c r="E324" s="577"/>
      <c r="F324" s="578" t="s">
        <v>569</v>
      </c>
      <c r="G324" s="579"/>
      <c r="H324" s="587">
        <v>0.2301</v>
      </c>
      <c r="I324" s="661">
        <f aca="true" t="shared" si="58" ref="I324:I329">I323</f>
        <v>1</v>
      </c>
      <c r="J324" s="582">
        <f t="shared" si="54"/>
        <v>0.2301</v>
      </c>
      <c r="K324" s="577"/>
      <c r="L324" s="587">
        <v>0.0918</v>
      </c>
      <c r="M324" s="662">
        <f aca="true" t="shared" si="59" ref="M324:M330">M323</f>
        <v>1</v>
      </c>
      <c r="N324" s="582">
        <f t="shared" si="55"/>
        <v>0.0918</v>
      </c>
      <c r="O324" s="577"/>
      <c r="P324" s="584">
        <f t="shared" si="56"/>
        <v>-0.13829999999999998</v>
      </c>
      <c r="Q324" s="585">
        <f t="shared" si="57"/>
        <v>-0.6010430247718382</v>
      </c>
    </row>
    <row r="325" spans="4:17" ht="12.75">
      <c r="D325" s="577" t="s">
        <v>584</v>
      </c>
      <c r="E325" s="577"/>
      <c r="F325" s="578" t="s">
        <v>569</v>
      </c>
      <c r="G325" s="579"/>
      <c r="H325" s="587">
        <v>0</v>
      </c>
      <c r="I325" s="661">
        <f t="shared" si="58"/>
        <v>1</v>
      </c>
      <c r="J325" s="582">
        <f t="shared" si="54"/>
        <v>0</v>
      </c>
      <c r="K325" s="577"/>
      <c r="L325" s="587">
        <v>0</v>
      </c>
      <c r="M325" s="662">
        <f t="shared" si="59"/>
        <v>1</v>
      </c>
      <c r="N325" s="582">
        <f t="shared" si="55"/>
        <v>0</v>
      </c>
      <c r="O325" s="577"/>
      <c r="P325" s="584">
        <f t="shared" si="56"/>
        <v>0</v>
      </c>
      <c r="Q325" s="585">
        <f t="shared" si="57"/>
      </c>
    </row>
    <row r="326" spans="4:17" ht="12.75">
      <c r="D326" s="577" t="s">
        <v>585</v>
      </c>
      <c r="E326" s="577"/>
      <c r="F326" s="578" t="s">
        <v>569</v>
      </c>
      <c r="G326" s="579"/>
      <c r="H326" s="587">
        <v>-0.478</v>
      </c>
      <c r="I326" s="661">
        <f t="shared" si="58"/>
        <v>1</v>
      </c>
      <c r="J326" s="582">
        <f t="shared" si="54"/>
        <v>-0.478</v>
      </c>
      <c r="K326" s="577"/>
      <c r="L326" s="587">
        <v>0</v>
      </c>
      <c r="M326" s="662">
        <f t="shared" si="59"/>
        <v>1</v>
      </c>
      <c r="N326" s="582">
        <f t="shared" si="55"/>
        <v>0</v>
      </c>
      <c r="O326" s="577"/>
      <c r="P326" s="584">
        <f t="shared" si="56"/>
        <v>0.478</v>
      </c>
      <c r="Q326" s="585">
        <f t="shared" si="57"/>
        <v>-1</v>
      </c>
    </row>
    <row r="327" spans="4:17" ht="12.75">
      <c r="D327" s="577" t="s">
        <v>586</v>
      </c>
      <c r="E327" s="577"/>
      <c r="F327" s="578" t="s">
        <v>569</v>
      </c>
      <c r="G327" s="579"/>
      <c r="H327" s="587">
        <v>0</v>
      </c>
      <c r="I327" s="661">
        <f t="shared" si="58"/>
        <v>1</v>
      </c>
      <c r="J327" s="582">
        <f t="shared" si="54"/>
        <v>0</v>
      </c>
      <c r="K327" s="577"/>
      <c r="L327" s="587">
        <v>0</v>
      </c>
      <c r="M327" s="662">
        <f t="shared" si="59"/>
        <v>1</v>
      </c>
      <c r="N327" s="582">
        <f t="shared" si="55"/>
        <v>0</v>
      </c>
      <c r="O327" s="577"/>
      <c r="P327" s="584">
        <f t="shared" si="56"/>
        <v>0</v>
      </c>
      <c r="Q327" s="585">
        <f t="shared" si="57"/>
      </c>
    </row>
    <row r="328" spans="4:17" ht="12.75">
      <c r="D328" s="577" t="s">
        <v>587</v>
      </c>
      <c r="E328" s="577"/>
      <c r="F328" s="578" t="s">
        <v>569</v>
      </c>
      <c r="G328" s="579"/>
      <c r="H328" s="587">
        <v>0</v>
      </c>
      <c r="I328" s="661">
        <f t="shared" si="58"/>
        <v>1</v>
      </c>
      <c r="J328" s="582">
        <f t="shared" si="54"/>
        <v>0</v>
      </c>
      <c r="K328" s="577"/>
      <c r="L328" s="587">
        <v>0</v>
      </c>
      <c r="M328" s="662">
        <f t="shared" si="59"/>
        <v>1</v>
      </c>
      <c r="N328" s="582">
        <f t="shared" si="55"/>
        <v>0</v>
      </c>
      <c r="O328" s="577"/>
      <c r="P328" s="584">
        <f t="shared" si="56"/>
        <v>0</v>
      </c>
      <c r="Q328" s="585">
        <f t="shared" si="57"/>
      </c>
    </row>
    <row r="329" spans="1:17" ht="38.25">
      <c r="A329" s="601"/>
      <c r="D329" s="589" t="s">
        <v>617</v>
      </c>
      <c r="E329" s="577"/>
      <c r="F329" s="578" t="s">
        <v>569</v>
      </c>
      <c r="G329" s="579"/>
      <c r="H329" s="587">
        <v>-0.1545</v>
      </c>
      <c r="I329" s="661">
        <f t="shared" si="58"/>
        <v>1</v>
      </c>
      <c r="J329" s="582">
        <f t="shared" si="54"/>
        <v>-0.1545</v>
      </c>
      <c r="K329" s="577"/>
      <c r="L329" s="674">
        <f>H329</f>
        <v>-0.1545</v>
      </c>
      <c r="M329" s="662">
        <f t="shared" si="59"/>
        <v>1</v>
      </c>
      <c r="N329" s="582">
        <f t="shared" si="55"/>
        <v>-0.1545</v>
      </c>
      <c r="O329" s="577"/>
      <c r="P329" s="584">
        <f t="shared" si="56"/>
        <v>0</v>
      </c>
      <c r="Q329" s="585">
        <f t="shared" si="57"/>
        <v>0</v>
      </c>
    </row>
    <row r="330" spans="1:17" ht="38.25">
      <c r="A330" s="601"/>
      <c r="D330" s="589" t="s">
        <v>618</v>
      </c>
      <c r="E330" s="577"/>
      <c r="F330" s="578" t="s">
        <v>569</v>
      </c>
      <c r="G330" s="579"/>
      <c r="H330" s="587"/>
      <c r="I330" s="646"/>
      <c r="J330" s="582">
        <f t="shared" si="54"/>
        <v>0</v>
      </c>
      <c r="K330" s="577"/>
      <c r="L330" s="587">
        <v>-0.4548</v>
      </c>
      <c r="M330" s="662">
        <f t="shared" si="59"/>
        <v>1</v>
      </c>
      <c r="N330" s="582">
        <f t="shared" si="55"/>
        <v>-0.4548</v>
      </c>
      <c r="O330" s="577"/>
      <c r="P330" s="584">
        <f t="shared" si="56"/>
        <v>-0.4548</v>
      </c>
      <c r="Q330" s="585">
        <f t="shared" si="57"/>
      </c>
    </row>
    <row r="331" spans="4:17" ht="12.75">
      <c r="D331" s="590"/>
      <c r="E331" s="577"/>
      <c r="F331" s="578"/>
      <c r="G331" s="579"/>
      <c r="H331" s="587"/>
      <c r="I331" s="646"/>
      <c r="J331" s="582">
        <f t="shared" si="54"/>
        <v>0</v>
      </c>
      <c r="K331" s="577"/>
      <c r="L331" s="587"/>
      <c r="M331" s="647"/>
      <c r="N331" s="582">
        <f t="shared" si="55"/>
        <v>0</v>
      </c>
      <c r="O331" s="577"/>
      <c r="P331" s="584">
        <f t="shared" si="56"/>
        <v>0</v>
      </c>
      <c r="Q331" s="585">
        <f t="shared" si="57"/>
      </c>
    </row>
    <row r="332" spans="4:17" ht="12.75">
      <c r="D332" s="590"/>
      <c r="E332" s="577"/>
      <c r="F332" s="578"/>
      <c r="G332" s="579"/>
      <c r="H332" s="587"/>
      <c r="I332" s="646"/>
      <c r="J332" s="582">
        <f t="shared" si="54"/>
        <v>0</v>
      </c>
      <c r="K332" s="577"/>
      <c r="L332" s="587"/>
      <c r="M332" s="647"/>
      <c r="N332" s="582">
        <f t="shared" si="55"/>
        <v>0</v>
      </c>
      <c r="O332" s="577"/>
      <c r="P332" s="584">
        <f t="shared" si="56"/>
        <v>0</v>
      </c>
      <c r="Q332" s="585">
        <f t="shared" si="57"/>
      </c>
    </row>
    <row r="333" spans="4:17" ht="13.5" thickBot="1">
      <c r="D333" s="590"/>
      <c r="E333" s="577"/>
      <c r="F333" s="578"/>
      <c r="G333" s="579"/>
      <c r="H333" s="587"/>
      <c r="I333" s="646"/>
      <c r="J333" s="582">
        <f t="shared" si="54"/>
        <v>0</v>
      </c>
      <c r="K333" s="577"/>
      <c r="L333" s="587"/>
      <c r="M333" s="647"/>
      <c r="N333" s="582">
        <f t="shared" si="55"/>
        <v>0</v>
      </c>
      <c r="O333" s="577"/>
      <c r="P333" s="584">
        <f t="shared" si="56"/>
        <v>0</v>
      </c>
      <c r="Q333" s="585">
        <f t="shared" si="57"/>
      </c>
    </row>
    <row r="334" spans="4:17" ht="13.5" thickBot="1">
      <c r="D334" s="400" t="s">
        <v>589</v>
      </c>
      <c r="G334" s="551"/>
      <c r="H334" s="593"/>
      <c r="I334" s="648"/>
      <c r="J334" s="595">
        <f>SUM(J319:J333)</f>
        <v>13.913699999999999</v>
      </c>
      <c r="L334" s="593"/>
      <c r="M334" s="649"/>
      <c r="N334" s="595">
        <f>SUM(N319:N333)</f>
        <v>6.7075000000000005</v>
      </c>
      <c r="P334" s="597">
        <f t="shared" si="56"/>
        <v>-7.206199999999998</v>
      </c>
      <c r="Q334" s="598">
        <f t="shared" si="57"/>
        <v>-0.5179211855940546</v>
      </c>
    </row>
    <row r="335" spans="4:17" ht="12.75">
      <c r="D335" s="599" t="s">
        <v>590</v>
      </c>
      <c r="E335" s="599"/>
      <c r="F335" s="600" t="s">
        <v>569</v>
      </c>
      <c r="G335" s="601"/>
      <c r="H335" s="602">
        <v>1.9589</v>
      </c>
      <c r="I335" s="663">
        <f>H315</f>
        <v>1</v>
      </c>
      <c r="J335" s="604">
        <f>I335*H335</f>
        <v>1.9589</v>
      </c>
      <c r="K335" s="599"/>
      <c r="L335" s="602">
        <v>1.9798</v>
      </c>
      <c r="M335" s="664">
        <f>H315</f>
        <v>1</v>
      </c>
      <c r="N335" s="604">
        <f>M335*L335</f>
        <v>1.9798</v>
      </c>
      <c r="O335" s="599"/>
      <c r="P335" s="606">
        <f t="shared" si="56"/>
        <v>0.02089999999999992</v>
      </c>
      <c r="Q335" s="607">
        <f t="shared" si="57"/>
        <v>0.010669253152279299</v>
      </c>
    </row>
    <row r="336" spans="4:17" ht="26.25" thickBot="1">
      <c r="D336" s="608" t="s">
        <v>591</v>
      </c>
      <c r="E336" s="599"/>
      <c r="F336" s="600" t="s">
        <v>569</v>
      </c>
      <c r="G336" s="601"/>
      <c r="H336" s="602">
        <v>1.5002</v>
      </c>
      <c r="I336" s="663">
        <f>I335</f>
        <v>1</v>
      </c>
      <c r="J336" s="604">
        <f>I336*H336</f>
        <v>1.5002</v>
      </c>
      <c r="K336" s="599"/>
      <c r="L336" s="602">
        <v>0.8901</v>
      </c>
      <c r="M336" s="664">
        <f>M335</f>
        <v>1</v>
      </c>
      <c r="N336" s="604">
        <f>M336*L336</f>
        <v>0.8901</v>
      </c>
      <c r="O336" s="599"/>
      <c r="P336" s="606">
        <f t="shared" si="56"/>
        <v>-0.6101</v>
      </c>
      <c r="Q336" s="607">
        <f t="shared" si="57"/>
        <v>-0.40667910945207303</v>
      </c>
    </row>
    <row r="337" spans="4:17" ht="26.25" thickBot="1">
      <c r="D337" s="609" t="s">
        <v>592</v>
      </c>
      <c r="E337" s="577"/>
      <c r="F337" s="577"/>
      <c r="G337" s="579"/>
      <c r="H337" s="610"/>
      <c r="I337" s="650"/>
      <c r="J337" s="612">
        <f>SUM(J334:J336)</f>
        <v>17.372799999999998</v>
      </c>
      <c r="K337" s="613"/>
      <c r="L337" s="614"/>
      <c r="M337" s="651"/>
      <c r="N337" s="612">
        <f>SUM(N334:N336)</f>
        <v>9.5774</v>
      </c>
      <c r="O337" s="613"/>
      <c r="P337" s="616">
        <f t="shared" si="56"/>
        <v>-7.795399999999997</v>
      </c>
      <c r="Q337" s="617">
        <f t="shared" si="57"/>
        <v>-0.44871293055811373</v>
      </c>
    </row>
    <row r="338" spans="4:17" ht="25.5">
      <c r="D338" s="589" t="s">
        <v>593</v>
      </c>
      <c r="E338" s="577"/>
      <c r="F338" s="578" t="s">
        <v>566</v>
      </c>
      <c r="G338" s="579"/>
      <c r="H338" s="587">
        <v>0.0052</v>
      </c>
      <c r="I338" s="661">
        <f>H314*(1+H350)</f>
        <v>295.82</v>
      </c>
      <c r="J338" s="582">
        <f aca="true" t="shared" si="60" ref="J338:J345">I338*H338</f>
        <v>1.5382639999999999</v>
      </c>
      <c r="K338" s="577"/>
      <c r="L338" s="587">
        <f aca="true" t="shared" si="61" ref="L338:L344">H338</f>
        <v>0.0052</v>
      </c>
      <c r="M338" s="583">
        <f>H314*(1+L350)</f>
        <v>289.65999999999997</v>
      </c>
      <c r="N338" s="582">
        <f aca="true" t="shared" si="62" ref="N338:N345">M338*L338</f>
        <v>1.5062319999999998</v>
      </c>
      <c r="O338" s="577"/>
      <c r="P338" s="584">
        <f t="shared" si="56"/>
        <v>-0.03203200000000006</v>
      </c>
      <c r="Q338" s="585">
        <f t="shared" si="57"/>
        <v>-0.02082347373402749</v>
      </c>
    </row>
    <row r="339" spans="4:17" ht="25.5">
      <c r="D339" s="589" t="s">
        <v>594</v>
      </c>
      <c r="E339" s="577"/>
      <c r="F339" s="578" t="s">
        <v>566</v>
      </c>
      <c r="G339" s="579"/>
      <c r="H339" s="587">
        <v>0.0011</v>
      </c>
      <c r="I339" s="661">
        <f>I338</f>
        <v>295.82</v>
      </c>
      <c r="J339" s="582">
        <f t="shared" si="60"/>
        <v>0.325402</v>
      </c>
      <c r="K339" s="577"/>
      <c r="L339" s="587">
        <f t="shared" si="61"/>
        <v>0.0011</v>
      </c>
      <c r="M339" s="583">
        <f>M338</f>
        <v>289.65999999999997</v>
      </c>
      <c r="N339" s="582">
        <f t="shared" si="62"/>
        <v>0.31862599999999996</v>
      </c>
      <c r="O339" s="577"/>
      <c r="P339" s="584">
        <f t="shared" si="56"/>
        <v>-0.00677600000000006</v>
      </c>
      <c r="Q339" s="585">
        <f t="shared" si="57"/>
        <v>-0.020823473734027632</v>
      </c>
    </row>
    <row r="340" spans="4:17" ht="12.75">
      <c r="D340" s="589" t="s">
        <v>595</v>
      </c>
      <c r="E340" s="577"/>
      <c r="F340" s="578" t="s">
        <v>566</v>
      </c>
      <c r="G340" s="579"/>
      <c r="H340" s="587">
        <v>0</v>
      </c>
      <c r="I340" s="661">
        <f>I338</f>
        <v>295.82</v>
      </c>
      <c r="J340" s="582">
        <f t="shared" si="60"/>
        <v>0</v>
      </c>
      <c r="K340" s="577"/>
      <c r="L340" s="587">
        <f t="shared" si="61"/>
        <v>0</v>
      </c>
      <c r="M340" s="583">
        <f>M338</f>
        <v>289.65999999999997</v>
      </c>
      <c r="N340" s="582">
        <f t="shared" si="62"/>
        <v>0</v>
      </c>
      <c r="O340" s="577"/>
      <c r="P340" s="584">
        <f t="shared" si="56"/>
        <v>0</v>
      </c>
      <c r="Q340" s="585">
        <f t="shared" si="57"/>
      </c>
    </row>
    <row r="341" spans="4:17" ht="12.75">
      <c r="D341" s="577" t="s">
        <v>596</v>
      </c>
      <c r="E341" s="577"/>
      <c r="F341" s="578" t="s">
        <v>564</v>
      </c>
      <c r="G341" s="579"/>
      <c r="H341" s="587">
        <v>0.25</v>
      </c>
      <c r="I341" s="581">
        <v>1</v>
      </c>
      <c r="J341" s="582">
        <f t="shared" si="60"/>
        <v>0.25</v>
      </c>
      <c r="K341" s="577"/>
      <c r="L341" s="587">
        <f t="shared" si="61"/>
        <v>0.25</v>
      </c>
      <c r="M341" s="583">
        <v>1</v>
      </c>
      <c r="N341" s="582">
        <f t="shared" si="62"/>
        <v>0.25</v>
      </c>
      <c r="O341" s="577"/>
      <c r="P341" s="584">
        <f t="shared" si="56"/>
        <v>0</v>
      </c>
      <c r="Q341" s="585">
        <f t="shared" si="57"/>
        <v>0</v>
      </c>
    </row>
    <row r="342" spans="4:17" ht="12.75">
      <c r="D342" s="577" t="s">
        <v>597</v>
      </c>
      <c r="E342" s="577"/>
      <c r="F342" s="578" t="s">
        <v>566</v>
      </c>
      <c r="G342" s="579"/>
      <c r="H342" s="587">
        <v>0.007</v>
      </c>
      <c r="I342" s="581">
        <f>H314</f>
        <v>280</v>
      </c>
      <c r="J342" s="582">
        <f t="shared" si="60"/>
        <v>1.96</v>
      </c>
      <c r="K342" s="577"/>
      <c r="L342" s="587">
        <f t="shared" si="61"/>
        <v>0.007</v>
      </c>
      <c r="M342" s="583">
        <f>H314</f>
        <v>280</v>
      </c>
      <c r="N342" s="582">
        <f t="shared" si="62"/>
        <v>1.96</v>
      </c>
      <c r="O342" s="577"/>
      <c r="P342" s="584">
        <f t="shared" si="56"/>
        <v>0</v>
      </c>
      <c r="Q342" s="585">
        <f t="shared" si="57"/>
        <v>0</v>
      </c>
    </row>
    <row r="343" spans="4:17" ht="12.75">
      <c r="D343" s="577" t="s">
        <v>598</v>
      </c>
      <c r="E343" s="577"/>
      <c r="F343" s="578" t="s">
        <v>566</v>
      </c>
      <c r="G343" s="579"/>
      <c r="H343" s="587">
        <v>0.075</v>
      </c>
      <c r="I343" s="581">
        <f>IF(I338&lt;H351,I338,H351)</f>
        <v>295.82</v>
      </c>
      <c r="J343" s="582">
        <f t="shared" si="60"/>
        <v>22.1865</v>
      </c>
      <c r="K343" s="577"/>
      <c r="L343" s="587">
        <f t="shared" si="61"/>
        <v>0.075</v>
      </c>
      <c r="M343" s="583">
        <f>IF(M338&lt;L351,M338,L351)</f>
        <v>289.65999999999997</v>
      </c>
      <c r="N343" s="582">
        <f t="shared" si="62"/>
        <v>21.724499999999995</v>
      </c>
      <c r="O343" s="577"/>
      <c r="P343" s="584">
        <f t="shared" si="56"/>
        <v>-0.4620000000000033</v>
      </c>
      <c r="Q343" s="585">
        <f t="shared" si="57"/>
        <v>-0.020823473734027598</v>
      </c>
    </row>
    <row r="344" spans="4:17" ht="12.75">
      <c r="D344" s="577" t="s">
        <v>599</v>
      </c>
      <c r="E344" s="577"/>
      <c r="F344" s="578" t="s">
        <v>566</v>
      </c>
      <c r="G344" s="579"/>
      <c r="H344" s="587">
        <v>0.088</v>
      </c>
      <c r="I344" s="621">
        <f>IF(I338&lt;H351,0,I338-I343)</f>
        <v>0</v>
      </c>
      <c r="J344" s="582">
        <f t="shared" si="60"/>
        <v>0</v>
      </c>
      <c r="K344" s="577"/>
      <c r="L344" s="587">
        <f t="shared" si="61"/>
        <v>0.088</v>
      </c>
      <c r="M344" s="642">
        <f>IF(M338&lt;L351,0,M338-M343)</f>
        <v>0</v>
      </c>
      <c r="N344" s="582">
        <f t="shared" si="62"/>
        <v>0</v>
      </c>
      <c r="O344" s="577"/>
      <c r="P344" s="584">
        <f t="shared" si="56"/>
        <v>0</v>
      </c>
      <c r="Q344" s="585">
        <f t="shared" si="57"/>
      </c>
    </row>
    <row r="345" spans="4:17" ht="13.5" thickBot="1">
      <c r="D345" s="590"/>
      <c r="E345" s="577"/>
      <c r="F345" s="578"/>
      <c r="G345" s="579"/>
      <c r="H345" s="587"/>
      <c r="I345" s="646"/>
      <c r="J345" s="582">
        <f t="shared" si="60"/>
        <v>0</v>
      </c>
      <c r="K345" s="577"/>
      <c r="L345" s="587"/>
      <c r="M345" s="647"/>
      <c r="N345" s="582">
        <f t="shared" si="62"/>
        <v>0</v>
      </c>
      <c r="O345" s="577"/>
      <c r="P345" s="584">
        <f t="shared" si="56"/>
        <v>0</v>
      </c>
      <c r="Q345" s="585">
        <f t="shared" si="57"/>
      </c>
    </row>
    <row r="346" spans="4:17" ht="13.5" thickBot="1">
      <c r="D346" s="623" t="s">
        <v>600</v>
      </c>
      <c r="E346" s="577"/>
      <c r="F346" s="577"/>
      <c r="G346" s="577"/>
      <c r="H346" s="624"/>
      <c r="I346" s="625"/>
      <c r="J346" s="612">
        <f>SUM(J337:J345)</f>
        <v>43.632965999999996</v>
      </c>
      <c r="K346" s="613"/>
      <c r="L346" s="626"/>
      <c r="M346" s="651"/>
      <c r="N346" s="612">
        <f>SUM(N337:N345)</f>
        <v>35.336757999999996</v>
      </c>
      <c r="O346" s="613"/>
      <c r="P346" s="616">
        <f t="shared" si="56"/>
        <v>-8.296208</v>
      </c>
      <c r="Q346" s="617">
        <f t="shared" si="57"/>
        <v>-0.1901362378161503</v>
      </c>
    </row>
    <row r="347" spans="4:17" ht="13.5" thickBot="1">
      <c r="D347" s="579" t="s">
        <v>601</v>
      </c>
      <c r="E347" s="577"/>
      <c r="F347" s="577"/>
      <c r="G347" s="577"/>
      <c r="H347" s="628">
        <v>0.13</v>
      </c>
      <c r="I347" s="629"/>
      <c r="J347" s="630">
        <f>J346*H347</f>
        <v>5.67228558</v>
      </c>
      <c r="K347" s="577"/>
      <c r="L347" s="628">
        <v>0.13</v>
      </c>
      <c r="M347" s="652"/>
      <c r="N347" s="630">
        <f>N346*L347</f>
        <v>4.59377854</v>
      </c>
      <c r="O347" s="577"/>
      <c r="P347" s="584">
        <f t="shared" si="56"/>
        <v>-1.0785070399999999</v>
      </c>
      <c r="Q347" s="585">
        <f t="shared" si="57"/>
        <v>-0.19013623781615027</v>
      </c>
    </row>
    <row r="348" spans="4:17" ht="13.5" thickBot="1">
      <c r="D348" s="609" t="s">
        <v>602</v>
      </c>
      <c r="E348" s="577"/>
      <c r="F348" s="577"/>
      <c r="G348" s="577"/>
      <c r="H348" s="610"/>
      <c r="I348" s="611"/>
      <c r="J348" s="612">
        <f>ROUND(SUM(J346:J347),2)</f>
        <v>49.31</v>
      </c>
      <c r="K348" s="613"/>
      <c r="L348" s="614"/>
      <c r="M348" s="651"/>
      <c r="N348" s="612">
        <f>ROUND(SUM(N346:N347),2)</f>
        <v>39.93</v>
      </c>
      <c r="O348" s="613"/>
      <c r="P348" s="616">
        <f t="shared" si="56"/>
        <v>-9.380000000000003</v>
      </c>
      <c r="Q348" s="617">
        <f t="shared" si="57"/>
        <v>-0.19022510646927604</v>
      </c>
    </row>
    <row r="350" spans="4:14" ht="12.75">
      <c r="D350" s="400" t="s">
        <v>605</v>
      </c>
      <c r="H350" s="634">
        <v>0.056499999999999995</v>
      </c>
      <c r="J350" s="635"/>
      <c r="L350" s="634">
        <v>0.034499999999999975</v>
      </c>
      <c r="N350" s="636"/>
    </row>
    <row r="351" spans="4:12" ht="12.75">
      <c r="D351" s="637" t="s">
        <v>606</v>
      </c>
      <c r="H351" s="638">
        <v>750</v>
      </c>
      <c r="L351" s="638">
        <f>H351</f>
        <v>750</v>
      </c>
    </row>
    <row r="352" ht="12.75">
      <c r="B352" s="400" t="s">
        <v>265</v>
      </c>
    </row>
    <row r="353" spans="2:17" ht="12.75">
      <c r="B353" s="1127"/>
      <c r="C353" s="1128"/>
      <c r="D353" s="1128"/>
      <c r="E353" s="1128"/>
      <c r="F353" s="1128"/>
      <c r="G353" s="1128"/>
      <c r="H353" s="1128"/>
      <c r="I353" s="1128"/>
      <c r="J353" s="1128"/>
      <c r="K353" s="1128"/>
      <c r="L353" s="1128"/>
      <c r="M353" s="1128"/>
      <c r="N353" s="1128"/>
      <c r="O353" s="1128"/>
      <c r="P353" s="1128"/>
      <c r="Q353" s="1129"/>
    </row>
    <row r="354" spans="2:17" ht="12.75">
      <c r="B354" s="1130"/>
      <c r="C354" s="1131"/>
      <c r="D354" s="1131"/>
      <c r="E354" s="1131"/>
      <c r="F354" s="1131"/>
      <c r="G354" s="1131"/>
      <c r="H354" s="1131"/>
      <c r="I354" s="1131"/>
      <c r="J354" s="1131"/>
      <c r="K354" s="1131"/>
      <c r="L354" s="1131"/>
      <c r="M354" s="1131"/>
      <c r="N354" s="1131"/>
      <c r="O354" s="1131"/>
      <c r="P354" s="1131"/>
      <c r="Q354" s="1132"/>
    </row>
    <row r="355" spans="2:17" ht="12.75">
      <c r="B355" s="1130"/>
      <c r="C355" s="1131"/>
      <c r="D355" s="1131"/>
      <c r="E355" s="1131"/>
      <c r="F355" s="1131"/>
      <c r="G355" s="1131"/>
      <c r="H355" s="1131"/>
      <c r="I355" s="1131"/>
      <c r="J355" s="1131"/>
      <c r="K355" s="1131"/>
      <c r="L355" s="1131"/>
      <c r="M355" s="1131"/>
      <c r="N355" s="1131"/>
      <c r="O355" s="1131"/>
      <c r="P355" s="1131"/>
      <c r="Q355" s="1132"/>
    </row>
    <row r="356" spans="2:17" ht="12.75">
      <c r="B356" s="1130"/>
      <c r="C356" s="1131"/>
      <c r="D356" s="1131"/>
      <c r="E356" s="1131"/>
      <c r="F356" s="1131"/>
      <c r="G356" s="1131"/>
      <c r="H356" s="1131"/>
      <c r="I356" s="1131"/>
      <c r="J356" s="1131"/>
      <c r="K356" s="1131"/>
      <c r="L356" s="1131"/>
      <c r="M356" s="1131"/>
      <c r="N356" s="1131"/>
      <c r="O356" s="1131"/>
      <c r="P356" s="1131"/>
      <c r="Q356" s="1132"/>
    </row>
    <row r="357" spans="2:17" ht="12.75">
      <c r="B357" s="1133"/>
      <c r="C357" s="1134"/>
      <c r="D357" s="1134"/>
      <c r="E357" s="1134"/>
      <c r="F357" s="1134"/>
      <c r="G357" s="1134"/>
      <c r="H357" s="1134"/>
      <c r="I357" s="1134"/>
      <c r="J357" s="1134"/>
      <c r="K357" s="1134"/>
      <c r="L357" s="1134"/>
      <c r="M357" s="1134"/>
      <c r="N357" s="1134"/>
      <c r="O357" s="1134"/>
      <c r="P357" s="1134"/>
      <c r="Q357" s="1135"/>
    </row>
  </sheetData>
  <sheetProtection selectLockedCells="1"/>
  <mergeCells count="56">
    <mergeCell ref="F8:Q8"/>
    <mergeCell ref="H12:J12"/>
    <mergeCell ref="L12:N12"/>
    <mergeCell ref="P12:Q12"/>
    <mergeCell ref="F13:F14"/>
    <mergeCell ref="P13:P14"/>
    <mergeCell ref="Q13:Q14"/>
    <mergeCell ref="B51:Q55"/>
    <mergeCell ref="F60:Q60"/>
    <mergeCell ref="H64:J64"/>
    <mergeCell ref="L64:N64"/>
    <mergeCell ref="P64:Q64"/>
    <mergeCell ref="F65:F66"/>
    <mergeCell ref="P65:P66"/>
    <mergeCell ref="Q65:Q66"/>
    <mergeCell ref="B103:Q107"/>
    <mergeCell ref="F112:Q112"/>
    <mergeCell ref="H116:J116"/>
    <mergeCell ref="L116:N116"/>
    <mergeCell ref="P116:Q116"/>
    <mergeCell ref="F117:F118"/>
    <mergeCell ref="P117:P118"/>
    <mergeCell ref="Q117:Q118"/>
    <mergeCell ref="B153:Q157"/>
    <mergeCell ref="F162:Q162"/>
    <mergeCell ref="H166:J166"/>
    <mergeCell ref="L166:N166"/>
    <mergeCell ref="P166:Q166"/>
    <mergeCell ref="F167:F168"/>
    <mergeCell ref="P167:P168"/>
    <mergeCell ref="Q167:Q168"/>
    <mergeCell ref="B203:Q207"/>
    <mergeCell ref="F212:Q212"/>
    <mergeCell ref="H216:J216"/>
    <mergeCell ref="L216:N216"/>
    <mergeCell ref="P216:Q216"/>
    <mergeCell ref="F217:F218"/>
    <mergeCell ref="P217:P218"/>
    <mergeCell ref="Q217:Q218"/>
    <mergeCell ref="B253:Q257"/>
    <mergeCell ref="P317:P318"/>
    <mergeCell ref="Q317:Q318"/>
    <mergeCell ref="F262:Q262"/>
    <mergeCell ref="H266:J266"/>
    <mergeCell ref="L266:N266"/>
    <mergeCell ref="P266:Q266"/>
    <mergeCell ref="F267:F268"/>
    <mergeCell ref="P267:P268"/>
    <mergeCell ref="Q267:Q268"/>
    <mergeCell ref="B353:Q357"/>
    <mergeCell ref="B303:Q307"/>
    <mergeCell ref="F312:Q312"/>
    <mergeCell ref="H316:J316"/>
    <mergeCell ref="L316:N316"/>
    <mergeCell ref="P316:Q316"/>
    <mergeCell ref="F317:F318"/>
  </mergeCells>
  <dataValidations count="2">
    <dataValidation type="list" allowBlank="1" showInputMessage="1" showErrorMessage="1" sqref="G15:G29 G338:G345 G288:G295 G319:G333 G285:G286 G238:G245 G269:G283 G235:G236 G86:G93 G219:G233 G185:G186 G188:G195 G169:G183 G83:G84 G335:G336 G67:G81 G31:G32 G34:G41 G135:G136 G138:G145 G119:G133">
      <formula1>$B$8:$B$13</formula1>
    </dataValidation>
    <dataValidation type="list" allowBlank="1" showInputMessage="1" showErrorMessage="1" sqref="F67:F81 F119:F133 F288:F295 F188:F195 F285:F286 F238:F245 F269:F283 F235:F236 F86:F93 F319:F333 F185:F186 F138:F145 F219:F233 F83:F84 F34:F41 F15:F29 F31:F32 F335:F336 F135:F136 F338:F345 F169:F183">
      <formula1>$B$8:$B$11</formula1>
    </dataValidation>
  </dataValidations>
  <printOptions/>
  <pageMargins left="0.75" right="0.75" top="1" bottom="1" header="0.5" footer="0.5"/>
  <pageSetup fitToHeight="1" fitToWidth="1" horizontalDpi="600" verticalDpi="600" orientation="portrait" scale="48" r:id="rId3"/>
  <headerFooter alignWithMargins="0">
    <oddFooter>&amp;C9</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84"/>
  <sheetViews>
    <sheetView view="pageBreakPreview" zoomScale="60" zoomScaleNormal="75" zoomScalePageLayoutView="0" workbookViewId="0" topLeftCell="A1">
      <pane xSplit="3" ySplit="11" topLeftCell="D14" activePane="bottomRight" state="frozen"/>
      <selection pane="topLeft" activeCell="E61" sqref="E61"/>
      <selection pane="topRight" activeCell="E61" sqref="E61"/>
      <selection pane="bottomLeft" activeCell="E61" sqref="E61"/>
      <selection pane="bottomRight" activeCell="W69" sqref="W69"/>
    </sheetView>
  </sheetViews>
  <sheetFormatPr defaultColWidth="9.140625" defaultRowHeight="15" outlineLevelRow="1" outlineLevelCol="1"/>
  <cols>
    <col min="1" max="1" width="9.28125" style="50" bestFit="1" customWidth="1"/>
    <col min="2" max="2" width="7.28125" style="51" customWidth="1"/>
    <col min="3" max="3" width="52.421875" style="52" bestFit="1" customWidth="1"/>
    <col min="4" max="4" width="18.421875" style="52" hidden="1" customWidth="1" outlineLevel="1"/>
    <col min="5" max="5" width="15.7109375" style="52" hidden="1" customWidth="1" outlineLevel="1"/>
    <col min="6" max="6" width="2.7109375" style="53" hidden="1" customWidth="1" outlineLevel="1"/>
    <col min="7" max="8" width="15.7109375" style="52" hidden="1" customWidth="1" outlineLevel="1"/>
    <col min="9" max="9" width="19.00390625" style="52" hidden="1" customWidth="1" outlineLevel="1"/>
    <col min="10" max="10" width="15.7109375" style="52" customWidth="1" collapsed="1"/>
    <col min="11" max="12" width="15.7109375" style="52" customWidth="1"/>
    <col min="13" max="14" width="17.7109375" style="52" bestFit="1" customWidth="1"/>
    <col min="15" max="15" width="18.421875" style="52" bestFit="1" customWidth="1"/>
    <col min="16" max="16384" width="9.140625" style="52" customWidth="1"/>
  </cols>
  <sheetData>
    <row r="1" spans="14:15" ht="15">
      <c r="N1" s="2" t="s">
        <v>10</v>
      </c>
      <c r="O1" s="3" t="s">
        <v>11</v>
      </c>
    </row>
    <row r="2" spans="2:15" ht="18">
      <c r="B2" s="919" t="s">
        <v>59</v>
      </c>
      <c r="C2" s="919"/>
      <c r="D2" s="919"/>
      <c r="E2" s="919"/>
      <c r="F2" s="919"/>
      <c r="G2" s="919"/>
      <c r="H2" s="919"/>
      <c r="N2" s="2" t="s">
        <v>12</v>
      </c>
      <c r="O2" s="3" t="s">
        <v>60</v>
      </c>
    </row>
    <row r="3" spans="2:15" ht="18">
      <c r="B3" s="919" t="s">
        <v>61</v>
      </c>
      <c r="C3" s="919"/>
      <c r="D3" s="919"/>
      <c r="E3" s="919"/>
      <c r="F3" s="919"/>
      <c r="G3" s="919"/>
      <c r="H3" s="919"/>
      <c r="N3" s="2" t="s">
        <v>14</v>
      </c>
      <c r="O3" s="54">
        <v>1</v>
      </c>
    </row>
    <row r="4" spans="14:15" ht="15">
      <c r="N4" s="2" t="s">
        <v>16</v>
      </c>
      <c r="O4" s="54">
        <v>3</v>
      </c>
    </row>
    <row r="5" spans="14:15" ht="15">
      <c r="N5" s="2" t="s">
        <v>18</v>
      </c>
      <c r="O5" s="3"/>
    </row>
    <row r="6" spans="14:15" ht="15">
      <c r="N6" s="2"/>
      <c r="O6" s="1"/>
    </row>
    <row r="7" spans="1:15" ht="30" customHeight="1">
      <c r="A7" s="55"/>
      <c r="B7" s="56"/>
      <c r="N7" s="2" t="s">
        <v>19</v>
      </c>
      <c r="O7" s="57">
        <v>41033</v>
      </c>
    </row>
    <row r="8" spans="1:15" s="59" customFormat="1" ht="37.5" customHeight="1">
      <c r="A8" s="58"/>
      <c r="I8" s="60" t="s">
        <v>62</v>
      </c>
      <c r="J8" s="61" t="s">
        <v>63</v>
      </c>
      <c r="K8" s="62"/>
      <c r="L8" s="62"/>
      <c r="M8" s="62"/>
      <c r="N8" s="62"/>
      <c r="O8" s="63"/>
    </row>
    <row r="9" ht="15.75" thickBot="1"/>
    <row r="10" spans="1:15" ht="40.5" customHeight="1" thickBot="1">
      <c r="A10" s="52"/>
      <c r="B10" s="64"/>
      <c r="C10" s="65" t="s">
        <v>61</v>
      </c>
      <c r="D10" s="66" t="s">
        <v>64</v>
      </c>
      <c r="E10" s="67" t="s">
        <v>64</v>
      </c>
      <c r="F10" s="68" t="s">
        <v>65</v>
      </c>
      <c r="G10" s="69" t="s">
        <v>66</v>
      </c>
      <c r="H10" s="66"/>
      <c r="I10" s="66"/>
      <c r="J10" s="66" t="s">
        <v>66</v>
      </c>
      <c r="K10" s="70"/>
      <c r="L10" s="70"/>
      <c r="M10" s="70"/>
      <c r="N10" s="71" t="s">
        <v>67</v>
      </c>
      <c r="O10" s="72" t="s">
        <v>68</v>
      </c>
    </row>
    <row r="11" spans="1:15" ht="44.25" customHeight="1">
      <c r="A11" s="52"/>
      <c r="B11" s="64"/>
      <c r="D11" s="73">
        <v>2008</v>
      </c>
      <c r="E11" s="73">
        <v>2009</v>
      </c>
      <c r="F11" s="74"/>
      <c r="G11" s="75">
        <v>2008</v>
      </c>
      <c r="H11" s="73">
        <v>2009</v>
      </c>
      <c r="I11" s="73">
        <v>2009</v>
      </c>
      <c r="J11" s="73">
        <v>2009</v>
      </c>
      <c r="K11" s="73">
        <v>2010</v>
      </c>
      <c r="L11" s="73">
        <v>2011</v>
      </c>
      <c r="M11" s="73" t="s">
        <v>69</v>
      </c>
      <c r="N11" s="73" t="s">
        <v>70</v>
      </c>
      <c r="O11" s="73" t="s">
        <v>71</v>
      </c>
    </row>
    <row r="12" spans="2:16" s="76" customFormat="1" ht="15" hidden="1" outlineLevel="1">
      <c r="B12" s="77"/>
      <c r="D12" s="78">
        <v>3</v>
      </c>
      <c r="E12" s="78">
        <v>3</v>
      </c>
      <c r="F12" s="79"/>
      <c r="G12" s="78">
        <v>11</v>
      </c>
      <c r="H12" s="78">
        <v>15</v>
      </c>
      <c r="I12" s="78">
        <v>11</v>
      </c>
      <c r="J12" s="78"/>
      <c r="K12" s="78">
        <v>15</v>
      </c>
      <c r="L12" s="78">
        <v>19</v>
      </c>
      <c r="M12" s="78">
        <v>23</v>
      </c>
      <c r="N12" s="78">
        <v>27</v>
      </c>
      <c r="O12" s="78">
        <v>31</v>
      </c>
      <c r="P12" s="80"/>
    </row>
    <row r="13" spans="2:16" s="76" customFormat="1" ht="15" hidden="1" outlineLevel="1">
      <c r="B13" s="77"/>
      <c r="D13" s="78">
        <f>D12</f>
        <v>3</v>
      </c>
      <c r="E13" s="78">
        <f>E12</f>
        <v>3</v>
      </c>
      <c r="F13" s="79"/>
      <c r="G13" s="78">
        <f>G12-2</f>
        <v>9</v>
      </c>
      <c r="H13" s="78">
        <f>H12-2</f>
        <v>13</v>
      </c>
      <c r="I13" s="78">
        <f>I12-2</f>
        <v>9</v>
      </c>
      <c r="J13" s="78"/>
      <c r="K13" s="78">
        <f>K12-2</f>
        <v>13</v>
      </c>
      <c r="L13" s="78">
        <f>L12-2</f>
        <v>17</v>
      </c>
      <c r="M13" s="78">
        <f>M12-2</f>
        <v>21</v>
      </c>
      <c r="N13" s="78">
        <f>N12-2</f>
        <v>25</v>
      </c>
      <c r="O13" s="78">
        <f>O12-2</f>
        <v>29</v>
      </c>
      <c r="P13" s="80"/>
    </row>
    <row r="14" spans="2:16" s="81" customFormat="1" ht="19.5" customHeight="1" collapsed="1">
      <c r="B14" s="82">
        <v>4235</v>
      </c>
      <c r="C14" s="83" t="s">
        <v>72</v>
      </c>
      <c r="D14" s="84">
        <v>951255</v>
      </c>
      <c r="E14" s="84">
        <v>2291675</v>
      </c>
      <c r="F14" s="85"/>
      <c r="G14" s="84">
        <v>-96671</v>
      </c>
      <c r="H14" s="84">
        <v>1480455.06</v>
      </c>
      <c r="I14" s="84">
        <v>2964931.59</v>
      </c>
      <c r="J14" s="84">
        <f>I14+H14</f>
        <v>4445386.65</v>
      </c>
      <c r="K14" s="84">
        <v>4162933.37</v>
      </c>
      <c r="L14" s="84">
        <v>3906958.88</v>
      </c>
      <c r="M14" s="84">
        <v>3908689.69</v>
      </c>
      <c r="N14" s="84">
        <v>3270000</v>
      </c>
      <c r="O14" s="84">
        <v>3385000</v>
      </c>
      <c r="P14" s="86"/>
    </row>
    <row r="15" spans="2:16" s="81" customFormat="1" ht="19.5" customHeight="1">
      <c r="B15" s="82">
        <v>4225</v>
      </c>
      <c r="C15" s="83" t="s">
        <v>73</v>
      </c>
      <c r="D15" s="84">
        <v>642288</v>
      </c>
      <c r="E15" s="84">
        <v>1834000</v>
      </c>
      <c r="F15" s="85"/>
      <c r="G15" s="84">
        <v>459175.75</v>
      </c>
      <c r="H15" s="84">
        <v>513938.98</v>
      </c>
      <c r="I15" s="84">
        <v>1780987.57</v>
      </c>
      <c r="J15" s="84">
        <f aca="true" t="shared" si="0" ref="J15:J49">I15+H15</f>
        <v>2294926.55</v>
      </c>
      <c r="K15" s="84">
        <v>2458214.94</v>
      </c>
      <c r="L15" s="84">
        <v>2187136.5100000002</v>
      </c>
      <c r="M15" s="84">
        <v>2187136.5100000002</v>
      </c>
      <c r="N15" s="84">
        <v>2400000</v>
      </c>
      <c r="O15" s="84">
        <v>2500000</v>
      </c>
      <c r="P15" s="86"/>
    </row>
    <row r="16" spans="2:16" s="81" customFormat="1" ht="19.5" customHeight="1">
      <c r="B16" s="87">
        <v>4078</v>
      </c>
      <c r="C16" s="88" t="s">
        <v>74</v>
      </c>
      <c r="D16" s="89">
        <v>0</v>
      </c>
      <c r="E16" s="89">
        <v>617700</v>
      </c>
      <c r="F16" s="85"/>
      <c r="G16" s="89">
        <v>169722.81</v>
      </c>
      <c r="H16" s="89">
        <v>140911</v>
      </c>
      <c r="I16" s="89">
        <v>698618.78</v>
      </c>
      <c r="J16" s="89">
        <f>I16+H16</f>
        <v>839529.78</v>
      </c>
      <c r="K16" s="89">
        <v>856269.37</v>
      </c>
      <c r="L16" s="89">
        <v>888956.26</v>
      </c>
      <c r="M16" s="89">
        <v>888956.26</v>
      </c>
      <c r="N16" s="90">
        <v>915600</v>
      </c>
      <c r="O16" s="90">
        <v>932399.9999999999</v>
      </c>
      <c r="P16" s="86"/>
    </row>
    <row r="17" spans="2:16" s="81" customFormat="1" ht="19.5" customHeight="1">
      <c r="B17" s="87">
        <v>4082</v>
      </c>
      <c r="C17" s="88" t="s">
        <v>75</v>
      </c>
      <c r="D17" s="89">
        <v>150821</v>
      </c>
      <c r="E17" s="89">
        <v>325700</v>
      </c>
      <c r="F17" s="85"/>
      <c r="G17" s="89">
        <v>123703</v>
      </c>
      <c r="H17" s="89">
        <v>103065.4</v>
      </c>
      <c r="I17" s="89">
        <v>309369.17</v>
      </c>
      <c r="J17" s="89">
        <f t="shared" si="0"/>
        <v>412434.56999999995</v>
      </c>
      <c r="K17" s="89">
        <v>371835.01</v>
      </c>
      <c r="L17" s="89">
        <v>327075.71</v>
      </c>
      <c r="M17" s="89">
        <v>327075.71</v>
      </c>
      <c r="N17" s="90">
        <v>392400</v>
      </c>
      <c r="O17" s="90">
        <v>399600</v>
      </c>
      <c r="P17" s="86"/>
    </row>
    <row r="18" spans="2:15" s="81" customFormat="1" ht="19.5" customHeight="1">
      <c r="B18" s="87">
        <v>4084</v>
      </c>
      <c r="C18" s="88" t="s">
        <v>76</v>
      </c>
      <c r="D18" s="89">
        <v>5037</v>
      </c>
      <c r="E18" s="89">
        <v>100</v>
      </c>
      <c r="F18" s="85"/>
      <c r="G18" s="89">
        <v>-814</v>
      </c>
      <c r="H18" s="89">
        <v>1805</v>
      </c>
      <c r="I18" s="89">
        <v>15</v>
      </c>
      <c r="J18" s="89">
        <f t="shared" si="0"/>
        <v>1820</v>
      </c>
      <c r="K18" s="89">
        <v>30</v>
      </c>
      <c r="L18" s="89">
        <v>15</v>
      </c>
      <c r="M18" s="89">
        <v>15</v>
      </c>
      <c r="N18" s="90">
        <v>0</v>
      </c>
      <c r="O18" s="90">
        <v>0</v>
      </c>
    </row>
    <row r="19" spans="2:15" s="81" customFormat="1" ht="19.5" customHeight="1">
      <c r="B19" s="87">
        <v>4090</v>
      </c>
      <c r="C19" s="88" t="s">
        <v>77</v>
      </c>
      <c r="D19" s="89">
        <v>166170</v>
      </c>
      <c r="E19" s="89">
        <v>0</v>
      </c>
      <c r="F19" s="85"/>
      <c r="G19" s="89">
        <v>0</v>
      </c>
      <c r="H19" s="89">
        <v>0</v>
      </c>
      <c r="I19" s="89">
        <v>0</v>
      </c>
      <c r="J19" s="89">
        <f t="shared" si="0"/>
        <v>0</v>
      </c>
      <c r="K19" s="89">
        <v>0</v>
      </c>
      <c r="L19" s="89">
        <v>0</v>
      </c>
      <c r="M19" s="89">
        <v>0</v>
      </c>
      <c r="N19" s="90">
        <v>0</v>
      </c>
      <c r="O19" s="90">
        <v>0</v>
      </c>
    </row>
    <row r="20" spans="2:15" s="81" customFormat="1" ht="19.5" customHeight="1">
      <c r="B20" s="87">
        <v>4205</v>
      </c>
      <c r="C20" s="88" t="s">
        <v>78</v>
      </c>
      <c r="D20" s="89">
        <v>0</v>
      </c>
      <c r="E20" s="89">
        <v>0</v>
      </c>
      <c r="F20" s="85"/>
      <c r="G20" s="89">
        <v>0</v>
      </c>
      <c r="H20" s="89">
        <v>0</v>
      </c>
      <c r="I20" s="89">
        <v>0</v>
      </c>
      <c r="J20" s="89">
        <f t="shared" si="0"/>
        <v>0</v>
      </c>
      <c r="K20" s="89">
        <v>0</v>
      </c>
      <c r="L20" s="89">
        <v>0</v>
      </c>
      <c r="M20" s="89">
        <v>0</v>
      </c>
      <c r="N20" s="90">
        <v>0</v>
      </c>
      <c r="O20" s="90">
        <v>0</v>
      </c>
    </row>
    <row r="21" spans="2:15" s="81" customFormat="1" ht="19.5" customHeight="1">
      <c r="B21" s="87">
        <v>4210</v>
      </c>
      <c r="C21" s="88" t="s">
        <v>79</v>
      </c>
      <c r="D21" s="89">
        <v>224703</v>
      </c>
      <c r="E21" s="89">
        <v>340999</v>
      </c>
      <c r="F21" s="85"/>
      <c r="G21" s="89">
        <v>245532</v>
      </c>
      <c r="H21" s="89">
        <v>232626.1</v>
      </c>
      <c r="I21" s="89">
        <v>445410.39</v>
      </c>
      <c r="J21" s="89">
        <f t="shared" si="0"/>
        <v>678036.49</v>
      </c>
      <c r="K21" s="89">
        <v>708903.25</v>
      </c>
      <c r="L21" s="89">
        <v>770366.4400000001</v>
      </c>
      <c r="M21" s="89">
        <v>770366.4400000001</v>
      </c>
      <c r="N21" s="90">
        <v>700000</v>
      </c>
      <c r="O21" s="90">
        <v>700000</v>
      </c>
    </row>
    <row r="22" spans="2:15" s="81" customFormat="1" ht="19.5" customHeight="1">
      <c r="B22" s="87">
        <v>4215</v>
      </c>
      <c r="C22" s="88" t="s">
        <v>80</v>
      </c>
      <c r="D22" s="89">
        <v>0</v>
      </c>
      <c r="E22" s="89">
        <v>0</v>
      </c>
      <c r="F22" s="85"/>
      <c r="G22" s="89">
        <v>0</v>
      </c>
      <c r="H22" s="89">
        <v>163.34</v>
      </c>
      <c r="I22" s="89">
        <v>0</v>
      </c>
      <c r="J22" s="89">
        <f t="shared" si="0"/>
        <v>163.34</v>
      </c>
      <c r="K22" s="89">
        <v>396.16</v>
      </c>
      <c r="L22" s="89">
        <v>0</v>
      </c>
      <c r="M22" s="89">
        <v>0</v>
      </c>
      <c r="N22" s="90">
        <v>0</v>
      </c>
      <c r="O22" s="90">
        <v>0</v>
      </c>
    </row>
    <row r="23" spans="2:15" s="81" customFormat="1" ht="19.5" customHeight="1">
      <c r="B23" s="87">
        <v>4220</v>
      </c>
      <c r="C23" s="88" t="s">
        <v>81</v>
      </c>
      <c r="D23" s="89">
        <v>7800</v>
      </c>
      <c r="E23" s="89">
        <v>0</v>
      </c>
      <c r="F23" s="85"/>
      <c r="G23" s="89">
        <v>7800</v>
      </c>
      <c r="H23" s="89">
        <v>0</v>
      </c>
      <c r="I23" s="89">
        <v>0</v>
      </c>
      <c r="J23" s="89">
        <f t="shared" si="0"/>
        <v>0</v>
      </c>
      <c r="K23" s="89">
        <v>0</v>
      </c>
      <c r="L23" s="89">
        <v>0</v>
      </c>
      <c r="M23" s="89">
        <v>0</v>
      </c>
      <c r="N23" s="90">
        <v>0</v>
      </c>
      <c r="O23" s="90">
        <v>0</v>
      </c>
    </row>
    <row r="24" spans="2:15" s="81" customFormat="1" ht="19.5" customHeight="1" hidden="1" outlineLevel="1">
      <c r="B24" s="91">
        <v>4230</v>
      </c>
      <c r="C24" s="92" t="s">
        <v>82</v>
      </c>
      <c r="D24" s="93">
        <v>0</v>
      </c>
      <c r="E24" s="93">
        <v>0</v>
      </c>
      <c r="F24" s="85"/>
      <c r="G24" s="93">
        <v>0</v>
      </c>
      <c r="H24" s="93">
        <v>0</v>
      </c>
      <c r="I24" s="93">
        <v>0</v>
      </c>
      <c r="J24" s="93">
        <f t="shared" si="0"/>
        <v>0</v>
      </c>
      <c r="K24" s="93">
        <v>0</v>
      </c>
      <c r="L24" s="93">
        <v>0</v>
      </c>
      <c r="M24" s="93">
        <v>0</v>
      </c>
      <c r="N24" s="93">
        <v>0</v>
      </c>
      <c r="O24" s="93">
        <v>0</v>
      </c>
    </row>
    <row r="25" spans="2:15" s="81" customFormat="1" ht="19.5" customHeight="1" hidden="1" outlineLevel="1">
      <c r="B25" s="87">
        <v>4240</v>
      </c>
      <c r="C25" s="88" t="s">
        <v>83</v>
      </c>
      <c r="D25" s="89">
        <v>0</v>
      </c>
      <c r="E25" s="89">
        <v>0</v>
      </c>
      <c r="F25" s="85"/>
      <c r="G25" s="89">
        <v>0</v>
      </c>
      <c r="H25" s="89">
        <v>0</v>
      </c>
      <c r="I25" s="89">
        <v>0</v>
      </c>
      <c r="J25" s="89">
        <f t="shared" si="0"/>
        <v>0</v>
      </c>
      <c r="K25" s="89">
        <v>0</v>
      </c>
      <c r="L25" s="89">
        <v>0</v>
      </c>
      <c r="M25" s="89">
        <v>0</v>
      </c>
      <c r="N25" s="90">
        <v>0</v>
      </c>
      <c r="O25" s="90">
        <v>0</v>
      </c>
    </row>
    <row r="26" spans="2:16" s="81" customFormat="1" ht="19.5" customHeight="1" hidden="1" outlineLevel="1">
      <c r="B26" s="94">
        <v>4245</v>
      </c>
      <c r="C26" s="95" t="s">
        <v>84</v>
      </c>
      <c r="D26" s="96">
        <v>0</v>
      </c>
      <c r="E26" s="96">
        <v>0</v>
      </c>
      <c r="F26" s="85"/>
      <c r="G26" s="96">
        <v>0</v>
      </c>
      <c r="H26" s="96">
        <v>0</v>
      </c>
      <c r="I26" s="96">
        <v>0</v>
      </c>
      <c r="J26" s="96">
        <f t="shared" si="0"/>
        <v>0</v>
      </c>
      <c r="K26" s="96">
        <v>0</v>
      </c>
      <c r="L26" s="96">
        <v>0</v>
      </c>
      <c r="M26" s="96">
        <v>0</v>
      </c>
      <c r="N26" s="96">
        <v>0</v>
      </c>
      <c r="O26" s="96">
        <v>0</v>
      </c>
      <c r="P26" s="86"/>
    </row>
    <row r="27" spans="2:15" s="81" customFormat="1" ht="19.5" customHeight="1" hidden="1" outlineLevel="1">
      <c r="B27" s="87">
        <v>4305</v>
      </c>
      <c r="C27" s="88" t="s">
        <v>85</v>
      </c>
      <c r="D27" s="89">
        <v>0</v>
      </c>
      <c r="E27" s="89">
        <v>0</v>
      </c>
      <c r="F27" s="85"/>
      <c r="G27" s="89">
        <v>0</v>
      </c>
      <c r="H27" s="89">
        <v>0</v>
      </c>
      <c r="I27" s="89">
        <v>0</v>
      </c>
      <c r="J27" s="89">
        <f t="shared" si="0"/>
        <v>0</v>
      </c>
      <c r="K27" s="89">
        <v>0</v>
      </c>
      <c r="L27" s="89">
        <v>0</v>
      </c>
      <c r="M27" s="89">
        <v>0</v>
      </c>
      <c r="N27" s="89">
        <v>0</v>
      </c>
      <c r="O27" s="89">
        <v>0</v>
      </c>
    </row>
    <row r="28" spans="2:15" s="81" customFormat="1" ht="19.5" customHeight="1" hidden="1" outlineLevel="1">
      <c r="B28" s="87">
        <v>4310</v>
      </c>
      <c r="C28" s="88" t="s">
        <v>86</v>
      </c>
      <c r="D28" s="89">
        <v>0</v>
      </c>
      <c r="E28" s="89">
        <v>0</v>
      </c>
      <c r="F28" s="85"/>
      <c r="G28" s="89">
        <v>0</v>
      </c>
      <c r="H28" s="89">
        <v>0</v>
      </c>
      <c r="I28" s="89">
        <v>0</v>
      </c>
      <c r="J28" s="89">
        <f t="shared" si="0"/>
        <v>0</v>
      </c>
      <c r="K28" s="89">
        <v>0</v>
      </c>
      <c r="L28" s="89">
        <v>0</v>
      </c>
      <c r="M28" s="89">
        <v>0</v>
      </c>
      <c r="N28" s="89">
        <v>0</v>
      </c>
      <c r="O28" s="89">
        <v>0</v>
      </c>
    </row>
    <row r="29" spans="2:15" s="81" customFormat="1" ht="19.5" customHeight="1" hidden="1" outlineLevel="1">
      <c r="B29" s="87">
        <v>4315</v>
      </c>
      <c r="C29" s="88" t="s">
        <v>87</v>
      </c>
      <c r="D29" s="89">
        <v>0</v>
      </c>
      <c r="E29" s="89">
        <v>0</v>
      </c>
      <c r="F29" s="85"/>
      <c r="G29" s="89">
        <v>0</v>
      </c>
      <c r="H29" s="89">
        <v>0</v>
      </c>
      <c r="I29" s="89">
        <v>0</v>
      </c>
      <c r="J29" s="89">
        <f t="shared" si="0"/>
        <v>0</v>
      </c>
      <c r="K29" s="89">
        <v>0</v>
      </c>
      <c r="L29" s="89">
        <v>0</v>
      </c>
      <c r="M29" s="89">
        <v>0</v>
      </c>
      <c r="N29" s="89">
        <v>0</v>
      </c>
      <c r="O29" s="89">
        <v>0</v>
      </c>
    </row>
    <row r="30" spans="2:15" s="81" customFormat="1" ht="19.5" customHeight="1" hidden="1" outlineLevel="1">
      <c r="B30" s="87">
        <v>4320</v>
      </c>
      <c r="C30" s="88" t="s">
        <v>88</v>
      </c>
      <c r="D30" s="89">
        <v>0</v>
      </c>
      <c r="E30" s="89">
        <v>0</v>
      </c>
      <c r="F30" s="85"/>
      <c r="G30" s="89">
        <v>0</v>
      </c>
      <c r="H30" s="89">
        <v>0</v>
      </c>
      <c r="I30" s="89">
        <v>0</v>
      </c>
      <c r="J30" s="89">
        <f t="shared" si="0"/>
        <v>0</v>
      </c>
      <c r="K30" s="89">
        <v>0</v>
      </c>
      <c r="L30" s="89">
        <v>0</v>
      </c>
      <c r="M30" s="89">
        <v>0</v>
      </c>
      <c r="N30" s="89">
        <v>0</v>
      </c>
      <c r="O30" s="89">
        <v>0</v>
      </c>
    </row>
    <row r="31" spans="2:15" s="81" customFormat="1" ht="19.5" customHeight="1" collapsed="1">
      <c r="B31" s="91">
        <v>4324</v>
      </c>
      <c r="C31" s="92" t="s">
        <v>89</v>
      </c>
      <c r="D31" s="93">
        <v>0</v>
      </c>
      <c r="E31" s="93">
        <v>0</v>
      </c>
      <c r="F31" s="85"/>
      <c r="G31" s="93">
        <v>0</v>
      </c>
      <c r="H31" s="93">
        <v>0</v>
      </c>
      <c r="I31" s="93">
        <v>0</v>
      </c>
      <c r="J31" s="93">
        <f>I31+H31</f>
        <v>0</v>
      </c>
      <c r="K31" s="93">
        <v>291411.27</v>
      </c>
      <c r="L31" s="93">
        <v>26.73</v>
      </c>
      <c r="M31" s="93">
        <v>26.73</v>
      </c>
      <c r="N31" s="93">
        <v>0</v>
      </c>
      <c r="O31" s="93">
        <v>0</v>
      </c>
    </row>
    <row r="32" spans="2:15" s="81" customFormat="1" ht="19.5" customHeight="1" hidden="1" outlineLevel="1">
      <c r="B32" s="87">
        <v>4325</v>
      </c>
      <c r="C32" s="88" t="s">
        <v>90</v>
      </c>
      <c r="D32" s="89">
        <v>0</v>
      </c>
      <c r="E32" s="89">
        <v>0</v>
      </c>
      <c r="F32" s="85"/>
      <c r="G32" s="89">
        <v>0</v>
      </c>
      <c r="H32" s="89">
        <v>0</v>
      </c>
      <c r="I32" s="89">
        <v>0</v>
      </c>
      <c r="J32" s="89">
        <f t="shared" si="0"/>
        <v>0</v>
      </c>
      <c r="K32" s="89">
        <v>0</v>
      </c>
      <c r="L32" s="89">
        <v>0</v>
      </c>
      <c r="M32" s="89">
        <v>0</v>
      </c>
      <c r="N32" s="89">
        <v>0</v>
      </c>
      <c r="O32" s="89">
        <v>0</v>
      </c>
    </row>
    <row r="33" spans="2:15" s="81" customFormat="1" ht="19.5" customHeight="1" hidden="1" outlineLevel="1">
      <c r="B33" s="87">
        <v>4330</v>
      </c>
      <c r="C33" s="88" t="s">
        <v>91</v>
      </c>
      <c r="D33" s="89">
        <v>0</v>
      </c>
      <c r="E33" s="89">
        <v>0</v>
      </c>
      <c r="F33" s="85"/>
      <c r="G33" s="89">
        <v>0</v>
      </c>
      <c r="H33" s="89">
        <v>0</v>
      </c>
      <c r="I33" s="89">
        <v>0</v>
      </c>
      <c r="J33" s="89">
        <f t="shared" si="0"/>
        <v>0</v>
      </c>
      <c r="K33" s="89">
        <v>0</v>
      </c>
      <c r="L33" s="89">
        <v>0</v>
      </c>
      <c r="M33" s="89">
        <v>0</v>
      </c>
      <c r="N33" s="89">
        <v>0</v>
      </c>
      <c r="O33" s="89">
        <v>0</v>
      </c>
    </row>
    <row r="34" spans="2:15" s="81" customFormat="1" ht="19.5" customHeight="1" hidden="1" outlineLevel="1">
      <c r="B34" s="87">
        <v>4335</v>
      </c>
      <c r="C34" s="88" t="s">
        <v>92</v>
      </c>
      <c r="D34" s="89">
        <v>0</v>
      </c>
      <c r="E34" s="89">
        <v>0</v>
      </c>
      <c r="F34" s="85"/>
      <c r="G34" s="89">
        <v>0</v>
      </c>
      <c r="H34" s="89">
        <v>0</v>
      </c>
      <c r="I34" s="89">
        <v>0</v>
      </c>
      <c r="J34" s="89">
        <f t="shared" si="0"/>
        <v>0</v>
      </c>
      <c r="K34" s="89">
        <v>0</v>
      </c>
      <c r="L34" s="89">
        <v>0</v>
      </c>
      <c r="M34" s="89">
        <v>0</v>
      </c>
      <c r="N34" s="89">
        <v>0</v>
      </c>
      <c r="O34" s="89">
        <v>0</v>
      </c>
    </row>
    <row r="35" spans="2:15" s="81" customFormat="1" ht="19.5" customHeight="1" hidden="1" outlineLevel="1">
      <c r="B35" s="87">
        <v>4340</v>
      </c>
      <c r="C35" s="88" t="s">
        <v>93</v>
      </c>
      <c r="D35" s="89">
        <v>0</v>
      </c>
      <c r="E35" s="89">
        <v>0</v>
      </c>
      <c r="F35" s="85"/>
      <c r="G35" s="89">
        <v>0</v>
      </c>
      <c r="H35" s="89">
        <v>0</v>
      </c>
      <c r="I35" s="89">
        <v>0</v>
      </c>
      <c r="J35" s="89">
        <f t="shared" si="0"/>
        <v>0</v>
      </c>
      <c r="K35" s="89">
        <v>0</v>
      </c>
      <c r="L35" s="89">
        <v>0</v>
      </c>
      <c r="M35" s="89">
        <v>0</v>
      </c>
      <c r="N35" s="89">
        <v>0</v>
      </c>
      <c r="O35" s="89">
        <v>0</v>
      </c>
    </row>
    <row r="36" spans="2:15" s="81" customFormat="1" ht="19.5" customHeight="1" hidden="1" outlineLevel="1">
      <c r="B36" s="87">
        <v>4345</v>
      </c>
      <c r="C36" s="97" t="s">
        <v>94</v>
      </c>
      <c r="D36" s="89">
        <v>0</v>
      </c>
      <c r="E36" s="89">
        <v>0</v>
      </c>
      <c r="F36" s="85"/>
      <c r="G36" s="89">
        <v>0</v>
      </c>
      <c r="H36" s="89">
        <v>0</v>
      </c>
      <c r="I36" s="89">
        <v>0</v>
      </c>
      <c r="J36" s="89">
        <f t="shared" si="0"/>
        <v>0</v>
      </c>
      <c r="K36" s="89">
        <v>0</v>
      </c>
      <c r="L36" s="89">
        <v>0</v>
      </c>
      <c r="M36" s="89">
        <v>0</v>
      </c>
      <c r="N36" s="89">
        <v>0</v>
      </c>
      <c r="O36" s="89">
        <v>0</v>
      </c>
    </row>
    <row r="37" spans="2:15" s="81" customFormat="1" ht="19.5" customHeight="1" hidden="1" outlineLevel="1">
      <c r="B37" s="98">
        <v>4350</v>
      </c>
      <c r="C37" s="97" t="s">
        <v>95</v>
      </c>
      <c r="D37" s="89">
        <v>0</v>
      </c>
      <c r="E37" s="89">
        <v>0</v>
      </c>
      <c r="F37" s="85"/>
      <c r="G37" s="89">
        <v>0</v>
      </c>
      <c r="H37" s="89">
        <v>0</v>
      </c>
      <c r="I37" s="89">
        <v>0</v>
      </c>
      <c r="J37" s="89">
        <f t="shared" si="0"/>
        <v>0</v>
      </c>
      <c r="K37" s="89">
        <v>0</v>
      </c>
      <c r="L37" s="89">
        <v>0</v>
      </c>
      <c r="M37" s="89">
        <v>0</v>
      </c>
      <c r="N37" s="89">
        <v>0</v>
      </c>
      <c r="O37" s="89">
        <v>0</v>
      </c>
    </row>
    <row r="38" spans="2:15" s="81" customFormat="1" ht="19.5" customHeight="1" collapsed="1">
      <c r="B38" s="87">
        <v>4355</v>
      </c>
      <c r="C38" s="97" t="s">
        <v>96</v>
      </c>
      <c r="D38" s="89">
        <v>0</v>
      </c>
      <c r="E38" s="89">
        <v>0</v>
      </c>
      <c r="F38" s="85"/>
      <c r="G38" s="89">
        <v>26959</v>
      </c>
      <c r="H38" s="89">
        <v>50525</v>
      </c>
      <c r="I38" s="89">
        <v>167755.13</v>
      </c>
      <c r="J38" s="89">
        <f t="shared" si="0"/>
        <v>218280.13</v>
      </c>
      <c r="K38" s="89">
        <v>-532504.97</v>
      </c>
      <c r="L38" s="89">
        <v>255701.09</v>
      </c>
      <c r="M38" s="89">
        <v>249605.37000000002</v>
      </c>
      <c r="N38" s="89">
        <v>0</v>
      </c>
      <c r="O38" s="89">
        <v>0</v>
      </c>
    </row>
    <row r="39" spans="2:15" s="81" customFormat="1" ht="19.5" customHeight="1">
      <c r="B39" s="87">
        <v>4360</v>
      </c>
      <c r="C39" s="97" t="s">
        <v>97</v>
      </c>
      <c r="D39" s="89">
        <v>0</v>
      </c>
      <c r="E39" s="89">
        <v>0</v>
      </c>
      <c r="F39" s="85"/>
      <c r="G39" s="89">
        <v>0</v>
      </c>
      <c r="H39" s="89">
        <v>0</v>
      </c>
      <c r="I39" s="89">
        <v>0</v>
      </c>
      <c r="J39" s="89">
        <f t="shared" si="0"/>
        <v>0</v>
      </c>
      <c r="K39" s="89">
        <v>0</v>
      </c>
      <c r="L39" s="89">
        <v>0</v>
      </c>
      <c r="M39" s="89">
        <v>0</v>
      </c>
      <c r="N39" s="89">
        <v>0</v>
      </c>
      <c r="O39" s="89">
        <v>0</v>
      </c>
    </row>
    <row r="40" spans="2:15" s="81" customFormat="1" ht="19.5" customHeight="1" hidden="1" outlineLevel="1">
      <c r="B40" s="87">
        <v>4365</v>
      </c>
      <c r="C40" s="97" t="s">
        <v>98</v>
      </c>
      <c r="D40" s="89">
        <v>0</v>
      </c>
      <c r="E40" s="89">
        <v>0</v>
      </c>
      <c r="F40" s="85"/>
      <c r="G40" s="89">
        <v>0</v>
      </c>
      <c r="H40" s="89">
        <v>0</v>
      </c>
      <c r="I40" s="89">
        <v>0</v>
      </c>
      <c r="J40" s="89">
        <f t="shared" si="0"/>
        <v>0</v>
      </c>
      <c r="K40" s="89">
        <v>0</v>
      </c>
      <c r="L40" s="89">
        <v>0</v>
      </c>
      <c r="M40" s="89">
        <v>0</v>
      </c>
      <c r="N40" s="89">
        <v>0</v>
      </c>
      <c r="O40" s="89">
        <v>0</v>
      </c>
    </row>
    <row r="41" spans="2:15" s="81" customFormat="1" ht="19.5" customHeight="1" hidden="1" outlineLevel="1">
      <c r="B41" s="87">
        <v>4370</v>
      </c>
      <c r="C41" s="97" t="s">
        <v>99</v>
      </c>
      <c r="D41" s="89">
        <v>0</v>
      </c>
      <c r="E41" s="89">
        <v>0</v>
      </c>
      <c r="F41" s="85"/>
      <c r="G41" s="89">
        <v>0</v>
      </c>
      <c r="H41" s="89">
        <v>0</v>
      </c>
      <c r="I41" s="89">
        <v>0</v>
      </c>
      <c r="J41" s="89">
        <f t="shared" si="0"/>
        <v>0</v>
      </c>
      <c r="K41" s="89">
        <v>0</v>
      </c>
      <c r="L41" s="89">
        <v>0</v>
      </c>
      <c r="M41" s="89">
        <v>0</v>
      </c>
      <c r="N41" s="89">
        <v>0</v>
      </c>
      <c r="O41" s="89">
        <v>0</v>
      </c>
    </row>
    <row r="42" spans="2:15" s="81" customFormat="1" ht="19.5" customHeight="1" collapsed="1">
      <c r="B42" s="91">
        <v>4375</v>
      </c>
      <c r="C42" s="92" t="s">
        <v>100</v>
      </c>
      <c r="D42" s="93">
        <v>1590426</v>
      </c>
      <c r="E42" s="93">
        <v>3147885</v>
      </c>
      <c r="F42" s="85"/>
      <c r="G42" s="93">
        <v>1535894</v>
      </c>
      <c r="H42" s="93">
        <v>0</v>
      </c>
      <c r="I42" s="93">
        <v>19165456.48</v>
      </c>
      <c r="J42" s="93">
        <f t="shared" si="0"/>
        <v>19165456.48</v>
      </c>
      <c r="K42" s="93">
        <v>12993099.89</v>
      </c>
      <c r="L42" s="93">
        <v>15787841.07</v>
      </c>
      <c r="M42" s="93">
        <v>15787841.07</v>
      </c>
      <c r="N42" s="93">
        <v>23213000</v>
      </c>
      <c r="O42" s="93">
        <v>32211000</v>
      </c>
    </row>
    <row r="43" spans="2:15" s="81" customFormat="1" ht="19.5" customHeight="1">
      <c r="B43" s="91">
        <v>4380</v>
      </c>
      <c r="C43" s="92" t="s">
        <v>101</v>
      </c>
      <c r="D43" s="93">
        <v>-1590426</v>
      </c>
      <c r="E43" s="93">
        <v>-2841260</v>
      </c>
      <c r="F43" s="85"/>
      <c r="G43" s="93">
        <v>-1535894</v>
      </c>
      <c r="H43" s="93">
        <v>0</v>
      </c>
      <c r="I43" s="93">
        <v>-17506264.98</v>
      </c>
      <c r="J43" s="93">
        <f t="shared" si="0"/>
        <v>-17506264.98</v>
      </c>
      <c r="K43" s="93">
        <v>-11437064.17</v>
      </c>
      <c r="L43" s="93">
        <v>-13700788.31</v>
      </c>
      <c r="M43" s="93">
        <v>-13148290.369999995</v>
      </c>
      <c r="N43" s="93">
        <v>-19600000</v>
      </c>
      <c r="O43" s="93">
        <v>-28500000</v>
      </c>
    </row>
    <row r="44" spans="2:15" s="81" customFormat="1" ht="19.5" customHeight="1">
      <c r="B44" s="91">
        <v>4385</v>
      </c>
      <c r="C44" s="92" t="s">
        <v>102</v>
      </c>
      <c r="D44" s="93">
        <v>0</v>
      </c>
      <c r="E44" s="93">
        <v>0</v>
      </c>
      <c r="F44" s="85"/>
      <c r="G44" s="93">
        <v>0</v>
      </c>
      <c r="H44" s="93">
        <v>38.72</v>
      </c>
      <c r="I44" s="93">
        <v>6377.93</v>
      </c>
      <c r="J44" s="93">
        <f t="shared" si="0"/>
        <v>6416.650000000001</v>
      </c>
      <c r="K44" s="93">
        <v>6315.89</v>
      </c>
      <c r="L44" s="93">
        <v>8119.570000000001</v>
      </c>
      <c r="M44" s="93">
        <v>8119.57</v>
      </c>
      <c r="N44" s="93">
        <v>0</v>
      </c>
      <c r="O44" s="93">
        <v>0</v>
      </c>
    </row>
    <row r="45" spans="2:15" s="81" customFormat="1" ht="19.5" customHeight="1">
      <c r="B45" s="87">
        <v>4390</v>
      </c>
      <c r="C45" s="97" t="s">
        <v>103</v>
      </c>
      <c r="D45" s="89">
        <v>233000</v>
      </c>
      <c r="E45" s="89">
        <v>322873</v>
      </c>
      <c r="F45" s="85"/>
      <c r="G45" s="89">
        <v>126408</v>
      </c>
      <c r="H45" s="89">
        <v>57690.21</v>
      </c>
      <c r="I45" s="89">
        <v>523374.02</v>
      </c>
      <c r="J45" s="89">
        <f t="shared" si="0"/>
        <v>581064.23</v>
      </c>
      <c r="K45" s="89">
        <v>576973.55</v>
      </c>
      <c r="L45" s="89">
        <v>685959.7000000001</v>
      </c>
      <c r="M45" s="89">
        <v>1414260.62</v>
      </c>
      <c r="N45" s="89">
        <v>1020000</v>
      </c>
      <c r="O45" s="89">
        <v>1020000</v>
      </c>
    </row>
    <row r="46" spans="2:15" s="81" customFormat="1" ht="19.5" customHeight="1" hidden="1" outlineLevel="1">
      <c r="B46" s="87">
        <v>4395</v>
      </c>
      <c r="C46" s="97" t="s">
        <v>104</v>
      </c>
      <c r="D46" s="89">
        <v>0</v>
      </c>
      <c r="E46" s="89">
        <v>0</v>
      </c>
      <c r="F46" s="85"/>
      <c r="G46" s="89">
        <v>0</v>
      </c>
      <c r="H46" s="89">
        <v>0</v>
      </c>
      <c r="I46" s="89">
        <v>0</v>
      </c>
      <c r="J46" s="89">
        <f t="shared" si="0"/>
        <v>0</v>
      </c>
      <c r="K46" s="89">
        <v>0</v>
      </c>
      <c r="L46" s="89">
        <v>0</v>
      </c>
      <c r="M46" s="89">
        <v>0</v>
      </c>
      <c r="N46" s="89">
        <v>0</v>
      </c>
      <c r="O46" s="89">
        <v>0</v>
      </c>
    </row>
    <row r="47" spans="2:15" s="81" customFormat="1" ht="19.5" customHeight="1" hidden="1" outlineLevel="1">
      <c r="B47" s="98">
        <v>4398</v>
      </c>
      <c r="C47" s="97" t="s">
        <v>105</v>
      </c>
      <c r="D47" s="89">
        <v>0</v>
      </c>
      <c r="E47" s="89">
        <v>0</v>
      </c>
      <c r="F47" s="85"/>
      <c r="G47" s="89">
        <v>0</v>
      </c>
      <c r="H47" s="89">
        <v>0</v>
      </c>
      <c r="I47" s="89">
        <v>0</v>
      </c>
      <c r="J47" s="89">
        <f t="shared" si="0"/>
        <v>0</v>
      </c>
      <c r="K47" s="89">
        <v>0</v>
      </c>
      <c r="L47" s="89">
        <v>0</v>
      </c>
      <c r="M47" s="89">
        <v>0</v>
      </c>
      <c r="N47" s="89">
        <v>0</v>
      </c>
      <c r="O47" s="89">
        <v>0</v>
      </c>
    </row>
    <row r="48" spans="2:15" s="81" customFormat="1" ht="19.5" customHeight="1" collapsed="1">
      <c r="B48" s="98">
        <v>4405</v>
      </c>
      <c r="C48" s="97" t="s">
        <v>106</v>
      </c>
      <c r="D48" s="89">
        <v>175000</v>
      </c>
      <c r="E48" s="89">
        <v>835000</v>
      </c>
      <c r="F48" s="85"/>
      <c r="G48" s="89">
        <v>173896</v>
      </c>
      <c r="H48" s="89">
        <v>133727.8</v>
      </c>
      <c r="I48" s="89">
        <v>449922.51</v>
      </c>
      <c r="J48" s="89">
        <f t="shared" si="0"/>
        <v>583650.31</v>
      </c>
      <c r="K48" s="89">
        <v>341915.03</v>
      </c>
      <c r="L48" s="89">
        <v>144972.87</v>
      </c>
      <c r="M48" s="89">
        <v>144972.87</v>
      </c>
      <c r="N48" s="89">
        <v>100800</v>
      </c>
      <c r="O48" s="89">
        <v>125000</v>
      </c>
    </row>
    <row r="49" spans="2:15" s="81" customFormat="1" ht="19.5" customHeight="1" hidden="1" outlineLevel="1">
      <c r="B49" s="98">
        <v>4415</v>
      </c>
      <c r="C49" s="97" t="s">
        <v>107</v>
      </c>
      <c r="D49" s="89">
        <v>0</v>
      </c>
      <c r="E49" s="89">
        <v>0</v>
      </c>
      <c r="F49" s="85"/>
      <c r="G49" s="89">
        <v>0</v>
      </c>
      <c r="H49" s="89">
        <v>0</v>
      </c>
      <c r="I49" s="89">
        <v>0</v>
      </c>
      <c r="J49" s="89">
        <f t="shared" si="0"/>
        <v>0</v>
      </c>
      <c r="K49" s="89">
        <v>0</v>
      </c>
      <c r="L49" s="89">
        <v>0</v>
      </c>
      <c r="M49" s="89">
        <v>0</v>
      </c>
      <c r="N49" s="89">
        <v>0</v>
      </c>
      <c r="O49" s="89">
        <v>0</v>
      </c>
    </row>
    <row r="50" spans="1:15" ht="15" collapsed="1">
      <c r="A50" s="52"/>
      <c r="B50" s="99"/>
      <c r="C50" s="100"/>
      <c r="D50" s="101"/>
      <c r="E50" s="101"/>
      <c r="F50" s="85"/>
      <c r="G50" s="101"/>
      <c r="H50" s="101"/>
      <c r="I50" s="101"/>
      <c r="J50" s="101"/>
      <c r="K50" s="101"/>
      <c r="L50" s="101"/>
      <c r="M50" s="101"/>
      <c r="N50" s="101"/>
      <c r="O50" s="101"/>
    </row>
    <row r="51" spans="1:16" ht="19.5" customHeight="1" hidden="1" outlineLevel="1">
      <c r="A51" s="52"/>
      <c r="B51" s="102" t="s">
        <v>108</v>
      </c>
      <c r="D51" s="103">
        <f>D14</f>
        <v>951255</v>
      </c>
      <c r="E51" s="103">
        <f>E14</f>
        <v>2291675</v>
      </c>
      <c r="F51" s="104"/>
      <c r="G51" s="103">
        <f aca="true" t="shared" si="1" ref="G51:O52">G14</f>
        <v>-96671</v>
      </c>
      <c r="H51" s="103">
        <f t="shared" si="1"/>
        <v>1480455.06</v>
      </c>
      <c r="I51" s="103">
        <f t="shared" si="1"/>
        <v>2964931.59</v>
      </c>
      <c r="J51" s="103">
        <f t="shared" si="1"/>
        <v>4445386.65</v>
      </c>
      <c r="K51" s="103">
        <f t="shared" si="1"/>
        <v>4162933.37</v>
      </c>
      <c r="L51" s="89">
        <f>L14</f>
        <v>3906958.88</v>
      </c>
      <c r="M51" s="89">
        <f>M14</f>
        <v>3908689.69</v>
      </c>
      <c r="N51" s="103">
        <f t="shared" si="1"/>
        <v>3270000</v>
      </c>
      <c r="O51" s="103">
        <f t="shared" si="1"/>
        <v>3385000</v>
      </c>
      <c r="P51" s="105"/>
    </row>
    <row r="52" spans="1:16" ht="19.5" customHeight="1" hidden="1" outlineLevel="1">
      <c r="A52" s="52"/>
      <c r="B52" s="102" t="s">
        <v>109</v>
      </c>
      <c r="D52" s="103">
        <f>D15</f>
        <v>642288</v>
      </c>
      <c r="E52" s="103">
        <f>E15</f>
        <v>1834000</v>
      </c>
      <c r="F52" s="104"/>
      <c r="G52" s="103">
        <f t="shared" si="1"/>
        <v>459175.75</v>
      </c>
      <c r="H52" s="103">
        <f t="shared" si="1"/>
        <v>513938.98</v>
      </c>
      <c r="I52" s="103">
        <f t="shared" si="1"/>
        <v>1780987.57</v>
      </c>
      <c r="J52" s="103">
        <f t="shared" si="1"/>
        <v>2294926.55</v>
      </c>
      <c r="K52" s="103">
        <f t="shared" si="1"/>
        <v>2458214.94</v>
      </c>
      <c r="L52" s="89">
        <f>L15</f>
        <v>2187136.5100000002</v>
      </c>
      <c r="M52" s="89">
        <f>M15</f>
        <v>2187136.5100000002</v>
      </c>
      <c r="N52" s="103">
        <f t="shared" si="1"/>
        <v>2400000</v>
      </c>
      <c r="O52" s="103">
        <f t="shared" si="1"/>
        <v>2500000</v>
      </c>
      <c r="P52" s="105"/>
    </row>
    <row r="53" spans="1:16" ht="19.5" customHeight="1" hidden="1" outlineLevel="1">
      <c r="A53" s="52"/>
      <c r="B53" s="102" t="s">
        <v>110</v>
      </c>
      <c r="D53" s="103">
        <f>SUM(D16:D26)</f>
        <v>554531</v>
      </c>
      <c r="E53" s="103">
        <f aca="true" t="shared" si="2" ref="E53:O53">SUM(E16:E26)</f>
        <v>1284499</v>
      </c>
      <c r="F53" s="104"/>
      <c r="G53" s="103">
        <f t="shared" si="2"/>
        <v>545943.81</v>
      </c>
      <c r="H53" s="103">
        <f t="shared" si="2"/>
        <v>478570.84</v>
      </c>
      <c r="I53" s="103">
        <f t="shared" si="2"/>
        <v>1453413.3399999999</v>
      </c>
      <c r="J53" s="103">
        <f t="shared" si="2"/>
        <v>1931984.1800000002</v>
      </c>
      <c r="K53" s="103">
        <f t="shared" si="2"/>
        <v>1937433.7899999998</v>
      </c>
      <c r="L53" s="89">
        <f>SUM(L16:L26)</f>
        <v>1986413.4100000001</v>
      </c>
      <c r="M53" s="89">
        <f>SUM(M16:M26)</f>
        <v>1986413.4100000001</v>
      </c>
      <c r="N53" s="103">
        <f t="shared" si="2"/>
        <v>2008000</v>
      </c>
      <c r="O53" s="103">
        <f t="shared" si="2"/>
        <v>2032000</v>
      </c>
      <c r="P53" s="105"/>
    </row>
    <row r="54" spans="1:15" ht="19.5" customHeight="1" hidden="1" outlineLevel="1">
      <c r="A54" s="52"/>
      <c r="B54" s="102" t="s">
        <v>111</v>
      </c>
      <c r="D54" s="103">
        <f>SUM(D27:D49)</f>
        <v>408000</v>
      </c>
      <c r="E54" s="103">
        <f>SUM(E27:E49)</f>
        <v>1464498</v>
      </c>
      <c r="F54" s="104"/>
      <c r="G54" s="103">
        <f aca="true" t="shared" si="3" ref="G54:O54">SUM(G27:G49)</f>
        <v>327263</v>
      </c>
      <c r="H54" s="103">
        <f t="shared" si="3"/>
        <v>241981.72999999998</v>
      </c>
      <c r="I54" s="103">
        <f t="shared" si="3"/>
        <v>2806621.089999999</v>
      </c>
      <c r="J54" s="103">
        <f t="shared" si="3"/>
        <v>3048602.819999999</v>
      </c>
      <c r="K54" s="103">
        <f t="shared" si="3"/>
        <v>2240146.490000001</v>
      </c>
      <c r="L54" s="89">
        <f>SUM(L27:L49)</f>
        <v>3181832.72</v>
      </c>
      <c r="M54" s="89">
        <f>SUM(M27:M49)</f>
        <v>4456535.860000004</v>
      </c>
      <c r="N54" s="103">
        <f t="shared" si="3"/>
        <v>4733800</v>
      </c>
      <c r="O54" s="103">
        <f t="shared" si="3"/>
        <v>4856000</v>
      </c>
    </row>
    <row r="55" spans="2:15" ht="19.5" customHeight="1" hidden="1" outlineLevel="1">
      <c r="B55" s="106" t="s">
        <v>112</v>
      </c>
      <c r="C55" s="107"/>
      <c r="D55" s="108">
        <f>SUM(D51:D54)</f>
        <v>2556074</v>
      </c>
      <c r="E55" s="109">
        <f aca="true" t="shared" si="4" ref="E55:O55">SUM(E51:E54)</f>
        <v>6874672</v>
      </c>
      <c r="F55" s="110"/>
      <c r="G55" s="108">
        <f t="shared" si="4"/>
        <v>1235711.56</v>
      </c>
      <c r="H55" s="108">
        <f t="shared" si="4"/>
        <v>2714946.61</v>
      </c>
      <c r="I55" s="109">
        <f t="shared" si="4"/>
        <v>9005953.59</v>
      </c>
      <c r="J55" s="108">
        <f t="shared" si="4"/>
        <v>11720900.2</v>
      </c>
      <c r="K55" s="108">
        <f t="shared" si="4"/>
        <v>10798728.59</v>
      </c>
      <c r="L55" s="108">
        <f t="shared" si="4"/>
        <v>11262341.520000001</v>
      </c>
      <c r="M55" s="108">
        <f t="shared" si="4"/>
        <v>12538775.470000004</v>
      </c>
      <c r="N55" s="108">
        <f t="shared" si="4"/>
        <v>12411800</v>
      </c>
      <c r="O55" s="108">
        <f t="shared" si="4"/>
        <v>12773000</v>
      </c>
    </row>
    <row r="56" ht="8.25" customHeight="1" collapsed="1">
      <c r="F56" s="111"/>
    </row>
    <row r="57" spans="2:6" ht="19.5" customHeight="1" hidden="1" outlineLevel="1">
      <c r="B57" s="112" t="s">
        <v>113</v>
      </c>
      <c r="F57" s="111"/>
    </row>
    <row r="58" spans="2:15" ht="19.5" customHeight="1" hidden="1" outlineLevel="1">
      <c r="B58" s="113" t="s">
        <v>108</v>
      </c>
      <c r="C58" s="105"/>
      <c r="D58" s="114">
        <v>951254.999</v>
      </c>
      <c r="E58" s="114">
        <v>2291675</v>
      </c>
      <c r="F58" s="115"/>
      <c r="G58" s="114">
        <v>-96671</v>
      </c>
      <c r="H58" s="114">
        <v>1480455.06</v>
      </c>
      <c r="I58" s="114">
        <v>2964931.59</v>
      </c>
      <c r="J58" s="114">
        <v>4445386.65</v>
      </c>
      <c r="K58" s="114">
        <v>4162933.37</v>
      </c>
      <c r="L58" s="114">
        <v>3906958.88</v>
      </c>
      <c r="M58" s="114">
        <v>3908689.69</v>
      </c>
      <c r="N58" s="114">
        <v>3270000</v>
      </c>
      <c r="O58" s="114">
        <v>3385000</v>
      </c>
    </row>
    <row r="59" spans="2:15" ht="15" hidden="1" outlineLevel="1">
      <c r="B59" s="113" t="s">
        <v>109</v>
      </c>
      <c r="C59" s="105"/>
      <c r="D59" s="114">
        <v>642287.999</v>
      </c>
      <c r="E59" s="114">
        <v>1834000</v>
      </c>
      <c r="F59" s="115"/>
      <c r="G59" s="114">
        <v>459175.75</v>
      </c>
      <c r="H59" s="114">
        <v>513938.98</v>
      </c>
      <c r="I59" s="114">
        <v>1780987.57</v>
      </c>
      <c r="J59" s="114">
        <v>2294926.55</v>
      </c>
      <c r="K59" s="114">
        <v>2458214.94</v>
      </c>
      <c r="L59" s="114">
        <v>2187136.5100000002</v>
      </c>
      <c r="M59" s="114">
        <v>2187136.5100000002</v>
      </c>
      <c r="N59" s="114">
        <v>2400000</v>
      </c>
      <c r="O59" s="114">
        <v>2500000</v>
      </c>
    </row>
    <row r="60" spans="2:15" ht="15" hidden="1" outlineLevel="1">
      <c r="B60" s="113" t="s">
        <v>110</v>
      </c>
      <c r="C60" s="105"/>
      <c r="D60" s="114">
        <v>554530.999</v>
      </c>
      <c r="E60" s="114">
        <v>1284499</v>
      </c>
      <c r="F60" s="115"/>
      <c r="G60" s="114">
        <v>545943.81</v>
      </c>
      <c r="H60" s="114">
        <v>478570.84</v>
      </c>
      <c r="I60" s="114">
        <v>1453413.3399999999</v>
      </c>
      <c r="J60" s="114">
        <v>1931984.18</v>
      </c>
      <c r="K60" s="114">
        <v>1937433.7899999998</v>
      </c>
      <c r="L60" s="114">
        <v>1986413.4100000001</v>
      </c>
      <c r="M60" s="114">
        <v>1986413.4100000001</v>
      </c>
      <c r="N60" s="114">
        <v>2008000</v>
      </c>
      <c r="O60" s="114">
        <v>2032000</v>
      </c>
    </row>
    <row r="61" spans="2:15" ht="15" hidden="1" outlineLevel="1">
      <c r="B61" s="113" t="s">
        <v>114</v>
      </c>
      <c r="C61" s="105"/>
      <c r="D61" s="114">
        <v>407999.999</v>
      </c>
      <c r="E61" s="114">
        <v>1157873</v>
      </c>
      <c r="F61" s="115"/>
      <c r="G61" s="114">
        <v>327263</v>
      </c>
      <c r="H61" s="114">
        <v>241943.00999999998</v>
      </c>
      <c r="I61" s="114">
        <v>1141051.6600000001</v>
      </c>
      <c r="J61" s="114">
        <v>1382994.6700000002</v>
      </c>
      <c r="K61" s="114">
        <v>386383.6100000001</v>
      </c>
      <c r="L61" s="114">
        <v>1086633.6600000001</v>
      </c>
      <c r="M61" s="114">
        <v>1808838.8600000003</v>
      </c>
      <c r="N61" s="114">
        <v>1120800</v>
      </c>
      <c r="O61" s="114">
        <v>1145000</v>
      </c>
    </row>
    <row r="62" spans="2:15" ht="15" hidden="1" outlineLevel="1">
      <c r="B62" s="113" t="s">
        <v>115</v>
      </c>
      <c r="C62" s="105"/>
      <c r="D62" s="114">
        <v>-0.001</v>
      </c>
      <c r="E62" s="114">
        <v>306625</v>
      </c>
      <c r="F62" s="115"/>
      <c r="G62" s="114">
        <v>0</v>
      </c>
      <c r="H62" s="114">
        <v>38.72</v>
      </c>
      <c r="I62" s="114">
        <v>1665569.43</v>
      </c>
      <c r="J62" s="114">
        <v>1665608.15</v>
      </c>
      <c r="K62" s="114">
        <v>1853762.8800000001</v>
      </c>
      <c r="L62" s="114">
        <v>2095199.0600000003</v>
      </c>
      <c r="M62" s="114">
        <v>2647697.000000005</v>
      </c>
      <c r="N62" s="114">
        <v>3613000</v>
      </c>
      <c r="O62" s="114">
        <v>3711000</v>
      </c>
    </row>
    <row r="63" spans="2:15" ht="15" hidden="1" outlineLevel="1">
      <c r="B63" s="113"/>
      <c r="C63" s="105"/>
      <c r="D63" s="114"/>
      <c r="E63" s="114"/>
      <c r="F63" s="115"/>
      <c r="G63" s="114"/>
      <c r="H63" s="114"/>
      <c r="I63" s="114"/>
      <c r="J63" s="114"/>
      <c r="K63" s="114"/>
      <c r="L63" s="114"/>
      <c r="M63" s="114"/>
      <c r="N63" s="114"/>
      <c r="O63" s="114"/>
    </row>
    <row r="64" spans="2:15" ht="15" hidden="1" outlineLevel="1">
      <c r="B64" s="116"/>
      <c r="C64" s="117" t="s">
        <v>116</v>
      </c>
      <c r="D64" s="118">
        <f>SUM(D58:D62)</f>
        <v>2556073.9949999996</v>
      </c>
      <c r="E64" s="118">
        <f>SUM(E58:E62)</f>
        <v>6874672</v>
      </c>
      <c r="F64" s="115"/>
      <c r="G64" s="118">
        <f aca="true" t="shared" si="5" ref="G64:O64">SUM(G58:G62)</f>
        <v>1235711.56</v>
      </c>
      <c r="H64" s="118">
        <f t="shared" si="5"/>
        <v>2714946.61</v>
      </c>
      <c r="I64" s="118">
        <f t="shared" si="5"/>
        <v>9005953.59</v>
      </c>
      <c r="J64" s="118">
        <f t="shared" si="5"/>
        <v>11720900.200000001</v>
      </c>
      <c r="K64" s="118">
        <f t="shared" si="5"/>
        <v>10798728.59</v>
      </c>
      <c r="L64" s="118">
        <f t="shared" si="5"/>
        <v>11262341.520000001</v>
      </c>
      <c r="M64" s="118">
        <f t="shared" si="5"/>
        <v>12538775.470000006</v>
      </c>
      <c r="N64" s="118">
        <f t="shared" si="5"/>
        <v>12411800</v>
      </c>
      <c r="O64" s="118">
        <f t="shared" si="5"/>
        <v>12773000</v>
      </c>
    </row>
    <row r="65" spans="1:15" s="105" customFormat="1" ht="15" hidden="1" outlineLevel="1">
      <c r="A65" s="119"/>
      <c r="B65" s="120"/>
      <c r="D65" s="121">
        <f>D55-D64</f>
        <v>0.005000000353902578</v>
      </c>
      <c r="E65" s="121">
        <f>E55-E64</f>
        <v>0</v>
      </c>
      <c r="F65" s="122"/>
      <c r="G65" s="121">
        <f>G55-G64</f>
        <v>0</v>
      </c>
      <c r="H65" s="121">
        <f aca="true" t="shared" si="6" ref="H65:O65">H55-H64</f>
        <v>0</v>
      </c>
      <c r="I65" s="121">
        <f t="shared" si="6"/>
        <v>0</v>
      </c>
      <c r="J65" s="123">
        <f t="shared" si="6"/>
        <v>0</v>
      </c>
      <c r="K65" s="123">
        <f t="shared" si="6"/>
        <v>0</v>
      </c>
      <c r="L65" s="123">
        <f t="shared" si="6"/>
        <v>0</v>
      </c>
      <c r="M65" s="123">
        <f t="shared" si="6"/>
        <v>0</v>
      </c>
      <c r="N65" s="123">
        <f t="shared" si="6"/>
        <v>0</v>
      </c>
      <c r="O65" s="123">
        <f t="shared" si="6"/>
        <v>0</v>
      </c>
    </row>
    <row r="66" spans="1:15" s="105" customFormat="1" ht="15" collapsed="1">
      <c r="A66" s="119"/>
      <c r="B66" s="124" t="s">
        <v>117</v>
      </c>
      <c r="C66" s="125"/>
      <c r="D66" s="125"/>
      <c r="E66" s="125"/>
      <c r="F66" s="122"/>
      <c r="G66" s="125"/>
      <c r="H66" s="125"/>
      <c r="I66" s="125"/>
      <c r="J66" s="125"/>
      <c r="K66" s="125"/>
      <c r="L66" s="125"/>
      <c r="M66" s="125"/>
      <c r="N66" s="125"/>
      <c r="O66" s="125"/>
    </row>
    <row r="67" spans="1:15" s="105" customFormat="1" ht="15">
      <c r="A67" s="119"/>
      <c r="B67" s="126">
        <v>4105</v>
      </c>
      <c r="C67" s="127" t="s">
        <v>118</v>
      </c>
      <c r="D67" s="128">
        <v>0</v>
      </c>
      <c r="E67" s="93">
        <v>0</v>
      </c>
      <c r="F67" s="122"/>
      <c r="G67" s="128">
        <v>0</v>
      </c>
      <c r="H67" s="128">
        <v>0</v>
      </c>
      <c r="I67" s="93">
        <v>0</v>
      </c>
      <c r="J67" s="129">
        <f aca="true" t="shared" si="7" ref="J67:J73">H67+I67</f>
        <v>0</v>
      </c>
      <c r="K67" s="129">
        <v>0</v>
      </c>
      <c r="L67" s="129">
        <v>0</v>
      </c>
      <c r="M67" s="129">
        <v>0</v>
      </c>
      <c r="N67" s="129">
        <v>0</v>
      </c>
      <c r="O67" s="129">
        <v>0</v>
      </c>
    </row>
    <row r="68" spans="1:15" s="105" customFormat="1" ht="15">
      <c r="A68" s="119"/>
      <c r="B68" s="126">
        <v>4110</v>
      </c>
      <c r="C68" s="127" t="s">
        <v>119</v>
      </c>
      <c r="D68" s="128">
        <v>0</v>
      </c>
      <c r="E68" s="93">
        <v>0</v>
      </c>
      <c r="F68" s="122"/>
      <c r="G68" s="128">
        <v>0</v>
      </c>
      <c r="H68" s="128">
        <v>0</v>
      </c>
      <c r="I68" s="93">
        <v>0</v>
      </c>
      <c r="J68" s="129">
        <f t="shared" si="7"/>
        <v>0</v>
      </c>
      <c r="K68" s="129">
        <v>0</v>
      </c>
      <c r="L68" s="129">
        <v>0</v>
      </c>
      <c r="M68" s="129">
        <v>0</v>
      </c>
      <c r="N68" s="129">
        <v>0</v>
      </c>
      <c r="O68" s="129">
        <v>0</v>
      </c>
    </row>
    <row r="69" spans="1:15" s="105" customFormat="1" ht="15">
      <c r="A69" s="119"/>
      <c r="B69" s="126">
        <v>4230</v>
      </c>
      <c r="C69" s="127" t="s">
        <v>82</v>
      </c>
      <c r="D69" s="128">
        <v>0</v>
      </c>
      <c r="E69" s="93">
        <v>0</v>
      </c>
      <c r="F69" s="122"/>
      <c r="G69" s="128">
        <v>0</v>
      </c>
      <c r="H69" s="128">
        <v>0</v>
      </c>
      <c r="I69" s="93">
        <v>0</v>
      </c>
      <c r="J69" s="129">
        <f t="shared" si="7"/>
        <v>0</v>
      </c>
      <c r="K69" s="129">
        <v>0</v>
      </c>
      <c r="L69" s="129">
        <v>0</v>
      </c>
      <c r="M69" s="129">
        <v>0</v>
      </c>
      <c r="N69" s="129">
        <v>0</v>
      </c>
      <c r="O69" s="129">
        <v>0</v>
      </c>
    </row>
    <row r="70" spans="1:15" s="105" customFormat="1" ht="15">
      <c r="A70" s="119"/>
      <c r="B70" s="130">
        <v>4324</v>
      </c>
      <c r="C70" s="131" t="s">
        <v>89</v>
      </c>
      <c r="D70" s="128">
        <v>0</v>
      </c>
      <c r="E70" s="93">
        <v>0</v>
      </c>
      <c r="F70" s="122"/>
      <c r="G70" s="128">
        <v>0</v>
      </c>
      <c r="H70" s="128">
        <v>0</v>
      </c>
      <c r="I70" s="93">
        <v>0</v>
      </c>
      <c r="J70" s="129">
        <f t="shared" si="7"/>
        <v>0</v>
      </c>
      <c r="K70" s="129">
        <v>291411.27</v>
      </c>
      <c r="L70" s="129">
        <v>26.73</v>
      </c>
      <c r="M70" s="129">
        <v>26.73</v>
      </c>
      <c r="N70" s="129">
        <v>0</v>
      </c>
      <c r="O70" s="129">
        <v>0</v>
      </c>
    </row>
    <row r="71" spans="1:15" s="105" customFormat="1" ht="15">
      <c r="A71" s="119"/>
      <c r="B71" s="91">
        <v>4375</v>
      </c>
      <c r="C71" s="127" t="s">
        <v>100</v>
      </c>
      <c r="D71" s="128">
        <v>1590426</v>
      </c>
      <c r="E71" s="93">
        <v>3147885</v>
      </c>
      <c r="F71" s="122"/>
      <c r="G71" s="128">
        <v>1535894</v>
      </c>
      <c r="H71" s="128">
        <v>0</v>
      </c>
      <c r="I71" s="93">
        <v>19165456.48</v>
      </c>
      <c r="J71" s="129">
        <f t="shared" si="7"/>
        <v>19165456.48</v>
      </c>
      <c r="K71" s="129">
        <v>12993099.89</v>
      </c>
      <c r="L71" s="129">
        <v>15787841.07</v>
      </c>
      <c r="M71" s="129">
        <v>15787841.07</v>
      </c>
      <c r="N71" s="129">
        <v>23213000</v>
      </c>
      <c r="O71" s="129">
        <v>32211000</v>
      </c>
    </row>
    <row r="72" spans="1:15" s="105" customFormat="1" ht="15">
      <c r="A72" s="119"/>
      <c r="B72" s="91">
        <v>4380</v>
      </c>
      <c r="C72" s="127" t="s">
        <v>101</v>
      </c>
      <c r="D72" s="128">
        <v>-1590426</v>
      </c>
      <c r="E72" s="93">
        <v>-2841260</v>
      </c>
      <c r="F72" s="122"/>
      <c r="G72" s="128">
        <v>-1535894</v>
      </c>
      <c r="H72" s="128">
        <v>0</v>
      </c>
      <c r="I72" s="93">
        <v>-17506264.98</v>
      </c>
      <c r="J72" s="129">
        <f t="shared" si="7"/>
        <v>-17506264.98</v>
      </c>
      <c r="K72" s="129">
        <v>-11437064.17</v>
      </c>
      <c r="L72" s="129">
        <v>-13700788.31</v>
      </c>
      <c r="M72" s="129">
        <v>-13148290.369999995</v>
      </c>
      <c r="N72" s="129">
        <v>-19600000</v>
      </c>
      <c r="O72" s="129">
        <v>-28500000</v>
      </c>
    </row>
    <row r="73" spans="1:15" s="105" customFormat="1" ht="15">
      <c r="A73" s="119"/>
      <c r="B73" s="91">
        <v>4385</v>
      </c>
      <c r="C73" s="127" t="s">
        <v>102</v>
      </c>
      <c r="D73" s="128">
        <v>0</v>
      </c>
      <c r="E73" s="93">
        <v>0</v>
      </c>
      <c r="F73" s="122"/>
      <c r="G73" s="128">
        <v>0</v>
      </c>
      <c r="H73" s="128">
        <v>38.72</v>
      </c>
      <c r="I73" s="93">
        <v>6377.93</v>
      </c>
      <c r="J73" s="129">
        <f t="shared" si="7"/>
        <v>6416.650000000001</v>
      </c>
      <c r="K73" s="129">
        <v>6315.89</v>
      </c>
      <c r="L73" s="129">
        <v>8119.570000000001</v>
      </c>
      <c r="M73" s="129">
        <v>8119.57</v>
      </c>
      <c r="N73" s="129">
        <v>0</v>
      </c>
      <c r="O73" s="129">
        <v>0</v>
      </c>
    </row>
    <row r="74" spans="2:15" ht="15">
      <c r="B74" s="132"/>
      <c r="C74" s="133" t="s">
        <v>116</v>
      </c>
      <c r="D74" s="134">
        <f>SUM(D67:D73)</f>
        <v>0</v>
      </c>
      <c r="E74" s="135">
        <f>SUM(E67:E73)</f>
        <v>306625</v>
      </c>
      <c r="F74" s="122"/>
      <c r="G74" s="134">
        <f aca="true" t="shared" si="8" ref="G74:O74">SUM(G67:G73)</f>
        <v>0</v>
      </c>
      <c r="H74" s="134">
        <f t="shared" si="8"/>
        <v>38.72</v>
      </c>
      <c r="I74" s="134">
        <f t="shared" si="8"/>
        <v>1665569.43</v>
      </c>
      <c r="J74" s="136">
        <f t="shared" si="8"/>
        <v>1665608.15</v>
      </c>
      <c r="K74" s="136">
        <f t="shared" si="8"/>
        <v>1853762.8800000001</v>
      </c>
      <c r="L74" s="136">
        <f t="shared" si="8"/>
        <v>2095199.0600000003</v>
      </c>
      <c r="M74" s="136">
        <f t="shared" si="8"/>
        <v>2647697.000000005</v>
      </c>
      <c r="N74" s="136">
        <f t="shared" si="8"/>
        <v>3613000</v>
      </c>
      <c r="O74" s="136">
        <f t="shared" si="8"/>
        <v>3711000</v>
      </c>
    </row>
    <row r="75" spans="2:15" ht="18">
      <c r="B75" s="137" t="s">
        <v>120</v>
      </c>
      <c r="C75" s="65"/>
      <c r="D75" s="65"/>
      <c r="E75" s="65"/>
      <c r="F75" s="138"/>
      <c r="G75" s="65"/>
      <c r="H75" s="65"/>
      <c r="I75" s="65"/>
      <c r="J75" s="65"/>
      <c r="K75" s="65"/>
      <c r="L75" s="65"/>
      <c r="M75" s="65"/>
      <c r="N75" s="65"/>
      <c r="O75" s="65"/>
    </row>
    <row r="76" spans="2:15" ht="15.75">
      <c r="B76" s="139"/>
      <c r="C76" s="65"/>
      <c r="D76" s="65"/>
      <c r="E76" s="65"/>
      <c r="F76" s="138"/>
      <c r="G76" s="65"/>
      <c r="H76" s="65"/>
      <c r="I76" s="65"/>
      <c r="J76" s="65"/>
      <c r="K76" s="65"/>
      <c r="L76" s="65"/>
      <c r="M76" s="65"/>
      <c r="N76" s="65"/>
      <c r="O76" s="65"/>
    </row>
    <row r="77" spans="2:15" ht="15.75">
      <c r="B77" s="140" t="str">
        <f>B51</f>
        <v>Specific Service Charges </v>
      </c>
      <c r="C77" s="65"/>
      <c r="D77" s="141">
        <f aca="true" t="shared" si="9" ref="D77:E79">D51</f>
        <v>951255</v>
      </c>
      <c r="E77" s="141">
        <f t="shared" si="9"/>
        <v>2291675</v>
      </c>
      <c r="F77" s="110"/>
      <c r="G77" s="141">
        <f>G51</f>
        <v>-96671</v>
      </c>
      <c r="H77" s="141">
        <f aca="true" t="shared" si="10" ref="H77:O79">H51</f>
        <v>1480455.06</v>
      </c>
      <c r="I77" s="141">
        <f t="shared" si="10"/>
        <v>2964931.59</v>
      </c>
      <c r="J77" s="141">
        <f t="shared" si="10"/>
        <v>4445386.65</v>
      </c>
      <c r="K77" s="141">
        <f t="shared" si="10"/>
        <v>4162933.37</v>
      </c>
      <c r="L77" s="141">
        <f t="shared" si="10"/>
        <v>3906958.88</v>
      </c>
      <c r="M77" s="141">
        <f t="shared" si="10"/>
        <v>3908689.69</v>
      </c>
      <c r="N77" s="141">
        <f t="shared" si="10"/>
        <v>3270000</v>
      </c>
      <c r="O77" s="141">
        <f t="shared" si="10"/>
        <v>3385000</v>
      </c>
    </row>
    <row r="78" spans="2:15" ht="15.75">
      <c r="B78" s="140" t="str">
        <f>B52</f>
        <v>Late Payment Charges </v>
      </c>
      <c r="C78" s="65"/>
      <c r="D78" s="141">
        <f t="shared" si="9"/>
        <v>642288</v>
      </c>
      <c r="E78" s="141">
        <f t="shared" si="9"/>
        <v>1834000</v>
      </c>
      <c r="F78" s="110"/>
      <c r="G78" s="141">
        <f>G52</f>
        <v>459175.75</v>
      </c>
      <c r="H78" s="141">
        <f t="shared" si="10"/>
        <v>513938.98</v>
      </c>
      <c r="I78" s="141">
        <f t="shared" si="10"/>
        <v>1780987.57</v>
      </c>
      <c r="J78" s="141">
        <f t="shared" si="10"/>
        <v>2294926.55</v>
      </c>
      <c r="K78" s="141">
        <f t="shared" si="10"/>
        <v>2458214.94</v>
      </c>
      <c r="L78" s="141">
        <f t="shared" si="10"/>
        <v>2187136.5100000002</v>
      </c>
      <c r="M78" s="141">
        <f t="shared" si="10"/>
        <v>2187136.5100000002</v>
      </c>
      <c r="N78" s="141">
        <f t="shared" si="10"/>
        <v>2400000</v>
      </c>
      <c r="O78" s="141">
        <f t="shared" si="10"/>
        <v>2500000</v>
      </c>
    </row>
    <row r="79" spans="2:15" ht="15.75">
      <c r="B79" s="140" t="str">
        <f>B53</f>
        <v>Other Distribution Revenue </v>
      </c>
      <c r="C79" s="65"/>
      <c r="D79" s="141">
        <f t="shared" si="9"/>
        <v>554531</v>
      </c>
      <c r="E79" s="141">
        <f t="shared" si="9"/>
        <v>1284499</v>
      </c>
      <c r="F79" s="110"/>
      <c r="G79" s="141">
        <f>G53</f>
        <v>545943.81</v>
      </c>
      <c r="H79" s="141">
        <f t="shared" si="10"/>
        <v>478570.84</v>
      </c>
      <c r="I79" s="141">
        <f t="shared" si="10"/>
        <v>1453413.3399999999</v>
      </c>
      <c r="J79" s="141">
        <f t="shared" si="10"/>
        <v>1931984.1800000002</v>
      </c>
      <c r="K79" s="141">
        <f t="shared" si="10"/>
        <v>1937433.7899999998</v>
      </c>
      <c r="L79" s="141">
        <f t="shared" si="10"/>
        <v>1986413.4100000001</v>
      </c>
      <c r="M79" s="141">
        <f t="shared" si="10"/>
        <v>1986413.4100000001</v>
      </c>
      <c r="N79" s="141">
        <f t="shared" si="10"/>
        <v>2008000</v>
      </c>
      <c r="O79" s="141">
        <f t="shared" si="10"/>
        <v>2032000</v>
      </c>
    </row>
    <row r="80" spans="2:15" ht="15.75">
      <c r="B80" s="140" t="s">
        <v>121</v>
      </c>
      <c r="C80" s="65"/>
      <c r="D80" s="141">
        <f>D54-D74</f>
        <v>408000</v>
      </c>
      <c r="E80" s="141">
        <f>E54-E74</f>
        <v>1157873</v>
      </c>
      <c r="F80" s="110"/>
      <c r="G80" s="141">
        <f>G54-G74</f>
        <v>327263</v>
      </c>
      <c r="H80" s="141">
        <f aca="true" t="shared" si="11" ref="H80:O80">H54-H74</f>
        <v>241943.00999999998</v>
      </c>
      <c r="I80" s="141">
        <f t="shared" si="11"/>
        <v>1141051.659999999</v>
      </c>
      <c r="J80" s="141">
        <f t="shared" si="11"/>
        <v>1382994.669999999</v>
      </c>
      <c r="K80" s="141">
        <f t="shared" si="11"/>
        <v>386383.61000000103</v>
      </c>
      <c r="L80" s="141">
        <f>L54-L74</f>
        <v>1086633.66</v>
      </c>
      <c r="M80" s="141">
        <f>M54-M74</f>
        <v>1808838.859999999</v>
      </c>
      <c r="N80" s="141">
        <f t="shared" si="11"/>
        <v>1120800</v>
      </c>
      <c r="O80" s="141">
        <f t="shared" si="11"/>
        <v>1145000</v>
      </c>
    </row>
    <row r="81" spans="2:15" ht="15.75">
      <c r="B81" s="106" t="s">
        <v>112</v>
      </c>
      <c r="C81" s="107"/>
      <c r="D81" s="108">
        <f>SUM(D77:D80)</f>
        <v>2556074</v>
      </c>
      <c r="E81" s="109">
        <f>SUM(E77:E80)</f>
        <v>6568047</v>
      </c>
      <c r="F81" s="110"/>
      <c r="G81" s="108">
        <f>SUM(G77:G80)</f>
        <v>1235711.56</v>
      </c>
      <c r="H81" s="108">
        <f aca="true" t="shared" si="12" ref="H81:O81">SUM(H77:H80)</f>
        <v>2714907.8899999997</v>
      </c>
      <c r="I81" s="109">
        <f t="shared" si="12"/>
        <v>7340384.159999999</v>
      </c>
      <c r="J81" s="108">
        <f t="shared" si="12"/>
        <v>10055292.05</v>
      </c>
      <c r="K81" s="108">
        <f t="shared" si="12"/>
        <v>8944965.71</v>
      </c>
      <c r="L81" s="108">
        <f t="shared" si="12"/>
        <v>9167142.46</v>
      </c>
      <c r="M81" s="108">
        <f t="shared" si="12"/>
        <v>9891078.469999999</v>
      </c>
      <c r="N81" s="108">
        <f t="shared" si="12"/>
        <v>8798800</v>
      </c>
      <c r="O81" s="108">
        <f t="shared" si="12"/>
        <v>9062000</v>
      </c>
    </row>
    <row r="83" ht="15">
      <c r="B83" s="142" t="s">
        <v>122</v>
      </c>
    </row>
    <row r="84" ht="15">
      <c r="B84" s="142" t="s">
        <v>123</v>
      </c>
    </row>
  </sheetData>
  <sheetProtection/>
  <mergeCells count="2">
    <mergeCell ref="B2:H2"/>
    <mergeCell ref="B3:H3"/>
  </mergeCells>
  <conditionalFormatting sqref="D55:O55 D81:O81">
    <cfRule type="expression" priority="3" dxfId="7" stopIfTrue="1">
      <formula>ROUND(D$65,0)&lt;&gt;0</formula>
    </cfRule>
  </conditionalFormatting>
  <conditionalFormatting sqref="B50 B14:B16">
    <cfRule type="expression" priority="2" dxfId="5" stopIfTrue="1">
      <formula>$A$9="NO"</formula>
    </cfRule>
  </conditionalFormatting>
  <conditionalFormatting sqref="B38:B46 B71:B73 B17:B36">
    <cfRule type="expression" priority="1" dxfId="5" stopIfTrue="1">
      <formula>$A$11="NO"</formula>
    </cfRule>
  </conditionalFormatting>
  <dataValidations count="1">
    <dataValidation allowBlank="1" showInputMessage="1" showErrorMessage="1" promptTitle="Date Format" prompt="E.g:  &quot;August 1, 2011&quot;" sqref="O7"/>
  </dataValidations>
  <printOptions horizontalCentered="1"/>
  <pageMargins left="0.5" right="0.5" top="0.54" bottom="0.34" header="0.5" footer="0.27"/>
  <pageSetup fitToHeight="1" fitToWidth="1" horizontalDpi="600" verticalDpi="600" orientation="landscape" scale="56" r:id="rId1"/>
  <headerFooter alignWithMargins="0">
    <oddHeader>&amp;R&amp;12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45"/>
  <sheetViews>
    <sheetView view="pageBreakPreview" zoomScale="60" zoomScalePageLayoutView="0" workbookViewId="0" topLeftCell="A1">
      <selection activeCell="I70" sqref="I70"/>
    </sheetView>
  </sheetViews>
  <sheetFormatPr defaultColWidth="9.140625" defaultRowHeight="15" outlineLevelRow="1"/>
  <cols>
    <col min="1" max="1" width="12.421875" style="1" bestFit="1" customWidth="1"/>
    <col min="2" max="2" width="19.57421875" style="1" customWidth="1"/>
    <col min="3" max="3" width="41.8515625" style="1" customWidth="1"/>
    <col min="4" max="5" width="17.00390625" style="1" bestFit="1" customWidth="1"/>
    <col min="6" max="8" width="17.57421875" style="1" bestFit="1" customWidth="1"/>
    <col min="9" max="9" width="18.00390625" style="1" bestFit="1" customWidth="1"/>
    <col min="10" max="16384" width="9.140625" style="1" customWidth="1"/>
  </cols>
  <sheetData>
    <row r="1" spans="8:9" ht="12.75">
      <c r="H1" s="2" t="str">
        <f>'2-C Other Operating Revenue'!N1</f>
        <v>File Number:</v>
      </c>
      <c r="I1" s="3" t="str">
        <f>'2-C Other Operating Revenue'!O1</f>
        <v>EB-2012-0161</v>
      </c>
    </row>
    <row r="2" spans="2:9" ht="18">
      <c r="B2" s="143" t="str">
        <f>'2-C Other Operating Revenue'!B2:H2</f>
        <v>Appendix 2-C</v>
      </c>
      <c r="C2" s="144"/>
      <c r="H2" s="2" t="str">
        <f>'2-C Other Operating Revenue'!N2</f>
        <v>Exhibit:</v>
      </c>
      <c r="I2" s="3" t="str">
        <f>'2-C Other Operating Revenue'!O2</f>
        <v>C2</v>
      </c>
    </row>
    <row r="3" spans="2:9" ht="18">
      <c r="B3" s="143" t="str">
        <f>'2-C Other Operating Revenue'!B3:H3</f>
        <v>Other Operating Revenue</v>
      </c>
      <c r="C3" s="144"/>
      <c r="H3" s="2" t="str">
        <f>'2-C Other Operating Revenue'!N3</f>
        <v>Tab:</v>
      </c>
      <c r="I3" s="54">
        <f>'2-C Other Operating Revenue'!O3</f>
        <v>1</v>
      </c>
    </row>
    <row r="4" spans="8:9" ht="12.75">
      <c r="H4" s="2" t="str">
        <f>'2-C Other Operating Revenue'!N4</f>
        <v>Schedule:</v>
      </c>
      <c r="I4" s="54">
        <f>'2-C Other Operating Revenue'!O4</f>
        <v>3</v>
      </c>
    </row>
    <row r="5" spans="8:9" ht="12.75">
      <c r="H5" s="2" t="str">
        <f>'2-C Other Operating Revenue'!N5</f>
        <v>Page:</v>
      </c>
      <c r="I5" s="3"/>
    </row>
    <row r="6" spans="1:8" ht="15">
      <c r="A6" s="55"/>
      <c r="B6" s="56"/>
      <c r="H6" s="2"/>
    </row>
    <row r="7" spans="2:9" ht="19.5">
      <c r="B7" s="145"/>
      <c r="H7" s="2" t="str">
        <f>'2-C Other Operating Revenue'!N7</f>
        <v>Date:</v>
      </c>
      <c r="I7" s="57">
        <f>'2-C Other Operating Revenue'!O7</f>
        <v>41033</v>
      </c>
    </row>
    <row r="8" ht="19.5">
      <c r="B8" s="145" t="s">
        <v>124</v>
      </c>
    </row>
    <row r="9" ht="19.5">
      <c r="B9" s="145" t="s">
        <v>125</v>
      </c>
    </row>
    <row r="10" spans="4:9" ht="19.5">
      <c r="D10" s="61" t="s">
        <v>63</v>
      </c>
      <c r="E10" s="62"/>
      <c r="F10" s="62"/>
      <c r="G10" s="62"/>
      <c r="H10" s="62"/>
      <c r="I10" s="63"/>
    </row>
    <row r="11" spans="4:9" ht="15.75" thickBot="1">
      <c r="D11" s="52"/>
      <c r="E11" s="52"/>
      <c r="F11" s="52"/>
      <c r="G11" s="52"/>
      <c r="H11" s="52"/>
      <c r="I11" s="52"/>
    </row>
    <row r="12" spans="4:9" ht="16.5" thickBot="1">
      <c r="D12" s="66" t="s">
        <v>66</v>
      </c>
      <c r="E12" s="70"/>
      <c r="F12" s="70"/>
      <c r="G12" s="70"/>
      <c r="H12" s="71" t="s">
        <v>67</v>
      </c>
      <c r="I12" s="72" t="s">
        <v>68</v>
      </c>
    </row>
    <row r="13" spans="4:9" ht="15.75">
      <c r="D13" s="73">
        <v>2009</v>
      </c>
      <c r="E13" s="73">
        <v>2010</v>
      </c>
      <c r="F13" s="73">
        <v>2011</v>
      </c>
      <c r="G13" s="73" t="s">
        <v>69</v>
      </c>
      <c r="H13" s="73" t="s">
        <v>70</v>
      </c>
      <c r="I13" s="73" t="s">
        <v>126</v>
      </c>
    </row>
    <row r="14" ht="12.75"/>
    <row r="15" spans="2:9" ht="16.5" customHeight="1">
      <c r="B15" s="146">
        <v>4405</v>
      </c>
      <c r="C15" s="147" t="s">
        <v>106</v>
      </c>
      <c r="D15" s="52"/>
      <c r="E15" s="52"/>
      <c r="F15" s="52"/>
      <c r="G15" s="52"/>
      <c r="H15" s="52"/>
      <c r="I15" s="52"/>
    </row>
    <row r="16" spans="3:9" ht="16.5" customHeight="1">
      <c r="C16" s="52"/>
      <c r="D16" s="52"/>
      <c r="E16" s="52"/>
      <c r="F16" s="52"/>
      <c r="G16" s="52"/>
      <c r="H16" s="52"/>
      <c r="I16" s="52"/>
    </row>
    <row r="17" spans="3:9" ht="16.5" customHeight="1">
      <c r="C17" s="148" t="s">
        <v>127</v>
      </c>
      <c r="D17" s="149">
        <v>-551707.67</v>
      </c>
      <c r="E17" s="149">
        <v>-213887</v>
      </c>
      <c r="F17" s="149">
        <v>-144972.73</v>
      </c>
      <c r="G17" s="149">
        <v>-144972.73</v>
      </c>
      <c r="H17" s="149">
        <v>-100800</v>
      </c>
      <c r="I17" s="149">
        <v>-125000</v>
      </c>
    </row>
    <row r="18" spans="3:9" ht="16.5" customHeight="1">
      <c r="C18" s="148" t="s">
        <v>128</v>
      </c>
      <c r="D18" s="149">
        <v>306155.78</v>
      </c>
      <c r="E18" s="149">
        <v>-65226</v>
      </c>
      <c r="F18" s="149">
        <v>324602.14</v>
      </c>
      <c r="G18" s="149">
        <v>324602.14</v>
      </c>
      <c r="H18" s="149">
        <v>0</v>
      </c>
      <c r="I18" s="149">
        <v>0</v>
      </c>
    </row>
    <row r="19" spans="3:9" ht="16.5" customHeight="1">
      <c r="C19" s="148" t="s">
        <v>129</v>
      </c>
      <c r="D19" s="149">
        <v>-28280.3</v>
      </c>
      <c r="E19" s="149">
        <v>-128028</v>
      </c>
      <c r="F19" s="149">
        <v>0</v>
      </c>
      <c r="G19" s="149">
        <v>0</v>
      </c>
      <c r="H19" s="149">
        <v>0</v>
      </c>
      <c r="I19" s="149">
        <v>0</v>
      </c>
    </row>
    <row r="20" spans="3:9" ht="16.5" customHeight="1">
      <c r="C20" s="148" t="s">
        <v>130</v>
      </c>
      <c r="D20" s="149">
        <v>2024.35</v>
      </c>
      <c r="E20" s="150"/>
      <c r="F20" s="150"/>
      <c r="G20" s="150"/>
      <c r="H20" s="149"/>
      <c r="I20" s="149"/>
    </row>
    <row r="21" spans="3:9" ht="16.5" customHeight="1">
      <c r="C21" s="148" t="s">
        <v>131</v>
      </c>
      <c r="D21" s="149">
        <v>-50000</v>
      </c>
      <c r="E21" s="150">
        <v>-90000</v>
      </c>
      <c r="F21" s="150">
        <v>-145000</v>
      </c>
      <c r="G21" s="150">
        <f>F21</f>
        <v>-145000</v>
      </c>
      <c r="H21" s="149">
        <v>-150000</v>
      </c>
      <c r="I21" s="149">
        <v>-225000</v>
      </c>
    </row>
    <row r="22" spans="3:9" ht="16.5" customHeight="1">
      <c r="C22" s="148" t="s">
        <v>132</v>
      </c>
      <c r="D22" s="149">
        <v>-5686.47</v>
      </c>
      <c r="E22" s="150"/>
      <c r="F22" s="150"/>
      <c r="G22" s="150"/>
      <c r="H22" s="149"/>
      <c r="I22" s="149"/>
    </row>
    <row r="23" spans="3:9" ht="16.5" customHeight="1">
      <c r="C23" s="151" t="s">
        <v>112</v>
      </c>
      <c r="D23" s="152">
        <f aca="true" t="shared" si="0" ref="D23:I23">SUM(D17:D22)</f>
        <v>-327494.31</v>
      </c>
      <c r="E23" s="152">
        <f t="shared" si="0"/>
        <v>-497141</v>
      </c>
      <c r="F23" s="152">
        <f t="shared" si="0"/>
        <v>34629.41</v>
      </c>
      <c r="G23" s="152">
        <f t="shared" si="0"/>
        <v>34629.41</v>
      </c>
      <c r="H23" s="152">
        <f t="shared" si="0"/>
        <v>-250800</v>
      </c>
      <c r="I23" s="152">
        <f t="shared" si="0"/>
        <v>-350000</v>
      </c>
    </row>
    <row r="24" spans="3:9" ht="16.5" customHeight="1">
      <c r="C24" s="153" t="s">
        <v>133</v>
      </c>
      <c r="D24" s="154">
        <f aca="true" t="shared" si="1" ref="D24:I24">-D18</f>
        <v>-306155.78</v>
      </c>
      <c r="E24" s="154">
        <f t="shared" si="1"/>
        <v>65226</v>
      </c>
      <c r="F24" s="154">
        <f t="shared" si="1"/>
        <v>-324602.14</v>
      </c>
      <c r="G24" s="154">
        <f t="shared" si="1"/>
        <v>-324602.14</v>
      </c>
      <c r="H24" s="154">
        <f t="shared" si="1"/>
        <v>0</v>
      </c>
      <c r="I24" s="154">
        <f t="shared" si="1"/>
        <v>0</v>
      </c>
    </row>
    <row r="25" spans="3:9" ht="16.5" customHeight="1">
      <c r="C25" s="148" t="s">
        <v>134</v>
      </c>
      <c r="D25" s="149">
        <f aca="true" t="shared" si="2" ref="D25:I25">-D21</f>
        <v>50000</v>
      </c>
      <c r="E25" s="149">
        <f t="shared" si="2"/>
        <v>90000</v>
      </c>
      <c r="F25" s="149">
        <f t="shared" si="2"/>
        <v>145000</v>
      </c>
      <c r="G25" s="149">
        <f t="shared" si="2"/>
        <v>145000</v>
      </c>
      <c r="H25" s="149">
        <f t="shared" si="2"/>
        <v>150000</v>
      </c>
      <c r="I25" s="149">
        <f t="shared" si="2"/>
        <v>225000</v>
      </c>
    </row>
    <row r="26" spans="3:9" ht="16.5" customHeight="1">
      <c r="C26" s="155" t="s">
        <v>135</v>
      </c>
      <c r="D26" s="156">
        <f aca="true" t="shared" si="3" ref="D26:I26">SUM(D23:D25)</f>
        <v>-583650.0900000001</v>
      </c>
      <c r="E26" s="156">
        <f t="shared" si="3"/>
        <v>-341915</v>
      </c>
      <c r="F26" s="156">
        <f t="shared" si="3"/>
        <v>-144972.72999999998</v>
      </c>
      <c r="G26" s="156">
        <f t="shared" si="3"/>
        <v>-144972.72999999998</v>
      </c>
      <c r="H26" s="156">
        <f t="shared" si="3"/>
        <v>-100800</v>
      </c>
      <c r="I26" s="156">
        <f t="shared" si="3"/>
        <v>-125000</v>
      </c>
    </row>
    <row r="27" spans="3:9" ht="15">
      <c r="C27" s="52"/>
      <c r="D27" s="52"/>
      <c r="E27" s="52"/>
      <c r="F27" s="52"/>
      <c r="G27" s="52"/>
      <c r="H27" s="52"/>
      <c r="I27" s="52"/>
    </row>
    <row r="28" spans="3:9" s="158" customFormat="1" ht="22.5" customHeight="1" hidden="1" outlineLevel="1">
      <c r="C28" s="105" t="s">
        <v>136</v>
      </c>
      <c r="D28" s="157">
        <f>-'2-C Other Operating Revenue'!J48</f>
        <v>-583650.31</v>
      </c>
      <c r="E28" s="157">
        <f>-'2-C Other Operating Revenue'!K48</f>
        <v>-341915.03</v>
      </c>
      <c r="F28" s="157">
        <f>-'2-C Other Operating Revenue'!L48</f>
        <v>-144972.87</v>
      </c>
      <c r="G28" s="157">
        <f>-'2-C Other Operating Revenue'!M48</f>
        <v>-144972.87</v>
      </c>
      <c r="H28" s="157">
        <f>-'2-C Other Operating Revenue'!N48</f>
        <v>-100800</v>
      </c>
      <c r="I28" s="157">
        <f>-'2-C Other Operating Revenue'!O48</f>
        <v>-125000</v>
      </c>
    </row>
    <row r="29" spans="4:9" ht="15" hidden="1" outlineLevel="1">
      <c r="D29" s="159">
        <f aca="true" t="shared" si="4" ref="D29:I29">D26-D28</f>
        <v>0.21999999997206032</v>
      </c>
      <c r="E29" s="160">
        <f t="shared" si="4"/>
        <v>0.030000000027939677</v>
      </c>
      <c r="F29" s="159">
        <f t="shared" si="4"/>
        <v>0.14000000001396984</v>
      </c>
      <c r="G29" s="159">
        <f t="shared" si="4"/>
        <v>0.14000000001396984</v>
      </c>
      <c r="H29" s="159">
        <f t="shared" si="4"/>
        <v>0</v>
      </c>
      <c r="I29" s="159">
        <f t="shared" si="4"/>
        <v>0</v>
      </c>
    </row>
    <row r="30" ht="13.5" collapsed="1" thickBot="1"/>
    <row r="31" spans="4:9" ht="16.5" thickBot="1">
      <c r="D31" s="66" t="s">
        <v>66</v>
      </c>
      <c r="E31" s="70"/>
      <c r="F31" s="70"/>
      <c r="G31" s="70"/>
      <c r="H31" s="71" t="s">
        <v>67</v>
      </c>
      <c r="I31" s="72" t="s">
        <v>68</v>
      </c>
    </row>
    <row r="32" spans="4:9" ht="15.75">
      <c r="D32" s="73">
        <v>2009</v>
      </c>
      <c r="E32" s="73">
        <v>2010</v>
      </c>
      <c r="F32" s="73">
        <v>2011</v>
      </c>
      <c r="G32" s="73" t="str">
        <f>G$13</f>
        <v>2011 MIFRS</v>
      </c>
      <c r="H32" s="73" t="str">
        <f>H$13</f>
        <v>2012 MIFRS</v>
      </c>
      <c r="I32" s="73" t="str">
        <f>I$13</f>
        <v>2013 MIFRS</v>
      </c>
    </row>
    <row r="34" spans="2:9" ht="15.75">
      <c r="B34" s="146">
        <v>4390</v>
      </c>
      <c r="C34" s="147" t="s">
        <v>103</v>
      </c>
      <c r="D34" s="52"/>
      <c r="E34" s="52"/>
      <c r="F34" s="52"/>
      <c r="G34" s="52"/>
      <c r="H34" s="52"/>
      <c r="I34" s="52"/>
    </row>
    <row r="36" spans="3:9" ht="15">
      <c r="C36" s="148" t="s">
        <v>137</v>
      </c>
      <c r="D36" s="149">
        <v>-175742.56</v>
      </c>
      <c r="E36" s="149">
        <v>-294609.57</v>
      </c>
      <c r="F36" s="149">
        <v>-265947.93</v>
      </c>
      <c r="G36" s="149">
        <f>F36</f>
        <v>-265947.93</v>
      </c>
      <c r="H36" s="149">
        <v>-200000</v>
      </c>
      <c r="I36" s="149">
        <v>-200000</v>
      </c>
    </row>
    <row r="37" spans="3:9" ht="15">
      <c r="C37" s="148" t="s">
        <v>138</v>
      </c>
      <c r="D37" s="149">
        <v>-102965.47</v>
      </c>
      <c r="E37" s="149">
        <v>-67786.43</v>
      </c>
      <c r="F37" s="149">
        <v>-91703.12</v>
      </c>
      <c r="G37" s="150">
        <v>-820004</v>
      </c>
      <c r="H37" s="149">
        <v>-700000</v>
      </c>
      <c r="I37" s="149">
        <v>-700000</v>
      </c>
    </row>
    <row r="38" spans="3:9" ht="15">
      <c r="C38" s="148" t="s">
        <v>139</v>
      </c>
      <c r="D38" s="149">
        <f>-73591.8699999999-228764</f>
        <v>-302355.8699999999</v>
      </c>
      <c r="E38" s="149">
        <f>-123042.850000001-63650-27885</f>
        <v>-214577.850000001</v>
      </c>
      <c r="F38" s="149">
        <v>-328309</v>
      </c>
      <c r="G38" s="149">
        <f>F38</f>
        <v>-328309</v>
      </c>
      <c r="H38" s="149">
        <v>-120000</v>
      </c>
      <c r="I38" s="149">
        <v>-120000</v>
      </c>
    </row>
    <row r="39" spans="3:9" ht="15">
      <c r="C39" s="148" t="s">
        <v>112</v>
      </c>
      <c r="D39" s="161">
        <f aca="true" t="shared" si="5" ref="D39:I39">SUM(D36:D38)</f>
        <v>-581063.8999999999</v>
      </c>
      <c r="E39" s="161">
        <f t="shared" si="5"/>
        <v>-576973.850000001</v>
      </c>
      <c r="F39" s="161">
        <f t="shared" si="5"/>
        <v>-685960.05</v>
      </c>
      <c r="G39" s="161">
        <f t="shared" si="5"/>
        <v>-1414260.93</v>
      </c>
      <c r="H39" s="161">
        <f t="shared" si="5"/>
        <v>-1020000</v>
      </c>
      <c r="I39" s="161">
        <f t="shared" si="5"/>
        <v>-1020000</v>
      </c>
    </row>
    <row r="41" spans="3:9" ht="15" hidden="1" outlineLevel="1">
      <c r="C41" s="105" t="s">
        <v>136</v>
      </c>
      <c r="D41" s="157">
        <f>-'2-C Other Operating Revenue'!J45</f>
        <v>-581064.23</v>
      </c>
      <c r="E41" s="157">
        <f>-'2-C Other Operating Revenue'!K45</f>
        <v>-576973.55</v>
      </c>
      <c r="F41" s="157">
        <f>-'2-C Other Operating Revenue'!L45</f>
        <v>-685959.7000000001</v>
      </c>
      <c r="G41" s="157">
        <f>-'2-C Other Operating Revenue'!M45</f>
        <v>-1414260.62</v>
      </c>
      <c r="H41" s="157">
        <f>-'2-C Other Operating Revenue'!N45</f>
        <v>-1020000</v>
      </c>
      <c r="I41" s="157">
        <f>-'2-C Other Operating Revenue'!O45</f>
        <v>-1020000</v>
      </c>
    </row>
    <row r="42" spans="4:9" ht="12.75" hidden="1" outlineLevel="1">
      <c r="D42" s="159">
        <f aca="true" t="shared" si="6" ref="D42:I42">D39-D41</f>
        <v>0.3300000000745058</v>
      </c>
      <c r="E42" s="159">
        <f t="shared" si="6"/>
        <v>-0.3000000009778887</v>
      </c>
      <c r="F42" s="159">
        <f t="shared" si="6"/>
        <v>-0.34999999997671694</v>
      </c>
      <c r="G42" s="159">
        <f t="shared" si="6"/>
        <v>-0.3099999998230487</v>
      </c>
      <c r="H42" s="159">
        <f t="shared" si="6"/>
        <v>0</v>
      </c>
      <c r="I42" s="159">
        <f t="shared" si="6"/>
        <v>0</v>
      </c>
    </row>
    <row r="43" ht="12.75" collapsed="1"/>
    <row r="44" ht="15">
      <c r="B44" s="162" t="s">
        <v>140</v>
      </c>
    </row>
    <row r="45" ht="15">
      <c r="B45" s="97" t="s">
        <v>141</v>
      </c>
    </row>
  </sheetData>
  <sheetProtection/>
  <conditionalFormatting sqref="D26:I26">
    <cfRule type="expression" priority="2" dxfId="3" stopIfTrue="1">
      <formula>ROUND(D$29,0)&lt;&gt;0</formula>
    </cfRule>
  </conditionalFormatting>
  <conditionalFormatting sqref="D39:I39">
    <cfRule type="expression" priority="1" dxfId="3" stopIfTrue="1">
      <formula>ROUND(D$42,0)&lt;&gt;0</formula>
    </cfRule>
  </conditionalFormatting>
  <printOptions horizontalCentered="1"/>
  <pageMargins left="0.75" right="0.75" top="1" bottom="1" header="0.5" footer="0.5"/>
  <pageSetup fitToHeight="1" fitToWidth="1" horizontalDpi="600" verticalDpi="600" orientation="landscape" scale="73" r:id="rId3"/>
  <rowBreaks count="1" manualBreakCount="1">
    <brk id="42" min="1" max="8" man="1"/>
  </rowBreaks>
  <legacyDrawing r:id="rId2"/>
</worksheet>
</file>

<file path=xl/worksheets/sheet5.xml><?xml version="1.0" encoding="utf-8"?>
<worksheet xmlns="http://schemas.openxmlformats.org/spreadsheetml/2006/main" xmlns:r="http://schemas.openxmlformats.org/officeDocument/2006/relationships">
  <dimension ref="B1:G96"/>
  <sheetViews>
    <sheetView showGridLines="0" zoomScalePageLayoutView="0" workbookViewId="0" topLeftCell="A1">
      <selection activeCell="I38" sqref="I38"/>
    </sheetView>
  </sheetViews>
  <sheetFormatPr defaultColWidth="9.140625" defaultRowHeight="15"/>
  <cols>
    <col min="1" max="1" width="3.00390625" style="1" customWidth="1"/>
    <col min="2" max="2" width="7.421875" style="1" customWidth="1"/>
    <col min="3" max="3" width="18.57421875" style="1" customWidth="1"/>
    <col min="4" max="4" width="16.7109375" style="1" customWidth="1"/>
    <col min="5" max="5" width="16.8515625" style="1" customWidth="1"/>
    <col min="6" max="6" width="12.8515625" style="1" customWidth="1"/>
    <col min="7" max="7" width="19.00390625" style="1" customWidth="1"/>
    <col min="8" max="8" width="11.57421875" style="1" customWidth="1"/>
    <col min="9" max="9" width="13.7109375" style="1" customWidth="1"/>
    <col min="10" max="16384" width="9.140625" style="1" customWidth="1"/>
  </cols>
  <sheetData>
    <row r="1" spans="6:7" ht="12.75">
      <c r="F1" s="2" t="s">
        <v>10</v>
      </c>
      <c r="G1" s="3" t="s">
        <v>11</v>
      </c>
    </row>
    <row r="2" spans="6:7" ht="12.75">
      <c r="F2" s="2" t="s">
        <v>12</v>
      </c>
      <c r="G2" s="3" t="s">
        <v>13</v>
      </c>
    </row>
    <row r="3" spans="6:7" ht="12.75">
      <c r="F3" s="2" t="s">
        <v>14</v>
      </c>
      <c r="G3" s="4" t="s">
        <v>15</v>
      </c>
    </row>
    <row r="4" spans="6:7" ht="12.75">
      <c r="F4" s="2" t="s">
        <v>16</v>
      </c>
      <c r="G4" s="5" t="s">
        <v>17</v>
      </c>
    </row>
    <row r="5" spans="6:7" ht="12.75">
      <c r="F5" s="2" t="s">
        <v>18</v>
      </c>
      <c r="G5" s="3"/>
    </row>
    <row r="6" ht="12.75">
      <c r="F6" s="2"/>
    </row>
    <row r="7" spans="6:7" ht="12.75">
      <c r="F7" s="2" t="s">
        <v>19</v>
      </c>
      <c r="G7" s="6">
        <v>41033</v>
      </c>
    </row>
    <row r="9" spans="2:7" ht="18">
      <c r="B9" s="919" t="s">
        <v>20</v>
      </c>
      <c r="C9" s="919"/>
      <c r="D9" s="919"/>
      <c r="E9" s="919"/>
      <c r="F9" s="919"/>
      <c r="G9" s="919"/>
    </row>
    <row r="10" spans="2:7" ht="18">
      <c r="B10" s="919" t="s">
        <v>21</v>
      </c>
      <c r="C10" s="919"/>
      <c r="D10" s="919"/>
      <c r="E10" s="919"/>
      <c r="F10" s="919"/>
      <c r="G10" s="919"/>
    </row>
    <row r="14" spans="2:3" ht="12.75">
      <c r="B14" s="2" t="s">
        <v>22</v>
      </c>
      <c r="C14" s="2" t="s">
        <v>23</v>
      </c>
    </row>
    <row r="16" ht="13.5" thickBot="1"/>
    <row r="17" spans="2:7" ht="38.25" customHeight="1">
      <c r="B17" s="911"/>
      <c r="C17" s="913"/>
      <c r="D17" s="7">
        <v>2009</v>
      </c>
      <c r="E17" s="8">
        <f>D17</f>
        <v>2009</v>
      </c>
      <c r="F17" s="9" t="s">
        <v>24</v>
      </c>
      <c r="G17" s="10" t="s">
        <v>25</v>
      </c>
    </row>
    <row r="18" spans="2:7" ht="39.75" customHeight="1">
      <c r="B18" s="914"/>
      <c r="C18" s="915"/>
      <c r="D18" s="11" t="s">
        <v>26</v>
      </c>
      <c r="E18" s="11" t="s">
        <v>27</v>
      </c>
      <c r="F18" s="12" t="s">
        <v>28</v>
      </c>
      <c r="G18" s="13" t="s">
        <v>29</v>
      </c>
    </row>
    <row r="19" spans="2:7" ht="15">
      <c r="B19" s="916" t="s">
        <v>30</v>
      </c>
      <c r="C19" s="917"/>
      <c r="D19" s="14">
        <v>9418016.242628181</v>
      </c>
      <c r="E19" s="14">
        <v>13361537.34</v>
      </c>
      <c r="F19" s="15">
        <f aca="true" t="shared" si="0" ref="F19:F24">E19-D19</f>
        <v>3943521.0973718185</v>
      </c>
      <c r="G19" s="16">
        <f aca="true" t="shared" si="1" ref="G19:G24">IF(D19=0,"",F19/D19)</f>
        <v>0.4187209913190109</v>
      </c>
    </row>
    <row r="20" spans="2:7" ht="15">
      <c r="B20" s="916" t="s">
        <v>31</v>
      </c>
      <c r="C20" s="917"/>
      <c r="D20" s="14">
        <v>6470562.38610929</v>
      </c>
      <c r="E20" s="14">
        <v>9318936.469999999</v>
      </c>
      <c r="F20" s="15">
        <f t="shared" si="0"/>
        <v>2848374.083890709</v>
      </c>
      <c r="G20" s="16">
        <f t="shared" si="1"/>
        <v>0.44020502607400397</v>
      </c>
    </row>
    <row r="21" spans="2:7" ht="15">
      <c r="B21" s="916" t="s">
        <v>32</v>
      </c>
      <c r="C21" s="917"/>
      <c r="D21" s="14">
        <v>7791991.95243279</v>
      </c>
      <c r="E21" s="14">
        <v>9965156.309999999</v>
      </c>
      <c r="F21" s="15">
        <f t="shared" si="0"/>
        <v>2173164.357567209</v>
      </c>
      <c r="G21" s="16">
        <f t="shared" si="1"/>
        <v>0.2788971511820813</v>
      </c>
    </row>
    <row r="22" spans="2:7" ht="15">
      <c r="B22" s="916" t="s">
        <v>33</v>
      </c>
      <c r="C22" s="917"/>
      <c r="D22" s="14">
        <v>698474.6149999999</v>
      </c>
      <c r="E22" s="14">
        <v>1093831.29</v>
      </c>
      <c r="F22" s="15">
        <f t="shared" si="0"/>
        <v>395356.67500000016</v>
      </c>
      <c r="G22" s="16">
        <f t="shared" si="1"/>
        <v>0.5660286952590255</v>
      </c>
    </row>
    <row r="23" spans="2:7" ht="15.75" thickBot="1">
      <c r="B23" s="909" t="s">
        <v>34</v>
      </c>
      <c r="C23" s="910"/>
      <c r="D23" s="17">
        <v>18837255.070720002</v>
      </c>
      <c r="E23" s="18">
        <v>25937665.960000005</v>
      </c>
      <c r="F23" s="19">
        <f t="shared" si="0"/>
        <v>7100410.889280003</v>
      </c>
      <c r="G23" s="20">
        <f t="shared" si="1"/>
        <v>0.37693447705746913</v>
      </c>
    </row>
    <row r="24" spans="2:7" ht="16.5" thickBot="1" thickTop="1">
      <c r="B24" s="929" t="s">
        <v>35</v>
      </c>
      <c r="C24" s="930"/>
      <c r="D24" s="21">
        <f>SUM(D19:D23)</f>
        <v>43216300.26689026</v>
      </c>
      <c r="E24" s="22">
        <f>SUM(E19:E23)</f>
        <v>59677127.370000005</v>
      </c>
      <c r="F24" s="22">
        <f t="shared" si="0"/>
        <v>16460827.103109747</v>
      </c>
      <c r="G24" s="23">
        <f t="shared" si="1"/>
        <v>0.3808939451422927</v>
      </c>
    </row>
    <row r="25" spans="2:7" ht="15.75" thickBot="1">
      <c r="B25" s="931" t="s">
        <v>36</v>
      </c>
      <c r="C25" s="932"/>
      <c r="D25" s="932"/>
      <c r="E25" s="932"/>
      <c r="F25" s="933"/>
      <c r="G25" s="24">
        <v>0.013</v>
      </c>
    </row>
    <row r="26" spans="2:7" ht="15.75" thickBot="1">
      <c r="B26" s="25"/>
      <c r="C26" s="25"/>
      <c r="D26" s="26"/>
      <c r="E26" s="26"/>
      <c r="F26" s="26"/>
      <c r="G26" s="27"/>
    </row>
    <row r="27" spans="2:7" ht="12.75">
      <c r="B27" s="911"/>
      <c r="C27" s="913"/>
      <c r="D27" s="8">
        <f>E17</f>
        <v>2009</v>
      </c>
      <c r="E27" s="7">
        <v>2010</v>
      </c>
      <c r="F27" s="9" t="s">
        <v>24</v>
      </c>
      <c r="G27" s="10" t="s">
        <v>25</v>
      </c>
    </row>
    <row r="28" spans="2:7" ht="12.75">
      <c r="B28" s="914"/>
      <c r="C28" s="915"/>
      <c r="D28" s="28" t="s">
        <v>37</v>
      </c>
      <c r="E28" s="28" t="s">
        <v>37</v>
      </c>
      <c r="F28" s="28" t="s">
        <v>28</v>
      </c>
      <c r="G28" s="29" t="s">
        <v>29</v>
      </c>
    </row>
    <row r="29" spans="2:7" ht="15">
      <c r="B29" s="916" t="s">
        <v>30</v>
      </c>
      <c r="C29" s="917"/>
      <c r="D29" s="30">
        <f>E19</f>
        <v>13361537.34</v>
      </c>
      <c r="E29" s="14">
        <v>10831470.9</v>
      </c>
      <c r="F29" s="15">
        <f aca="true" t="shared" si="2" ref="F29:F34">E29-D29</f>
        <v>-2530066.4399999995</v>
      </c>
      <c r="G29" s="16">
        <f aca="true" t="shared" si="3" ref="G29:G34">IF(D29=0,"",F29/D29)</f>
        <v>-0.18935444145531233</v>
      </c>
    </row>
    <row r="30" spans="2:7" ht="15">
      <c r="B30" s="916" t="s">
        <v>31</v>
      </c>
      <c r="C30" s="917"/>
      <c r="D30" s="30">
        <f>E20</f>
        <v>9318936.469999999</v>
      </c>
      <c r="E30" s="14">
        <v>8488612.24</v>
      </c>
      <c r="F30" s="15">
        <f t="shared" si="2"/>
        <v>-830324.2299999986</v>
      </c>
      <c r="G30" s="16">
        <f t="shared" si="3"/>
        <v>-0.08910075014171641</v>
      </c>
    </row>
    <row r="31" spans="2:7" ht="15">
      <c r="B31" s="916" t="s">
        <v>32</v>
      </c>
      <c r="C31" s="917"/>
      <c r="D31" s="30">
        <f>E21</f>
        <v>9965156.309999999</v>
      </c>
      <c r="E31" s="14">
        <v>11924541.399999999</v>
      </c>
      <c r="F31" s="15">
        <f t="shared" si="2"/>
        <v>1959385.0899999999</v>
      </c>
      <c r="G31" s="16">
        <f t="shared" si="3"/>
        <v>0.19662361824006352</v>
      </c>
    </row>
    <row r="32" spans="2:7" ht="15">
      <c r="B32" s="916" t="s">
        <v>33</v>
      </c>
      <c r="C32" s="917"/>
      <c r="D32" s="30">
        <f>E22</f>
        <v>1093831.29</v>
      </c>
      <c r="E32" s="14">
        <v>1331859.78</v>
      </c>
      <c r="F32" s="15">
        <f t="shared" si="2"/>
        <v>238028.49</v>
      </c>
      <c r="G32" s="16">
        <f t="shared" si="3"/>
        <v>0.21760987473671556</v>
      </c>
    </row>
    <row r="33" spans="2:7" ht="15.75" thickBot="1">
      <c r="B33" s="909" t="s">
        <v>34</v>
      </c>
      <c r="C33" s="910"/>
      <c r="D33" s="31">
        <f>E23</f>
        <v>25937665.960000005</v>
      </c>
      <c r="E33" s="14">
        <v>24261244.340000004</v>
      </c>
      <c r="F33" s="19">
        <f t="shared" si="2"/>
        <v>-1676421.620000001</v>
      </c>
      <c r="G33" s="20">
        <f t="shared" si="3"/>
        <v>-0.06463270914913119</v>
      </c>
    </row>
    <row r="34" spans="2:7" ht="16.5" thickBot="1" thickTop="1">
      <c r="B34" s="929" t="s">
        <v>35</v>
      </c>
      <c r="C34" s="930"/>
      <c r="D34" s="21">
        <f>SUM(D29:D33)</f>
        <v>59677127.370000005</v>
      </c>
      <c r="E34" s="22">
        <f>SUM(E29:E33)</f>
        <v>56837728.660000004</v>
      </c>
      <c r="F34" s="22">
        <f t="shared" si="2"/>
        <v>-2839398.710000001</v>
      </c>
      <c r="G34" s="23">
        <f t="shared" si="3"/>
        <v>-0.047579346311286776</v>
      </c>
    </row>
    <row r="35" spans="2:7" ht="15.75" thickBot="1">
      <c r="B35" s="931" t="s">
        <v>36</v>
      </c>
      <c r="C35" s="932"/>
      <c r="D35" s="932"/>
      <c r="E35" s="932"/>
      <c r="F35" s="933"/>
      <c r="G35" s="24">
        <v>0.013</v>
      </c>
    </row>
    <row r="36" spans="2:7" ht="15.75" thickBot="1">
      <c r="B36" s="25"/>
      <c r="C36" s="25"/>
      <c r="D36" s="26"/>
      <c r="E36" s="26"/>
      <c r="F36" s="26"/>
      <c r="G36" s="27"/>
    </row>
    <row r="37" spans="2:7" ht="12.75">
      <c r="B37" s="911"/>
      <c r="C37" s="913"/>
      <c r="D37" s="8">
        <f>E27</f>
        <v>2010</v>
      </c>
      <c r="E37" s="7">
        <v>2011</v>
      </c>
      <c r="F37" s="9" t="s">
        <v>24</v>
      </c>
      <c r="G37" s="10" t="s">
        <v>25</v>
      </c>
    </row>
    <row r="38" spans="2:7" ht="12.75">
      <c r="B38" s="914"/>
      <c r="C38" s="915"/>
      <c r="D38" s="28" t="s">
        <v>37</v>
      </c>
      <c r="E38" s="28" t="s">
        <v>38</v>
      </c>
      <c r="F38" s="28" t="s">
        <v>28</v>
      </c>
      <c r="G38" s="29" t="s">
        <v>29</v>
      </c>
    </row>
    <row r="39" spans="2:7" ht="15">
      <c r="B39" s="916" t="s">
        <v>30</v>
      </c>
      <c r="C39" s="917"/>
      <c r="D39" s="30">
        <f>E29</f>
        <v>10831470.9</v>
      </c>
      <c r="E39" s="14">
        <v>12292410.610000003</v>
      </c>
      <c r="F39" s="15">
        <f aca="true" t="shared" si="4" ref="F39:F44">E39-D39</f>
        <v>1460939.7100000028</v>
      </c>
      <c r="G39" s="16">
        <f aca="true" t="shared" si="5" ref="G39:G44">IF(D39=0,"",F39/D39)</f>
        <v>0.13487916124115726</v>
      </c>
    </row>
    <row r="40" spans="2:7" ht="15">
      <c r="B40" s="916" t="s">
        <v>31</v>
      </c>
      <c r="C40" s="917"/>
      <c r="D40" s="30">
        <f>E30</f>
        <v>8488612.24</v>
      </c>
      <c r="E40" s="14">
        <v>9236005.230000002</v>
      </c>
      <c r="F40" s="15">
        <f t="shared" si="4"/>
        <v>747392.9900000021</v>
      </c>
      <c r="G40" s="16">
        <f t="shared" si="5"/>
        <v>0.08804654622791465</v>
      </c>
    </row>
    <row r="41" spans="2:7" ht="15">
      <c r="B41" s="916" t="s">
        <v>32</v>
      </c>
      <c r="C41" s="917"/>
      <c r="D41" s="30">
        <f>E31</f>
        <v>11924541.399999999</v>
      </c>
      <c r="E41" s="14">
        <v>12516572.000000002</v>
      </c>
      <c r="F41" s="15">
        <f t="shared" si="4"/>
        <v>592030.6000000034</v>
      </c>
      <c r="G41" s="16">
        <f t="shared" si="5"/>
        <v>0.0496480812251617</v>
      </c>
    </row>
    <row r="42" spans="2:7" ht="15">
      <c r="B42" s="916" t="s">
        <v>33</v>
      </c>
      <c r="C42" s="917"/>
      <c r="D42" s="30">
        <f>E32</f>
        <v>1331859.78</v>
      </c>
      <c r="E42" s="14">
        <v>2167949.6999999997</v>
      </c>
      <c r="F42" s="15">
        <f t="shared" si="4"/>
        <v>836089.9199999997</v>
      </c>
      <c r="G42" s="16">
        <f t="shared" si="5"/>
        <v>0.6277612197284009</v>
      </c>
    </row>
    <row r="43" spans="2:7" ht="15.75" thickBot="1">
      <c r="B43" s="909" t="s">
        <v>34</v>
      </c>
      <c r="C43" s="910"/>
      <c r="D43" s="31">
        <f>E33</f>
        <v>24261244.340000004</v>
      </c>
      <c r="E43" s="14">
        <v>25873793.470000003</v>
      </c>
      <c r="F43" s="19">
        <f t="shared" si="4"/>
        <v>1612549.129999999</v>
      </c>
      <c r="G43" s="20">
        <f t="shared" si="5"/>
        <v>0.06646605208708758</v>
      </c>
    </row>
    <row r="44" spans="2:7" ht="16.5" thickBot="1" thickTop="1">
      <c r="B44" s="929" t="s">
        <v>35</v>
      </c>
      <c r="C44" s="930"/>
      <c r="D44" s="21">
        <f>SUM(D39:D43)</f>
        <v>56837728.660000004</v>
      </c>
      <c r="E44" s="22">
        <f>SUM(E39:E43)</f>
        <v>62086731.010000005</v>
      </c>
      <c r="F44" s="22">
        <f t="shared" si="4"/>
        <v>5249002.3500000015</v>
      </c>
      <c r="G44" s="23">
        <f t="shared" si="5"/>
        <v>0.09235067047452282</v>
      </c>
    </row>
    <row r="45" spans="2:7" ht="15.75" thickBot="1">
      <c r="B45" s="931" t="s">
        <v>36</v>
      </c>
      <c r="C45" s="932"/>
      <c r="D45" s="932"/>
      <c r="E45" s="932"/>
      <c r="F45" s="933"/>
      <c r="G45" s="24">
        <v>0.02</v>
      </c>
    </row>
    <row r="46" spans="2:7" ht="15.75" thickBot="1">
      <c r="B46" s="25"/>
      <c r="C46" s="25"/>
      <c r="D46" s="26"/>
      <c r="E46" s="26"/>
      <c r="F46" s="26"/>
      <c r="G46" s="27"/>
    </row>
    <row r="47" spans="2:7" ht="12.75">
      <c r="B47" s="911"/>
      <c r="C47" s="913"/>
      <c r="D47" s="8">
        <f aca="true" t="shared" si="6" ref="D47:D53">E37</f>
        <v>2011</v>
      </c>
      <c r="E47" s="7">
        <v>2011</v>
      </c>
      <c r="F47" s="9" t="s">
        <v>24</v>
      </c>
      <c r="G47" s="10" t="s">
        <v>25</v>
      </c>
    </row>
    <row r="48" spans="2:7" ht="12.75">
      <c r="B48" s="914"/>
      <c r="C48" s="915"/>
      <c r="D48" s="28" t="str">
        <f t="shared" si="6"/>
        <v>Actuals (CGAAP)</v>
      </c>
      <c r="E48" s="28" t="s">
        <v>39</v>
      </c>
      <c r="F48" s="28" t="s">
        <v>28</v>
      </c>
      <c r="G48" s="29" t="s">
        <v>29</v>
      </c>
    </row>
    <row r="49" spans="2:7" ht="15">
      <c r="B49" s="916" t="s">
        <v>30</v>
      </c>
      <c r="C49" s="917"/>
      <c r="D49" s="30">
        <f t="shared" si="6"/>
        <v>12292410.610000003</v>
      </c>
      <c r="E49" s="14">
        <v>19579408.03</v>
      </c>
      <c r="F49" s="15">
        <f aca="true" t="shared" si="7" ref="F49:F54">E49-D49</f>
        <v>7286997.419999998</v>
      </c>
      <c r="G49" s="16">
        <f aca="true" t="shared" si="8" ref="G49:G54">IF(D49=0,"",F49/D49)</f>
        <v>0.5928045890422787</v>
      </c>
    </row>
    <row r="50" spans="2:7" ht="15">
      <c r="B50" s="916" t="s">
        <v>31</v>
      </c>
      <c r="C50" s="917"/>
      <c r="D50" s="30">
        <f t="shared" si="6"/>
        <v>9236005.230000002</v>
      </c>
      <c r="E50" s="14">
        <v>7350509.14</v>
      </c>
      <c r="F50" s="15">
        <f t="shared" si="7"/>
        <v>-1885496.0900000026</v>
      </c>
      <c r="G50" s="16">
        <f t="shared" si="8"/>
        <v>-0.20414627786000097</v>
      </c>
    </row>
    <row r="51" spans="2:7" ht="15">
      <c r="B51" s="916" t="s">
        <v>32</v>
      </c>
      <c r="C51" s="917"/>
      <c r="D51" s="30">
        <f t="shared" si="6"/>
        <v>12516572.000000002</v>
      </c>
      <c r="E51" s="14">
        <v>15652528.100000003</v>
      </c>
      <c r="F51" s="15">
        <f t="shared" si="7"/>
        <v>3135956.1000000015</v>
      </c>
      <c r="G51" s="16">
        <f t="shared" si="8"/>
        <v>0.2505443263538931</v>
      </c>
    </row>
    <row r="52" spans="2:7" ht="15">
      <c r="B52" s="916" t="s">
        <v>33</v>
      </c>
      <c r="C52" s="917"/>
      <c r="D52" s="30">
        <f t="shared" si="6"/>
        <v>2167949.6999999997</v>
      </c>
      <c r="E52" s="14">
        <v>2073905.31</v>
      </c>
      <c r="F52" s="15">
        <f t="shared" si="7"/>
        <v>-94044.38999999966</v>
      </c>
      <c r="G52" s="16">
        <f t="shared" si="8"/>
        <v>-0.04337941512203889</v>
      </c>
    </row>
    <row r="53" spans="2:7" ht="15.75" thickBot="1">
      <c r="B53" s="909" t="s">
        <v>34</v>
      </c>
      <c r="C53" s="910"/>
      <c r="D53" s="31">
        <f t="shared" si="6"/>
        <v>25873793.470000003</v>
      </c>
      <c r="E53" s="14">
        <v>29229010.673381</v>
      </c>
      <c r="F53" s="19">
        <f t="shared" si="7"/>
        <v>3355217.203380998</v>
      </c>
      <c r="G53" s="20">
        <f t="shared" si="8"/>
        <v>0.12967627678064625</v>
      </c>
    </row>
    <row r="54" spans="2:7" ht="16.5" thickBot="1" thickTop="1">
      <c r="B54" s="929" t="s">
        <v>35</v>
      </c>
      <c r="C54" s="930"/>
      <c r="D54" s="21">
        <f>SUM(D49:D53)</f>
        <v>62086731.010000005</v>
      </c>
      <c r="E54" s="22">
        <f>SUM(E49:E53)</f>
        <v>73885361.25338101</v>
      </c>
      <c r="F54" s="22">
        <f t="shared" si="7"/>
        <v>11798630.243381009</v>
      </c>
      <c r="G54" s="23">
        <f t="shared" si="8"/>
        <v>0.19003465074495002</v>
      </c>
    </row>
    <row r="55" spans="2:7" ht="15.75" thickBot="1">
      <c r="B55" s="931" t="s">
        <v>36</v>
      </c>
      <c r="C55" s="932"/>
      <c r="D55" s="932"/>
      <c r="E55" s="932"/>
      <c r="F55" s="933"/>
      <c r="G55" s="24">
        <f>G45</f>
        <v>0.02</v>
      </c>
    </row>
    <row r="56" spans="2:7" ht="15.75" thickBot="1">
      <c r="B56" s="25"/>
      <c r="C56" s="25"/>
      <c r="D56" s="26"/>
      <c r="E56" s="26"/>
      <c r="F56" s="26"/>
      <c r="G56" s="27"/>
    </row>
    <row r="57" spans="2:7" ht="12.75">
      <c r="B57" s="911"/>
      <c r="C57" s="913"/>
      <c r="D57" s="8">
        <f aca="true" t="shared" si="9" ref="D57:D63">E47</f>
        <v>2011</v>
      </c>
      <c r="E57" s="7">
        <v>2012</v>
      </c>
      <c r="F57" s="9" t="s">
        <v>24</v>
      </c>
      <c r="G57" s="10" t="s">
        <v>25</v>
      </c>
    </row>
    <row r="58" spans="2:7" ht="12.75">
      <c r="B58" s="914"/>
      <c r="C58" s="915"/>
      <c r="D58" s="28" t="str">
        <f t="shared" si="9"/>
        <v>Actuals (MIFRS)</v>
      </c>
      <c r="E58" s="28" t="s">
        <v>40</v>
      </c>
      <c r="F58" s="28" t="s">
        <v>28</v>
      </c>
      <c r="G58" s="29" t="s">
        <v>29</v>
      </c>
    </row>
    <row r="59" spans="2:7" ht="15">
      <c r="B59" s="916" t="s">
        <v>30</v>
      </c>
      <c r="C59" s="917"/>
      <c r="D59" s="30">
        <f t="shared" si="9"/>
        <v>19579408.03</v>
      </c>
      <c r="E59" s="14">
        <v>23616751.11920013</v>
      </c>
      <c r="F59" s="15">
        <f aca="true" t="shared" si="10" ref="F59:F64">E59-D59</f>
        <v>4037343.089200128</v>
      </c>
      <c r="G59" s="16">
        <f aca="true" t="shared" si="11" ref="G59:G64">IF(D59=0,"",F59/D59)</f>
        <v>0.2062035319461151</v>
      </c>
    </row>
    <row r="60" spans="2:7" ht="15">
      <c r="B60" s="916" t="s">
        <v>31</v>
      </c>
      <c r="C60" s="917"/>
      <c r="D60" s="30">
        <f t="shared" si="9"/>
        <v>7350509.14</v>
      </c>
      <c r="E60" s="14">
        <v>7027380.225214953</v>
      </c>
      <c r="F60" s="15">
        <f t="shared" si="10"/>
        <v>-323128.91478504706</v>
      </c>
      <c r="G60" s="16">
        <f t="shared" si="11"/>
        <v>-0.04396007251071143</v>
      </c>
    </row>
    <row r="61" spans="2:7" ht="15">
      <c r="B61" s="916" t="s">
        <v>32</v>
      </c>
      <c r="C61" s="917"/>
      <c r="D61" s="30">
        <f t="shared" si="9"/>
        <v>15652528.100000003</v>
      </c>
      <c r="E61" s="14">
        <v>14615393.18821197</v>
      </c>
      <c r="F61" s="15">
        <f t="shared" si="10"/>
        <v>-1037134.9117880333</v>
      </c>
      <c r="G61" s="16">
        <f t="shared" si="11"/>
        <v>-0.06625989777255427</v>
      </c>
    </row>
    <row r="62" spans="2:7" ht="15">
      <c r="B62" s="916" t="s">
        <v>33</v>
      </c>
      <c r="C62" s="917"/>
      <c r="D62" s="30">
        <f t="shared" si="9"/>
        <v>2073905.31</v>
      </c>
      <c r="E62" s="14">
        <v>1172517.8280025772</v>
      </c>
      <c r="F62" s="15">
        <f t="shared" si="10"/>
        <v>-901387.4819974229</v>
      </c>
      <c r="G62" s="16">
        <f t="shared" si="11"/>
        <v>-0.43463290134370836</v>
      </c>
    </row>
    <row r="63" spans="2:7" ht="15.75" thickBot="1">
      <c r="B63" s="909" t="s">
        <v>34</v>
      </c>
      <c r="C63" s="910"/>
      <c r="D63" s="31">
        <f t="shared" si="9"/>
        <v>29229010.673381</v>
      </c>
      <c r="E63" s="14">
        <v>35163637.31336452</v>
      </c>
      <c r="F63" s="19">
        <f t="shared" si="10"/>
        <v>5934626.63998352</v>
      </c>
      <c r="G63" s="20">
        <f t="shared" si="11"/>
        <v>0.20303891590105075</v>
      </c>
    </row>
    <row r="64" spans="2:7" ht="16.5" thickBot="1" thickTop="1">
      <c r="B64" s="929" t="s">
        <v>35</v>
      </c>
      <c r="C64" s="930"/>
      <c r="D64" s="21">
        <f>SUM(D59:D63)</f>
        <v>73885361.25338101</v>
      </c>
      <c r="E64" s="22">
        <f>SUM(E59:E63)</f>
        <v>81595679.67399415</v>
      </c>
      <c r="F64" s="22">
        <f t="shared" si="10"/>
        <v>7710318.42061314</v>
      </c>
      <c r="G64" s="23">
        <f t="shared" si="11"/>
        <v>0.10435515628287347</v>
      </c>
    </row>
    <row r="65" spans="2:7" ht="15.75" thickBot="1">
      <c r="B65" s="931" t="s">
        <v>36</v>
      </c>
      <c r="C65" s="932"/>
      <c r="D65" s="932"/>
      <c r="E65" s="932"/>
      <c r="F65" s="933"/>
      <c r="G65" s="24">
        <v>0.02</v>
      </c>
    </row>
    <row r="66" spans="2:7" ht="15.75" thickBot="1">
      <c r="B66" s="25"/>
      <c r="C66" s="25"/>
      <c r="D66" s="26"/>
      <c r="E66" s="26"/>
      <c r="F66" s="26"/>
      <c r="G66" s="27"/>
    </row>
    <row r="67" spans="2:7" ht="12.75">
      <c r="B67" s="911"/>
      <c r="C67" s="913"/>
      <c r="D67" s="8">
        <f aca="true" t="shared" si="12" ref="D67:D73">E57</f>
        <v>2012</v>
      </c>
      <c r="E67" s="7">
        <v>2013</v>
      </c>
      <c r="F67" s="9" t="s">
        <v>24</v>
      </c>
      <c r="G67" s="10" t="s">
        <v>25</v>
      </c>
    </row>
    <row r="68" spans="2:7" ht="12.75">
      <c r="B68" s="914"/>
      <c r="C68" s="915"/>
      <c r="D68" s="28" t="str">
        <f t="shared" si="12"/>
        <v>Forecast (MIFRS)</v>
      </c>
      <c r="E68" s="28" t="str">
        <f>D68</f>
        <v>Forecast (MIFRS)</v>
      </c>
      <c r="F68" s="28" t="s">
        <v>28</v>
      </c>
      <c r="G68" s="29" t="s">
        <v>29</v>
      </c>
    </row>
    <row r="69" spans="2:7" ht="15">
      <c r="B69" s="916" t="s">
        <v>30</v>
      </c>
      <c r="C69" s="917"/>
      <c r="D69" s="30">
        <f t="shared" si="12"/>
        <v>23616751.11920013</v>
      </c>
      <c r="E69" s="14">
        <v>24964004.54985821</v>
      </c>
      <c r="F69" s="15">
        <f aca="true" t="shared" si="13" ref="F69:F74">E69-D69</f>
        <v>1347253.4306580797</v>
      </c>
      <c r="G69" s="16">
        <f aca="true" t="shared" si="14" ref="G69:G74">IF(D69=0,"",F69/D69)</f>
        <v>0.05704651854347481</v>
      </c>
    </row>
    <row r="70" spans="2:7" ht="15">
      <c r="B70" s="916" t="s">
        <v>31</v>
      </c>
      <c r="C70" s="917"/>
      <c r="D70" s="30">
        <f t="shared" si="12"/>
        <v>7027380.225214953</v>
      </c>
      <c r="E70" s="14">
        <v>7636632.574984847</v>
      </c>
      <c r="F70" s="15">
        <f t="shared" si="13"/>
        <v>609252.349769894</v>
      </c>
      <c r="G70" s="16">
        <f t="shared" si="14"/>
        <v>0.08669693829627076</v>
      </c>
    </row>
    <row r="71" spans="2:7" ht="15">
      <c r="B71" s="916" t="s">
        <v>32</v>
      </c>
      <c r="C71" s="917"/>
      <c r="D71" s="30">
        <f t="shared" si="12"/>
        <v>14615393.18821197</v>
      </c>
      <c r="E71" s="14">
        <v>15756981.386743873</v>
      </c>
      <c r="F71" s="15">
        <f t="shared" si="13"/>
        <v>1141588.1985319033</v>
      </c>
      <c r="G71" s="16">
        <f t="shared" si="14"/>
        <v>0.07810862039980218</v>
      </c>
    </row>
    <row r="72" spans="2:7" ht="15">
      <c r="B72" s="916" t="s">
        <v>33</v>
      </c>
      <c r="C72" s="917"/>
      <c r="D72" s="30">
        <f t="shared" si="12"/>
        <v>1172517.8280025772</v>
      </c>
      <c r="E72" s="14">
        <v>1264602.297577783</v>
      </c>
      <c r="F72" s="15">
        <f t="shared" si="13"/>
        <v>92084.46957520582</v>
      </c>
      <c r="G72" s="16">
        <f t="shared" si="14"/>
        <v>0.07853566690075386</v>
      </c>
    </row>
    <row r="73" spans="2:7" ht="15.75" thickBot="1">
      <c r="B73" s="909" t="s">
        <v>34</v>
      </c>
      <c r="C73" s="910"/>
      <c r="D73" s="31">
        <f t="shared" si="12"/>
        <v>35163637.31336452</v>
      </c>
      <c r="E73" s="14">
        <v>36078880.292816855</v>
      </c>
      <c r="F73" s="19">
        <f t="shared" si="13"/>
        <v>915242.9794523343</v>
      </c>
      <c r="G73" s="20">
        <f t="shared" si="14"/>
        <v>0.026028108847103857</v>
      </c>
    </row>
    <row r="74" spans="2:7" ht="16.5" thickBot="1" thickTop="1">
      <c r="B74" s="929" t="s">
        <v>35</v>
      </c>
      <c r="C74" s="930"/>
      <c r="D74" s="21">
        <f>SUM(D69:D73)</f>
        <v>81595679.67399415</v>
      </c>
      <c r="E74" s="22">
        <f>SUM(E69:E73)</f>
        <v>85701101.10198157</v>
      </c>
      <c r="F74" s="22">
        <f t="shared" si="13"/>
        <v>4105421.4279874116</v>
      </c>
      <c r="G74" s="23">
        <f t="shared" si="14"/>
        <v>0.05031420100169685</v>
      </c>
    </row>
    <row r="75" spans="2:7" ht="15.75" thickBot="1">
      <c r="B75" s="931" t="s">
        <v>36</v>
      </c>
      <c r="C75" s="932"/>
      <c r="D75" s="932"/>
      <c r="E75" s="932"/>
      <c r="F75" s="933"/>
      <c r="G75" s="24">
        <v>0.02</v>
      </c>
    </row>
    <row r="77" spans="2:7" ht="12.75">
      <c r="B77" s="2" t="s">
        <v>41</v>
      </c>
      <c r="C77" s="2" t="s">
        <v>42</v>
      </c>
      <c r="D77" s="2"/>
      <c r="E77" s="2"/>
      <c r="F77" s="2"/>
      <c r="G77" s="2"/>
    </row>
    <row r="79" spans="2:4" ht="12.75">
      <c r="B79" s="32" t="s">
        <v>43</v>
      </c>
      <c r="C79" s="2"/>
      <c r="D79" s="2"/>
    </row>
    <row r="80" ht="13.5" thickBot="1">
      <c r="B80" s="2"/>
    </row>
    <row r="81" spans="2:7" ht="12.75">
      <c r="B81" s="912"/>
      <c r="C81" s="913"/>
      <c r="D81" s="33">
        <f>D57</f>
        <v>2011</v>
      </c>
      <c r="E81" s="33">
        <f>E67</f>
        <v>2013</v>
      </c>
      <c r="F81" s="33" t="s">
        <v>24</v>
      </c>
      <c r="G81" s="34" t="s">
        <v>25</v>
      </c>
    </row>
    <row r="82" spans="2:7" ht="12.75">
      <c r="B82" s="914"/>
      <c r="C82" s="915"/>
      <c r="D82" s="35" t="s">
        <v>37</v>
      </c>
      <c r="E82" s="35" t="s">
        <v>44</v>
      </c>
      <c r="F82" s="35" t="s">
        <v>28</v>
      </c>
      <c r="G82" s="36" t="s">
        <v>29</v>
      </c>
    </row>
    <row r="83" spans="2:7" ht="25.5" customHeight="1">
      <c r="B83" s="925" t="s">
        <v>45</v>
      </c>
      <c r="C83" s="926"/>
      <c r="D83" s="37">
        <f>D64</f>
        <v>73885361.25338101</v>
      </c>
      <c r="E83" s="37">
        <f>E74</f>
        <v>85701101.10198157</v>
      </c>
      <c r="F83" s="37">
        <f>E83-D83</f>
        <v>11815739.848600551</v>
      </c>
      <c r="G83" s="38">
        <f>IF(D83=0,"",F83/D83)</f>
        <v>0.1599199035933503</v>
      </c>
    </row>
    <row r="84" spans="2:7" ht="12.75">
      <c r="B84" s="921"/>
      <c r="C84" s="922"/>
      <c r="D84" s="39">
        <f>D17</f>
        <v>2009</v>
      </c>
      <c r="E84" s="40">
        <f>E81</f>
        <v>2013</v>
      </c>
      <c r="F84" s="40" t="str">
        <f>F81</f>
        <v>Variance</v>
      </c>
      <c r="G84" s="41" t="str">
        <f>G81</f>
        <v>Percentage Change</v>
      </c>
    </row>
    <row r="85" spans="2:7" ht="12.75">
      <c r="B85" s="923"/>
      <c r="C85" s="924"/>
      <c r="D85" s="42" t="s">
        <v>46</v>
      </c>
      <c r="E85" s="35" t="s">
        <v>44</v>
      </c>
      <c r="F85" s="35" t="str">
        <f>F82</f>
        <v>$</v>
      </c>
      <c r="G85" s="36" t="str">
        <f>G82</f>
        <v>%</v>
      </c>
    </row>
    <row r="86" spans="2:7" ht="25.5" customHeight="1">
      <c r="B86" s="925" t="s">
        <v>47</v>
      </c>
      <c r="C86" s="926"/>
      <c r="D86" s="43">
        <f>D24</f>
        <v>43216300.26689026</v>
      </c>
      <c r="E86" s="43">
        <f>E83</f>
        <v>85701101.10198157</v>
      </c>
      <c r="F86" s="43">
        <f>E86-D86</f>
        <v>42484800.83509131</v>
      </c>
      <c r="G86" s="38">
        <f>IF(D86=0,"",F86/D86)</f>
        <v>0.9830735294950878</v>
      </c>
    </row>
    <row r="87" spans="2:7" ht="25.5" customHeight="1">
      <c r="B87" s="925" t="s">
        <v>48</v>
      </c>
      <c r="C87" s="926"/>
      <c r="D87" s="44"/>
      <c r="E87" s="44"/>
      <c r="F87" s="44"/>
      <c r="G87" s="45">
        <f>IF(ISERROR(AVERAGE(G34,G44,G54,G64,G74)),0,AVERAGE(G34,G44,G54,G64,G74))</f>
        <v>0.07789506643855128</v>
      </c>
    </row>
    <row r="88" spans="2:7" ht="24.75" customHeight="1" thickBot="1">
      <c r="B88" s="927" t="s">
        <v>49</v>
      </c>
      <c r="C88" s="928"/>
      <c r="D88" s="46"/>
      <c r="E88" s="46"/>
      <c r="F88" s="46"/>
      <c r="G88" s="47">
        <f>IF(ISERROR(((E86/D86)^(1/(E84-D84-1)))),0,((E86/D86)^(1/(E84-D84-1))))</f>
        <v>1.2563566393396004</v>
      </c>
    </row>
    <row r="90" spans="2:7" ht="12.75" customHeight="1">
      <c r="B90" s="2" t="s">
        <v>50</v>
      </c>
      <c r="C90" s="920" t="s">
        <v>51</v>
      </c>
      <c r="D90" s="920"/>
      <c r="E90" s="920"/>
      <c r="F90" s="920"/>
      <c r="G90" s="920"/>
    </row>
    <row r="91" spans="3:7" ht="27.75" customHeight="1">
      <c r="C91" s="920" t="s">
        <v>52</v>
      </c>
      <c r="D91" s="920"/>
      <c r="E91" s="920"/>
      <c r="F91" s="920"/>
      <c r="G91" s="920"/>
    </row>
    <row r="92" spans="3:7" ht="24.75" customHeight="1">
      <c r="C92" s="920" t="s">
        <v>53</v>
      </c>
      <c r="D92" s="920"/>
      <c r="E92" s="920"/>
      <c r="F92" s="920"/>
      <c r="G92" s="920"/>
    </row>
    <row r="93" spans="3:7" ht="27" customHeight="1">
      <c r="C93" s="920" t="s">
        <v>54</v>
      </c>
      <c r="D93" s="920"/>
      <c r="E93" s="920"/>
      <c r="F93" s="920"/>
      <c r="G93" s="920"/>
    </row>
    <row r="94" spans="3:7" ht="3.75" customHeight="1">
      <c r="C94" s="49"/>
      <c r="D94" s="49"/>
      <c r="E94" s="49"/>
      <c r="F94" s="49"/>
      <c r="G94" s="49"/>
    </row>
    <row r="95" spans="2:3" ht="12.75">
      <c r="B95" s="2" t="s">
        <v>55</v>
      </c>
      <c r="C95" s="1" t="s">
        <v>56</v>
      </c>
    </row>
    <row r="96" spans="2:3" ht="12.75">
      <c r="B96" s="2" t="s">
        <v>57</v>
      </c>
      <c r="C96" s="1" t="s">
        <v>58</v>
      </c>
    </row>
  </sheetData>
  <sheetProtection/>
  <mergeCells count="60">
    <mergeCell ref="B9:G9"/>
    <mergeCell ref="B10:G10"/>
    <mergeCell ref="B17:C18"/>
    <mergeCell ref="B19:C19"/>
    <mergeCell ref="B20:C20"/>
    <mergeCell ref="B21:C21"/>
    <mergeCell ref="B22:C22"/>
    <mergeCell ref="B23:C23"/>
    <mergeCell ref="B24:C24"/>
    <mergeCell ref="B25:F25"/>
    <mergeCell ref="B27:C28"/>
    <mergeCell ref="B29:C29"/>
    <mergeCell ref="B30:C30"/>
    <mergeCell ref="B31:C31"/>
    <mergeCell ref="B32:C32"/>
    <mergeCell ref="B33:C33"/>
    <mergeCell ref="B34:C34"/>
    <mergeCell ref="B35:F35"/>
    <mergeCell ref="B37:C38"/>
    <mergeCell ref="B39:C39"/>
    <mergeCell ref="B40:C40"/>
    <mergeCell ref="B41:C41"/>
    <mergeCell ref="B42:C42"/>
    <mergeCell ref="B43:C43"/>
    <mergeCell ref="B44:C44"/>
    <mergeCell ref="B45:F45"/>
    <mergeCell ref="B47:C48"/>
    <mergeCell ref="B49:C49"/>
    <mergeCell ref="B50:C50"/>
    <mergeCell ref="B51:C51"/>
    <mergeCell ref="B52:C52"/>
    <mergeCell ref="B53:C53"/>
    <mergeCell ref="B54:C54"/>
    <mergeCell ref="B55:F55"/>
    <mergeCell ref="B57:C58"/>
    <mergeCell ref="B59:C59"/>
    <mergeCell ref="B60:C60"/>
    <mergeCell ref="B61:C61"/>
    <mergeCell ref="B62:C62"/>
    <mergeCell ref="B63:C63"/>
    <mergeCell ref="B64:C64"/>
    <mergeCell ref="B65:F65"/>
    <mergeCell ref="B67:C68"/>
    <mergeCell ref="B69:C69"/>
    <mergeCell ref="B70:C70"/>
    <mergeCell ref="B71:C71"/>
    <mergeCell ref="B72:C72"/>
    <mergeCell ref="B73:C73"/>
    <mergeCell ref="B74:C74"/>
    <mergeCell ref="B75:F75"/>
    <mergeCell ref="B81:C82"/>
    <mergeCell ref="B83:C83"/>
    <mergeCell ref="B84:C85"/>
    <mergeCell ref="B86:C86"/>
    <mergeCell ref="B87:C87"/>
    <mergeCell ref="B88:C88"/>
    <mergeCell ref="C90:G90"/>
    <mergeCell ref="C91:G91"/>
    <mergeCell ref="C92:G92"/>
    <mergeCell ref="C93:G93"/>
  </mergeCells>
  <dataValidations count="1">
    <dataValidation allowBlank="1" showInputMessage="1" showErrorMessage="1" promptTitle="Date Format" prompt="E.g:  &quot;August 1, 2011&quot;" sqref="G7"/>
  </dataValidations>
  <printOptions/>
  <pageMargins left="0.75" right="0.75" top="1" bottom="1" header="0.5" footer="0.5"/>
  <pageSetup fitToHeight="0" horizontalDpi="600" verticalDpi="600" orientation="portrait" scale="85" r:id="rId1"/>
  <rowBreaks count="2" manualBreakCount="2">
    <brk id="36" max="6" man="1"/>
    <brk id="76" max="6" man="1"/>
  </rowBreaks>
</worksheet>
</file>

<file path=xl/worksheets/sheet6.xml><?xml version="1.0" encoding="utf-8"?>
<worksheet xmlns="http://schemas.openxmlformats.org/spreadsheetml/2006/main" xmlns:r="http://schemas.openxmlformats.org/officeDocument/2006/relationships">
  <sheetPr>
    <pageSetUpPr fitToPage="1"/>
  </sheetPr>
  <dimension ref="B1:I116"/>
  <sheetViews>
    <sheetView showGridLines="0" view="pageBreakPreview" zoomScale="60" zoomScalePageLayoutView="0" workbookViewId="0" topLeftCell="A4">
      <selection activeCell="B73" sqref="B73:I73"/>
    </sheetView>
  </sheetViews>
  <sheetFormatPr defaultColWidth="9.140625" defaultRowHeight="15" outlineLevelRow="1"/>
  <cols>
    <col min="1" max="1" width="2.7109375" style="1" customWidth="1"/>
    <col min="2" max="2" width="9.140625" style="1" customWidth="1"/>
    <col min="3" max="3" width="67.140625" style="1" customWidth="1"/>
    <col min="4" max="4" width="15.421875" style="1" bestFit="1" customWidth="1"/>
    <col min="5" max="5" width="14.8515625" style="1" bestFit="1" customWidth="1"/>
    <col min="6" max="6" width="20.28125" style="1" customWidth="1"/>
    <col min="7" max="7" width="19.8515625" style="1" customWidth="1"/>
    <col min="8" max="8" width="21.57421875" style="1" bestFit="1" customWidth="1"/>
    <col min="9" max="9" width="18.7109375" style="1" bestFit="1" customWidth="1"/>
    <col min="10" max="16384" width="9.140625" style="1" customWidth="1"/>
  </cols>
  <sheetData>
    <row r="1" spans="8:9" ht="12.75">
      <c r="H1" s="2" t="s">
        <v>10</v>
      </c>
      <c r="I1" s="3" t="s">
        <v>11</v>
      </c>
    </row>
    <row r="2" spans="8:9" ht="12.75">
      <c r="H2" s="2" t="s">
        <v>12</v>
      </c>
      <c r="I2" s="3" t="s">
        <v>13</v>
      </c>
    </row>
    <row r="3" spans="8:9" ht="12.75">
      <c r="H3" s="2" t="s">
        <v>14</v>
      </c>
      <c r="I3" s="5" t="s">
        <v>15</v>
      </c>
    </row>
    <row r="4" spans="8:9" ht="12.75">
      <c r="H4" s="2" t="s">
        <v>16</v>
      </c>
      <c r="I4" s="3"/>
    </row>
    <row r="5" spans="8:9" ht="12.75">
      <c r="H5" s="2" t="s">
        <v>18</v>
      </c>
      <c r="I5" s="3"/>
    </row>
    <row r="6" ht="12.75">
      <c r="H6" s="2"/>
    </row>
    <row r="7" spans="8:9" ht="12.75">
      <c r="H7" s="2" t="s">
        <v>19</v>
      </c>
      <c r="I7" s="6">
        <v>41033</v>
      </c>
    </row>
    <row r="9" spans="2:9" ht="18">
      <c r="B9" s="919" t="s">
        <v>142</v>
      </c>
      <c r="C9" s="919"/>
      <c r="D9" s="919"/>
      <c r="E9" s="919"/>
      <c r="F9" s="919"/>
      <c r="G9" s="919"/>
      <c r="H9" s="919"/>
      <c r="I9" s="919"/>
    </row>
    <row r="10" spans="2:9" ht="18">
      <c r="B10" s="919" t="s">
        <v>143</v>
      </c>
      <c r="C10" s="919"/>
      <c r="D10" s="919"/>
      <c r="E10" s="919"/>
      <c r="F10" s="919"/>
      <c r="G10" s="919"/>
      <c r="H10" s="919"/>
      <c r="I10" s="919"/>
    </row>
    <row r="11" spans="2:9" ht="15.75">
      <c r="B11" s="899" t="s">
        <v>144</v>
      </c>
      <c r="C11" s="899"/>
      <c r="D11" s="899"/>
      <c r="E11" s="899"/>
      <c r="F11" s="899"/>
      <c r="G11" s="899"/>
      <c r="H11" s="899"/>
      <c r="I11" s="899"/>
    </row>
    <row r="13" ht="13.5" thickBot="1"/>
    <row r="14" spans="2:9" ht="36" customHeight="1">
      <c r="B14" s="163" t="s">
        <v>145</v>
      </c>
      <c r="C14" s="164" t="s">
        <v>146</v>
      </c>
      <c r="D14" s="165" t="s">
        <v>147</v>
      </c>
      <c r="E14" s="165" t="s">
        <v>148</v>
      </c>
      <c r="F14" s="165" t="s">
        <v>149</v>
      </c>
      <c r="G14" s="165" t="s">
        <v>150</v>
      </c>
      <c r="H14" s="165" t="s">
        <v>151</v>
      </c>
      <c r="I14" s="166" t="s">
        <v>152</v>
      </c>
    </row>
    <row r="15" spans="2:9" ht="12.75">
      <c r="B15" s="907" t="s">
        <v>30</v>
      </c>
      <c r="C15" s="908"/>
      <c r="D15" s="908"/>
      <c r="E15" s="908"/>
      <c r="F15" s="908"/>
      <c r="G15" s="908"/>
      <c r="H15" s="908"/>
      <c r="I15" s="903"/>
    </row>
    <row r="16" spans="2:9" ht="15">
      <c r="B16" s="167">
        <v>5005</v>
      </c>
      <c r="C16" s="168" t="s">
        <v>153</v>
      </c>
      <c r="D16" s="169">
        <v>1486553.4799999997</v>
      </c>
      <c r="E16" s="169">
        <v>447286.21</v>
      </c>
      <c r="F16" s="169">
        <v>42483.19</v>
      </c>
      <c r="G16" s="169">
        <v>7769885.160000005</v>
      </c>
      <c r="H16" s="169">
        <v>8100773.79291262</v>
      </c>
      <c r="I16" s="169">
        <v>8609801.75140255</v>
      </c>
    </row>
    <row r="17" spans="2:9" ht="15">
      <c r="B17" s="170">
        <v>5010</v>
      </c>
      <c r="C17" s="171" t="s">
        <v>154</v>
      </c>
      <c r="D17" s="169">
        <v>2579484.36</v>
      </c>
      <c r="E17" s="169">
        <v>2852958.05</v>
      </c>
      <c r="F17" s="169">
        <v>3384604.96</v>
      </c>
      <c r="G17" s="169">
        <v>3279022.68</v>
      </c>
      <c r="H17" s="169">
        <v>3138721.443499999</v>
      </c>
      <c r="I17" s="169">
        <v>3243716.541499996</v>
      </c>
    </row>
    <row r="18" spans="2:9" ht="15">
      <c r="B18" s="172">
        <v>5012</v>
      </c>
      <c r="C18" s="173" t="s">
        <v>155</v>
      </c>
      <c r="D18" s="169">
        <v>565512.5700000001</v>
      </c>
      <c r="E18" s="169">
        <v>297789.46</v>
      </c>
      <c r="F18" s="169">
        <v>147888.64</v>
      </c>
      <c r="G18" s="169">
        <v>110183.79</v>
      </c>
      <c r="H18" s="169">
        <v>0</v>
      </c>
      <c r="I18" s="169">
        <v>0</v>
      </c>
    </row>
    <row r="19" spans="2:9" ht="15">
      <c r="B19" s="170">
        <v>5014</v>
      </c>
      <c r="C19" s="171" t="s">
        <v>156</v>
      </c>
      <c r="D19" s="169">
        <v>128226.8</v>
      </c>
      <c r="E19" s="169">
        <v>46325.22</v>
      </c>
      <c r="F19" s="169">
        <v>425125.35000000003</v>
      </c>
      <c r="G19" s="169">
        <v>308720.36</v>
      </c>
      <c r="H19" s="169">
        <v>368916.7066421314</v>
      </c>
      <c r="I19" s="169">
        <v>423291.10103146284</v>
      </c>
    </row>
    <row r="20" spans="2:9" ht="15">
      <c r="B20" s="170">
        <v>5015</v>
      </c>
      <c r="C20" s="171" t="s">
        <v>157</v>
      </c>
      <c r="D20" s="169">
        <v>4441.03</v>
      </c>
      <c r="E20" s="169">
        <v>516.69</v>
      </c>
      <c r="F20" s="169">
        <v>532.34</v>
      </c>
      <c r="G20" s="169">
        <v>404</v>
      </c>
      <c r="H20" s="169">
        <v>97855</v>
      </c>
      <c r="I20" s="169">
        <v>97487</v>
      </c>
    </row>
    <row r="21" spans="2:9" ht="15">
      <c r="B21" s="170">
        <v>5016</v>
      </c>
      <c r="C21" s="171" t="s">
        <v>158</v>
      </c>
      <c r="D21" s="169">
        <v>170416.52000000002</v>
      </c>
      <c r="E21" s="169">
        <v>332253.97</v>
      </c>
      <c r="F21" s="169">
        <v>409926.73</v>
      </c>
      <c r="G21" s="169">
        <v>1196539.4000000004</v>
      </c>
      <c r="H21" s="169">
        <v>1476418.4454420386</v>
      </c>
      <c r="I21" s="169">
        <v>1590178.8449075134</v>
      </c>
    </row>
    <row r="22" spans="2:9" ht="15">
      <c r="B22" s="170">
        <v>5017</v>
      </c>
      <c r="C22" s="171" t="s">
        <v>159</v>
      </c>
      <c r="D22" s="169">
        <v>15523.89</v>
      </c>
      <c r="E22" s="169">
        <v>33214.49</v>
      </c>
      <c r="F22" s="169">
        <v>62538.450000000004</v>
      </c>
      <c r="G22" s="169">
        <v>55394.32</v>
      </c>
      <c r="H22" s="169">
        <v>309063.5</v>
      </c>
      <c r="I22" s="169">
        <v>296096</v>
      </c>
    </row>
    <row r="23" spans="2:9" ht="15">
      <c r="B23" s="170">
        <v>5020</v>
      </c>
      <c r="C23" s="171" t="s">
        <v>160</v>
      </c>
      <c r="D23" s="169">
        <v>1863369.3199999998</v>
      </c>
      <c r="E23" s="169">
        <v>836129.81</v>
      </c>
      <c r="F23" s="169">
        <v>1210001.21</v>
      </c>
      <c r="G23" s="169">
        <v>815592.5800000001</v>
      </c>
      <c r="H23" s="169">
        <v>783108.1413889815</v>
      </c>
      <c r="I23" s="169">
        <v>795256.34522121</v>
      </c>
    </row>
    <row r="24" spans="2:9" ht="15">
      <c r="B24" s="170">
        <v>5025</v>
      </c>
      <c r="C24" s="171" t="s">
        <v>161</v>
      </c>
      <c r="D24" s="169">
        <v>377497.52</v>
      </c>
      <c r="E24" s="169">
        <v>488574.39</v>
      </c>
      <c r="F24" s="169">
        <v>413356.27</v>
      </c>
      <c r="G24" s="169">
        <v>418878.55000000005</v>
      </c>
      <c r="H24" s="169">
        <v>0</v>
      </c>
      <c r="I24" s="169">
        <v>0</v>
      </c>
    </row>
    <row r="25" spans="2:9" ht="15">
      <c r="B25" s="170">
        <v>5030</v>
      </c>
      <c r="C25" s="171" t="s">
        <v>162</v>
      </c>
      <c r="D25" s="169">
        <v>155453.7</v>
      </c>
      <c r="E25" s="169">
        <v>0</v>
      </c>
      <c r="F25" s="169">
        <v>-390.82</v>
      </c>
      <c r="G25" s="169">
        <v>-371.44000000000005</v>
      </c>
      <c r="H25" s="169">
        <v>0</v>
      </c>
      <c r="I25" s="169">
        <v>0</v>
      </c>
    </row>
    <row r="26" spans="2:9" ht="15">
      <c r="B26" s="170">
        <v>5035</v>
      </c>
      <c r="C26" s="171" t="s">
        <v>163</v>
      </c>
      <c r="D26" s="169">
        <v>46538.13</v>
      </c>
      <c r="E26" s="169">
        <v>34820.98</v>
      </c>
      <c r="F26" s="169">
        <v>49384.01</v>
      </c>
      <c r="G26" s="169">
        <v>36132.47</v>
      </c>
      <c r="H26" s="169">
        <v>1189538.5394172075</v>
      </c>
      <c r="I26" s="169">
        <v>1492466.43566691</v>
      </c>
    </row>
    <row r="27" spans="2:9" ht="15">
      <c r="B27" s="170">
        <v>5040</v>
      </c>
      <c r="C27" s="171" t="s">
        <v>164</v>
      </c>
      <c r="D27" s="169">
        <v>800835.0800000001</v>
      </c>
      <c r="E27" s="169">
        <v>597924.9</v>
      </c>
      <c r="F27" s="169">
        <v>615280.25</v>
      </c>
      <c r="G27" s="169">
        <v>420749.11000000016</v>
      </c>
      <c r="H27" s="169">
        <v>487839.514274541</v>
      </c>
      <c r="I27" s="169">
        <v>498301.91245912475</v>
      </c>
    </row>
    <row r="28" spans="2:9" ht="15">
      <c r="B28" s="170">
        <v>5045</v>
      </c>
      <c r="C28" s="171" t="s">
        <v>165</v>
      </c>
      <c r="D28" s="169">
        <v>183956.25</v>
      </c>
      <c r="E28" s="169">
        <v>305776.23</v>
      </c>
      <c r="F28" s="169">
        <v>426211.67</v>
      </c>
      <c r="G28" s="169">
        <v>426031.13999999996</v>
      </c>
      <c r="H28" s="169">
        <v>704916.7069576256</v>
      </c>
      <c r="I28" s="169">
        <v>705151.2652340222</v>
      </c>
    </row>
    <row r="29" spans="2:9" ht="15">
      <c r="B29" s="170">
        <v>5050</v>
      </c>
      <c r="C29" s="171" t="s">
        <v>166</v>
      </c>
      <c r="D29" s="169">
        <v>0</v>
      </c>
      <c r="E29" s="169">
        <v>0</v>
      </c>
      <c r="F29" s="169">
        <v>0</v>
      </c>
      <c r="G29" s="169">
        <v>0</v>
      </c>
      <c r="H29" s="169">
        <v>0</v>
      </c>
      <c r="I29" s="169">
        <v>0</v>
      </c>
    </row>
    <row r="30" spans="2:9" ht="15">
      <c r="B30" s="170">
        <v>5055</v>
      </c>
      <c r="C30" s="171" t="s">
        <v>167</v>
      </c>
      <c r="D30" s="169">
        <v>90381.62</v>
      </c>
      <c r="E30" s="169">
        <v>86773.8</v>
      </c>
      <c r="F30" s="169">
        <v>73128.32</v>
      </c>
      <c r="G30" s="169">
        <v>49766.96</v>
      </c>
      <c r="H30" s="169">
        <v>232683.36696218778</v>
      </c>
      <c r="I30" s="169">
        <v>237913.84449406652</v>
      </c>
    </row>
    <row r="31" spans="2:9" ht="15">
      <c r="B31" s="170">
        <v>5060</v>
      </c>
      <c r="C31" s="171" t="s">
        <v>168</v>
      </c>
      <c r="D31" s="169">
        <v>0</v>
      </c>
      <c r="E31" s="169">
        <v>0</v>
      </c>
      <c r="F31" s="169">
        <v>0</v>
      </c>
      <c r="G31" s="169">
        <v>0</v>
      </c>
      <c r="H31" s="169">
        <v>0</v>
      </c>
      <c r="I31" s="169">
        <v>0</v>
      </c>
    </row>
    <row r="32" spans="2:9" ht="15">
      <c r="B32" s="172">
        <v>5065</v>
      </c>
      <c r="C32" s="173" t="s">
        <v>169</v>
      </c>
      <c r="D32" s="169">
        <v>2016931.81</v>
      </c>
      <c r="E32" s="169">
        <v>1334320.57</v>
      </c>
      <c r="F32" s="169">
        <v>1403474.83</v>
      </c>
      <c r="G32" s="169">
        <v>1654649.6099999999</v>
      </c>
      <c r="H32" s="169">
        <v>3358106.3689317848</v>
      </c>
      <c r="I32" s="169">
        <v>3385695.314976343</v>
      </c>
    </row>
    <row r="33" spans="2:9" ht="15">
      <c r="B33" s="170">
        <v>5070</v>
      </c>
      <c r="C33" s="171" t="s">
        <v>170</v>
      </c>
      <c r="D33" s="169">
        <v>1874702.82</v>
      </c>
      <c r="E33" s="169">
        <v>1882702.31</v>
      </c>
      <c r="F33" s="169">
        <v>1911309.1500000001</v>
      </c>
      <c r="G33" s="169">
        <v>1321511.24</v>
      </c>
      <c r="H33" s="169">
        <v>1389870.0675136652</v>
      </c>
      <c r="I33" s="169">
        <v>1431430.699612731</v>
      </c>
    </row>
    <row r="34" spans="2:9" ht="15">
      <c r="B34" s="172">
        <v>5075</v>
      </c>
      <c r="C34" s="173" t="s">
        <v>171</v>
      </c>
      <c r="D34" s="169">
        <v>912391.7799999999</v>
      </c>
      <c r="E34" s="169">
        <v>981919.74</v>
      </c>
      <c r="F34" s="169">
        <v>1373410.91</v>
      </c>
      <c r="G34" s="169">
        <v>1372172.9499999995</v>
      </c>
      <c r="H34" s="169">
        <v>1467939.525257345</v>
      </c>
      <c r="I34" s="169">
        <v>1527217.4933522749</v>
      </c>
    </row>
    <row r="35" spans="2:9" ht="15">
      <c r="B35" s="170">
        <v>5085</v>
      </c>
      <c r="C35" s="171" t="s">
        <v>172</v>
      </c>
      <c r="D35" s="169">
        <v>983.45</v>
      </c>
      <c r="E35" s="169">
        <v>26414.64</v>
      </c>
      <c r="F35" s="169">
        <v>108629.25</v>
      </c>
      <c r="G35" s="169">
        <v>108629.25</v>
      </c>
      <c r="H35" s="169">
        <v>250000</v>
      </c>
      <c r="I35" s="169">
        <v>400000</v>
      </c>
    </row>
    <row r="36" spans="2:9" ht="15">
      <c r="B36" s="172">
        <v>5090</v>
      </c>
      <c r="C36" s="173" t="s">
        <v>173</v>
      </c>
      <c r="D36" s="169">
        <v>0</v>
      </c>
      <c r="E36" s="169">
        <v>0</v>
      </c>
      <c r="F36" s="169">
        <v>0</v>
      </c>
      <c r="G36" s="169">
        <v>0</v>
      </c>
      <c r="H36" s="169">
        <v>0</v>
      </c>
      <c r="I36" s="169">
        <v>0</v>
      </c>
    </row>
    <row r="37" spans="2:9" ht="15">
      <c r="B37" s="170">
        <v>5095</v>
      </c>
      <c r="C37" s="171" t="s">
        <v>174</v>
      </c>
      <c r="D37" s="169">
        <v>65515.21</v>
      </c>
      <c r="E37" s="169">
        <v>94141.32</v>
      </c>
      <c r="F37" s="169">
        <v>68098.99</v>
      </c>
      <c r="G37" s="169">
        <v>68098.99</v>
      </c>
      <c r="H37" s="169">
        <v>80000</v>
      </c>
      <c r="I37" s="169">
        <v>80000</v>
      </c>
    </row>
    <row r="38" spans="2:9" ht="15.75" thickBot="1">
      <c r="B38" s="174">
        <v>5096</v>
      </c>
      <c r="C38" s="175" t="s">
        <v>175</v>
      </c>
      <c r="D38" s="169">
        <v>22822</v>
      </c>
      <c r="E38" s="169">
        <v>151628.12</v>
      </c>
      <c r="F38" s="169">
        <v>167416.91</v>
      </c>
      <c r="G38" s="169">
        <v>167416.91</v>
      </c>
      <c r="H38" s="169">
        <v>181000</v>
      </c>
      <c r="I38" s="169">
        <v>150000</v>
      </c>
    </row>
    <row r="39" spans="2:9" ht="16.5" thickBot="1" thickTop="1">
      <c r="B39" s="905" t="s">
        <v>176</v>
      </c>
      <c r="C39" s="906"/>
      <c r="D39" s="21">
        <f aca="true" t="shared" si="0" ref="D39:I39">SUM(D16:D38)</f>
        <v>13361537.339999998</v>
      </c>
      <c r="E39" s="21">
        <f t="shared" si="0"/>
        <v>10831470.9</v>
      </c>
      <c r="F39" s="21">
        <f t="shared" si="0"/>
        <v>12292410.610000001</v>
      </c>
      <c r="G39" s="21">
        <f t="shared" si="0"/>
        <v>19579408.030000005</v>
      </c>
      <c r="H39" s="21">
        <f t="shared" si="0"/>
        <v>23616751.11920013</v>
      </c>
      <c r="I39" s="21">
        <f t="shared" si="0"/>
        <v>24964004.54985821</v>
      </c>
    </row>
    <row r="40" spans="2:9" ht="13.5" customHeight="1">
      <c r="B40" s="163" t="s">
        <v>145</v>
      </c>
      <c r="C40" s="164" t="s">
        <v>146</v>
      </c>
      <c r="D40" s="176" t="str">
        <f aca="true" t="shared" si="1" ref="D40:I40">D14</f>
        <v>2009 Actual</v>
      </c>
      <c r="E40" s="176" t="str">
        <f t="shared" si="1"/>
        <v>2010 Actual</v>
      </c>
      <c r="F40" s="176" t="str">
        <f t="shared" si="1"/>
        <v>2011 Actual (CGAAP)</v>
      </c>
      <c r="G40" s="176" t="str">
        <f t="shared" si="1"/>
        <v>2011 Actual (MIFRS)</v>
      </c>
      <c r="H40" s="176" t="str">
        <f t="shared" si="1"/>
        <v>2012 Bridge Year</v>
      </c>
      <c r="I40" s="177" t="str">
        <f t="shared" si="1"/>
        <v>2013 Test Year</v>
      </c>
    </row>
    <row r="41" spans="2:9" ht="12.75">
      <c r="B41" s="907" t="s">
        <v>31</v>
      </c>
      <c r="C41" s="908"/>
      <c r="D41" s="908"/>
      <c r="E41" s="908"/>
      <c r="F41" s="908"/>
      <c r="G41" s="908"/>
      <c r="H41" s="908"/>
      <c r="I41" s="903"/>
    </row>
    <row r="42" spans="2:9" ht="15">
      <c r="B42" s="167">
        <v>5105</v>
      </c>
      <c r="C42" s="168" t="s">
        <v>177</v>
      </c>
      <c r="D42" s="169">
        <v>382045.29000000004</v>
      </c>
      <c r="E42" s="169">
        <v>12800.99</v>
      </c>
      <c r="F42" s="169">
        <v>15738.93</v>
      </c>
      <c r="G42" s="169">
        <v>13521</v>
      </c>
      <c r="H42" s="169">
        <v>0</v>
      </c>
      <c r="I42" s="169">
        <v>0</v>
      </c>
    </row>
    <row r="43" spans="2:9" ht="15">
      <c r="B43" s="167">
        <v>5110</v>
      </c>
      <c r="C43" s="168" t="s">
        <v>178</v>
      </c>
      <c r="D43" s="169">
        <v>0</v>
      </c>
      <c r="E43" s="169">
        <v>0</v>
      </c>
      <c r="F43" s="169">
        <v>86545.39</v>
      </c>
      <c r="G43" s="169">
        <v>70034.15000000001</v>
      </c>
      <c r="H43" s="169">
        <v>0</v>
      </c>
      <c r="I43" s="169">
        <v>0</v>
      </c>
    </row>
    <row r="44" spans="2:9" ht="15">
      <c r="B44" s="167">
        <v>5112</v>
      </c>
      <c r="C44" s="168" t="s">
        <v>179</v>
      </c>
      <c r="D44" s="169">
        <v>646222.89</v>
      </c>
      <c r="E44" s="169">
        <v>611983.39</v>
      </c>
      <c r="F44" s="169">
        <v>352050.38</v>
      </c>
      <c r="G44" s="169">
        <v>244627.6</v>
      </c>
      <c r="H44" s="169">
        <v>228172.5679635616</v>
      </c>
      <c r="I44" s="169">
        <v>253626.83949282597</v>
      </c>
    </row>
    <row r="45" spans="2:9" ht="15">
      <c r="B45" s="167">
        <v>5114</v>
      </c>
      <c r="C45" s="168" t="s">
        <v>180</v>
      </c>
      <c r="D45" s="169">
        <v>438508.61</v>
      </c>
      <c r="E45" s="169">
        <v>355572</v>
      </c>
      <c r="F45" s="169">
        <v>492815.13</v>
      </c>
      <c r="G45" s="169">
        <v>371601.81</v>
      </c>
      <c r="H45" s="169">
        <v>255870.86079886023</v>
      </c>
      <c r="I45" s="169">
        <v>521275.11684398947</v>
      </c>
    </row>
    <row r="46" spans="2:9" ht="15">
      <c r="B46" s="167">
        <v>5120</v>
      </c>
      <c r="C46" s="168" t="s">
        <v>181</v>
      </c>
      <c r="D46" s="169">
        <v>617047.71</v>
      </c>
      <c r="E46" s="169">
        <v>375491.36</v>
      </c>
      <c r="F46" s="169">
        <v>302076.08</v>
      </c>
      <c r="G46" s="169">
        <v>221489.27000000002</v>
      </c>
      <c r="H46" s="169">
        <v>182165.62793666526</v>
      </c>
      <c r="I46" s="169">
        <v>184776.5350506278</v>
      </c>
    </row>
    <row r="47" spans="2:9" ht="15">
      <c r="B47" s="167">
        <v>5125</v>
      </c>
      <c r="C47" s="168" t="s">
        <v>182</v>
      </c>
      <c r="D47" s="169">
        <v>2215523.05</v>
      </c>
      <c r="E47" s="169">
        <v>1568592.81</v>
      </c>
      <c r="F47" s="169">
        <v>2339695.1399999997</v>
      </c>
      <c r="G47" s="169">
        <v>1868501.78</v>
      </c>
      <c r="H47" s="169">
        <v>1928139.8135121418</v>
      </c>
      <c r="I47" s="169">
        <v>1968169.1315414188</v>
      </c>
    </row>
    <row r="48" spans="2:9" ht="15">
      <c r="B48" s="167">
        <v>5130</v>
      </c>
      <c r="C48" s="168" t="s">
        <v>183</v>
      </c>
      <c r="D48" s="169">
        <v>345032.51</v>
      </c>
      <c r="E48" s="169">
        <v>345565.64</v>
      </c>
      <c r="F48" s="169">
        <v>372921.53</v>
      </c>
      <c r="G48" s="169">
        <v>262426.19000000006</v>
      </c>
      <c r="H48" s="169">
        <v>250956.92208704175</v>
      </c>
      <c r="I48" s="169">
        <v>256649.42728043528</v>
      </c>
    </row>
    <row r="49" spans="2:9" ht="15">
      <c r="B49" s="167">
        <v>5135</v>
      </c>
      <c r="C49" s="168" t="s">
        <v>184</v>
      </c>
      <c r="D49" s="169">
        <v>355777.23</v>
      </c>
      <c r="E49" s="169">
        <v>991569.66</v>
      </c>
      <c r="F49" s="169">
        <v>1215672.71</v>
      </c>
      <c r="G49" s="169">
        <v>1101652.37</v>
      </c>
      <c r="H49" s="169">
        <v>103102.62123148191</v>
      </c>
      <c r="I49" s="169">
        <v>105390.21724719487</v>
      </c>
    </row>
    <row r="50" spans="2:9" ht="15">
      <c r="B50" s="167">
        <v>5145</v>
      </c>
      <c r="C50" s="168" t="s">
        <v>185</v>
      </c>
      <c r="D50" s="169">
        <v>16688.45</v>
      </c>
      <c r="E50" s="169">
        <v>6579.36</v>
      </c>
      <c r="F50" s="169">
        <v>9950.98</v>
      </c>
      <c r="G50" s="169">
        <v>6216.629999999999</v>
      </c>
      <c r="H50" s="169">
        <v>1665.4</v>
      </c>
      <c r="I50" s="169">
        <v>1665.4</v>
      </c>
    </row>
    <row r="51" spans="2:9" ht="15">
      <c r="B51" s="167">
        <v>5150</v>
      </c>
      <c r="C51" s="168" t="s">
        <v>186</v>
      </c>
      <c r="D51" s="169">
        <v>3520437.43</v>
      </c>
      <c r="E51" s="169">
        <v>3392348.93</v>
      </c>
      <c r="F51" s="169">
        <v>2989356.0100000002</v>
      </c>
      <c r="G51" s="169">
        <v>2432845.55</v>
      </c>
      <c r="H51" s="169">
        <v>3335421.2746849232</v>
      </c>
      <c r="I51" s="169">
        <v>3600600.0101980316</v>
      </c>
    </row>
    <row r="52" spans="2:9" ht="15">
      <c r="B52" s="167">
        <v>5155</v>
      </c>
      <c r="C52" s="168" t="s">
        <v>187</v>
      </c>
      <c r="D52" s="169">
        <v>353266.41</v>
      </c>
      <c r="E52" s="169">
        <v>450364.89</v>
      </c>
      <c r="F52" s="169">
        <v>725053.75</v>
      </c>
      <c r="G52" s="169">
        <v>503923.2800000001</v>
      </c>
      <c r="H52" s="169">
        <v>501421.8215764059</v>
      </c>
      <c r="I52" s="169">
        <v>499390.01096861763</v>
      </c>
    </row>
    <row r="53" spans="2:9" ht="15">
      <c r="B53" s="167">
        <v>5160</v>
      </c>
      <c r="C53" s="168" t="s">
        <v>188</v>
      </c>
      <c r="D53" s="169">
        <v>428386.89</v>
      </c>
      <c r="E53" s="169">
        <v>337506.55</v>
      </c>
      <c r="F53" s="169">
        <v>333924.98</v>
      </c>
      <c r="G53" s="169">
        <v>253465.29000000004</v>
      </c>
      <c r="H53" s="169">
        <v>240463.3154238712</v>
      </c>
      <c r="I53" s="169">
        <v>245089.88636170534</v>
      </c>
    </row>
    <row r="54" spans="2:9" ht="15">
      <c r="B54" s="167">
        <v>5165</v>
      </c>
      <c r="C54" s="168" t="s">
        <v>189</v>
      </c>
      <c r="D54" s="169">
        <v>0</v>
      </c>
      <c r="E54" s="169">
        <v>0</v>
      </c>
      <c r="F54" s="169">
        <v>0</v>
      </c>
      <c r="G54" s="169">
        <v>0</v>
      </c>
      <c r="H54" s="169">
        <v>0</v>
      </c>
      <c r="I54" s="169">
        <v>0</v>
      </c>
    </row>
    <row r="55" spans="2:9" ht="15">
      <c r="B55" s="167">
        <v>5170</v>
      </c>
      <c r="C55" s="168" t="s">
        <v>190</v>
      </c>
      <c r="D55" s="169">
        <v>0</v>
      </c>
      <c r="E55" s="169">
        <v>0</v>
      </c>
      <c r="F55" s="169">
        <v>0</v>
      </c>
      <c r="G55" s="169">
        <v>0</v>
      </c>
      <c r="H55" s="169">
        <v>0</v>
      </c>
      <c r="I55" s="169">
        <v>0</v>
      </c>
    </row>
    <row r="56" spans="2:9" ht="15">
      <c r="B56" s="167">
        <v>5172</v>
      </c>
      <c r="C56" s="168" t="s">
        <v>191</v>
      </c>
      <c r="D56" s="169">
        <v>0</v>
      </c>
      <c r="E56" s="169">
        <v>0</v>
      </c>
      <c r="F56" s="169">
        <v>0</v>
      </c>
      <c r="G56" s="169">
        <v>0</v>
      </c>
      <c r="H56" s="169">
        <v>0</v>
      </c>
      <c r="I56" s="169">
        <v>0</v>
      </c>
    </row>
    <row r="57" spans="2:9" ht="15">
      <c r="B57" s="167">
        <v>5175</v>
      </c>
      <c r="C57" s="168" t="s">
        <v>192</v>
      </c>
      <c r="D57" s="169">
        <v>0</v>
      </c>
      <c r="E57" s="169">
        <v>40236.66</v>
      </c>
      <c r="F57" s="169">
        <v>204.22</v>
      </c>
      <c r="G57" s="169">
        <v>204.22</v>
      </c>
      <c r="H57" s="169">
        <v>0</v>
      </c>
      <c r="I57" s="169">
        <v>0</v>
      </c>
    </row>
    <row r="58" spans="2:9" ht="15">
      <c r="B58" s="167">
        <v>5178</v>
      </c>
      <c r="C58" s="168" t="s">
        <v>193</v>
      </c>
      <c r="D58" s="169">
        <v>0</v>
      </c>
      <c r="E58" s="169">
        <v>0</v>
      </c>
      <c r="F58" s="169">
        <v>0</v>
      </c>
      <c r="G58" s="169">
        <v>0</v>
      </c>
      <c r="H58" s="169">
        <v>0</v>
      </c>
      <c r="I58" s="169">
        <v>0</v>
      </c>
    </row>
    <row r="59" spans="2:9" ht="15.75" thickBot="1">
      <c r="B59" s="178">
        <v>5195</v>
      </c>
      <c r="C59" s="168" t="s">
        <v>194</v>
      </c>
      <c r="D59" s="169">
        <v>0</v>
      </c>
      <c r="E59" s="169">
        <v>0</v>
      </c>
      <c r="F59" s="169">
        <v>0</v>
      </c>
      <c r="G59" s="169">
        <v>0</v>
      </c>
      <c r="H59" s="169">
        <v>0</v>
      </c>
      <c r="I59" s="169">
        <v>0</v>
      </c>
    </row>
    <row r="60" spans="2:9" ht="16.5" thickBot="1" thickTop="1">
      <c r="B60" s="905" t="s">
        <v>195</v>
      </c>
      <c r="C60" s="906"/>
      <c r="D60" s="21">
        <f aca="true" t="shared" si="2" ref="D60:I60">SUM(D42:D59)</f>
        <v>9318936.47</v>
      </c>
      <c r="E60" s="21">
        <f t="shared" si="2"/>
        <v>8488612.24</v>
      </c>
      <c r="F60" s="21">
        <f t="shared" si="2"/>
        <v>9236005.230000002</v>
      </c>
      <c r="G60" s="21">
        <f t="shared" si="2"/>
        <v>7350509.14</v>
      </c>
      <c r="H60" s="21">
        <f t="shared" si="2"/>
        <v>7027380.225214953</v>
      </c>
      <c r="I60" s="21">
        <f t="shared" si="2"/>
        <v>7636632.574984847</v>
      </c>
    </row>
    <row r="61" spans="2:9" ht="13.5" customHeight="1">
      <c r="B61" s="163" t="s">
        <v>145</v>
      </c>
      <c r="C61" s="164" t="s">
        <v>146</v>
      </c>
      <c r="D61" s="176" t="str">
        <f aca="true" t="shared" si="3" ref="D61:I61">D40</f>
        <v>2009 Actual</v>
      </c>
      <c r="E61" s="176" t="str">
        <f t="shared" si="3"/>
        <v>2010 Actual</v>
      </c>
      <c r="F61" s="176" t="str">
        <f t="shared" si="3"/>
        <v>2011 Actual (CGAAP)</v>
      </c>
      <c r="G61" s="176" t="str">
        <f t="shared" si="3"/>
        <v>2011 Actual (MIFRS)</v>
      </c>
      <c r="H61" s="176" t="str">
        <f t="shared" si="3"/>
        <v>2012 Bridge Year</v>
      </c>
      <c r="I61" s="177" t="str">
        <f t="shared" si="3"/>
        <v>2013 Test Year</v>
      </c>
    </row>
    <row r="62" spans="2:9" ht="12.75">
      <c r="B62" s="907" t="s">
        <v>32</v>
      </c>
      <c r="C62" s="908"/>
      <c r="D62" s="908"/>
      <c r="E62" s="908"/>
      <c r="F62" s="908"/>
      <c r="G62" s="908"/>
      <c r="H62" s="908"/>
      <c r="I62" s="903"/>
    </row>
    <row r="63" spans="2:9" ht="15">
      <c r="B63" s="167">
        <v>5305</v>
      </c>
      <c r="C63" s="168" t="s">
        <v>196</v>
      </c>
      <c r="D63" s="169">
        <v>654093.65</v>
      </c>
      <c r="E63" s="169">
        <v>567030.21</v>
      </c>
      <c r="F63" s="169">
        <v>1344096.6800000002</v>
      </c>
      <c r="G63" s="169">
        <v>1441808.6700000006</v>
      </c>
      <c r="H63" s="169">
        <v>1500346.4234499997</v>
      </c>
      <c r="I63" s="169">
        <v>1693462.4832550006</v>
      </c>
    </row>
    <row r="64" spans="2:9" ht="15">
      <c r="B64" s="167">
        <v>5310</v>
      </c>
      <c r="C64" s="168" t="s">
        <v>197</v>
      </c>
      <c r="D64" s="169">
        <v>2280043.57</v>
      </c>
      <c r="E64" s="169">
        <v>4163571.36</v>
      </c>
      <c r="F64" s="169">
        <v>2741827.91</v>
      </c>
      <c r="G64" s="169">
        <v>3156370.1199999996</v>
      </c>
      <c r="H64" s="169">
        <v>1124885.3114999994</v>
      </c>
      <c r="I64" s="169">
        <v>1157296.063799999</v>
      </c>
    </row>
    <row r="65" spans="2:9" ht="15">
      <c r="B65" s="167">
        <v>5315</v>
      </c>
      <c r="C65" s="168" t="s">
        <v>198</v>
      </c>
      <c r="D65" s="169">
        <v>2728517.6500000004</v>
      </c>
      <c r="E65" s="169">
        <v>2940784.15</v>
      </c>
      <c r="F65" s="169">
        <v>3796816.14</v>
      </c>
      <c r="G65" s="169">
        <v>5815197.840000002</v>
      </c>
      <c r="H65" s="169">
        <v>6356534.292669004</v>
      </c>
      <c r="I65" s="169">
        <v>7015483.376995009</v>
      </c>
    </row>
    <row r="66" spans="2:9" ht="15">
      <c r="B66" s="167">
        <v>5320</v>
      </c>
      <c r="C66" s="168" t="s">
        <v>199</v>
      </c>
      <c r="D66" s="169">
        <v>1389847.83</v>
      </c>
      <c r="E66" s="169">
        <v>2290521.37</v>
      </c>
      <c r="F66" s="169">
        <v>2793282.64</v>
      </c>
      <c r="G66" s="169">
        <v>3398602.8399999994</v>
      </c>
      <c r="H66" s="169">
        <v>3548627.1605929667</v>
      </c>
      <c r="I66" s="169">
        <v>3764039.462693864</v>
      </c>
    </row>
    <row r="67" spans="2:9" ht="15">
      <c r="B67" s="167">
        <v>5325</v>
      </c>
      <c r="C67" s="168" t="s">
        <v>200</v>
      </c>
      <c r="D67" s="169">
        <v>907.5</v>
      </c>
      <c r="E67" s="169">
        <v>-1741.72</v>
      </c>
      <c r="F67" s="169">
        <v>479.58</v>
      </c>
      <c r="G67" s="169">
        <v>479.58</v>
      </c>
      <c r="H67" s="169">
        <v>0</v>
      </c>
      <c r="I67" s="169">
        <v>0</v>
      </c>
    </row>
    <row r="68" spans="2:9" ht="15">
      <c r="B68" s="167">
        <v>5330</v>
      </c>
      <c r="C68" s="168" t="s">
        <v>201</v>
      </c>
      <c r="D68" s="169">
        <v>38444.29</v>
      </c>
      <c r="E68" s="169">
        <v>53413.83</v>
      </c>
      <c r="F68" s="169">
        <v>59000.25</v>
      </c>
      <c r="G68" s="169">
        <v>59000.25</v>
      </c>
      <c r="H68" s="169">
        <v>0</v>
      </c>
      <c r="I68" s="169">
        <v>0</v>
      </c>
    </row>
    <row r="69" spans="2:9" ht="15">
      <c r="B69" s="167">
        <v>5335</v>
      </c>
      <c r="C69" s="168" t="s">
        <v>202</v>
      </c>
      <c r="D69" s="169">
        <v>2873301.82</v>
      </c>
      <c r="E69" s="169">
        <v>1910962.2</v>
      </c>
      <c r="F69" s="169">
        <v>1781068.8</v>
      </c>
      <c r="G69" s="169">
        <v>1781068.8</v>
      </c>
      <c r="H69" s="169">
        <v>2085000</v>
      </c>
      <c r="I69" s="169">
        <v>2126700</v>
      </c>
    </row>
    <row r="70" spans="2:9" ht="15.75" thickBot="1">
      <c r="B70" s="178">
        <v>5340</v>
      </c>
      <c r="C70" s="168" t="s">
        <v>203</v>
      </c>
      <c r="D70" s="169">
        <v>0</v>
      </c>
      <c r="E70" s="169">
        <v>0</v>
      </c>
      <c r="F70" s="169">
        <v>0</v>
      </c>
      <c r="G70" s="169">
        <v>0</v>
      </c>
      <c r="H70" s="169">
        <v>0</v>
      </c>
      <c r="I70" s="169">
        <v>0</v>
      </c>
    </row>
    <row r="71" spans="2:9" ht="16.5" thickBot="1" thickTop="1">
      <c r="B71" s="905" t="s">
        <v>204</v>
      </c>
      <c r="C71" s="906"/>
      <c r="D71" s="21">
        <f aca="true" t="shared" si="4" ref="D71:I71">SUM(D63:D70)</f>
        <v>9965156.31</v>
      </c>
      <c r="E71" s="21">
        <f t="shared" si="4"/>
        <v>11924541.399999999</v>
      </c>
      <c r="F71" s="21">
        <f t="shared" si="4"/>
        <v>12516572.000000002</v>
      </c>
      <c r="G71" s="21">
        <f t="shared" si="4"/>
        <v>15652528.100000003</v>
      </c>
      <c r="H71" s="21">
        <f t="shared" si="4"/>
        <v>14615393.18821197</v>
      </c>
      <c r="I71" s="179">
        <f t="shared" si="4"/>
        <v>15756981.386743873</v>
      </c>
    </row>
    <row r="72" spans="2:9" ht="13.5" customHeight="1">
      <c r="B72" s="163" t="s">
        <v>145</v>
      </c>
      <c r="C72" s="164" t="s">
        <v>146</v>
      </c>
      <c r="D72" s="176" t="str">
        <f aca="true" t="shared" si="5" ref="D72:I72">D61</f>
        <v>2009 Actual</v>
      </c>
      <c r="E72" s="176" t="str">
        <f t="shared" si="5"/>
        <v>2010 Actual</v>
      </c>
      <c r="F72" s="176" t="str">
        <f t="shared" si="5"/>
        <v>2011 Actual (CGAAP)</v>
      </c>
      <c r="G72" s="176" t="str">
        <f t="shared" si="5"/>
        <v>2011 Actual (MIFRS)</v>
      </c>
      <c r="H72" s="176" t="str">
        <f t="shared" si="5"/>
        <v>2012 Bridge Year</v>
      </c>
      <c r="I72" s="177" t="str">
        <f t="shared" si="5"/>
        <v>2013 Test Year</v>
      </c>
    </row>
    <row r="73" spans="2:9" ht="12.75">
      <c r="B73" s="907" t="s">
        <v>33</v>
      </c>
      <c r="C73" s="908"/>
      <c r="D73" s="908"/>
      <c r="E73" s="908"/>
      <c r="F73" s="908"/>
      <c r="G73" s="908"/>
      <c r="H73" s="908"/>
      <c r="I73" s="903"/>
    </row>
    <row r="74" spans="2:9" ht="15">
      <c r="B74" s="167">
        <v>5405</v>
      </c>
      <c r="C74" s="168" t="s">
        <v>196</v>
      </c>
      <c r="D74" s="169">
        <v>376569.39</v>
      </c>
      <c r="E74" s="169">
        <v>468586.74</v>
      </c>
      <c r="F74" s="169">
        <v>682730.4400000001</v>
      </c>
      <c r="G74" s="169">
        <v>660761.2300000001</v>
      </c>
      <c r="H74" s="169">
        <v>754260.4424000002</v>
      </c>
      <c r="I74" s="169">
        <v>838998.2662</v>
      </c>
    </row>
    <row r="75" spans="2:9" ht="15">
      <c r="B75" s="167">
        <v>5410</v>
      </c>
      <c r="C75" s="168" t="s">
        <v>205</v>
      </c>
      <c r="D75" s="169">
        <v>568443.5599999999</v>
      </c>
      <c r="E75" s="169">
        <v>594488.28</v>
      </c>
      <c r="F75" s="169">
        <v>1418295.67</v>
      </c>
      <c r="G75" s="169">
        <v>1413144.06</v>
      </c>
      <c r="H75" s="169">
        <v>418257.385602577</v>
      </c>
      <c r="I75" s="169">
        <v>425604.0313777829</v>
      </c>
    </row>
    <row r="76" spans="2:9" ht="15">
      <c r="B76" s="167">
        <v>5415</v>
      </c>
      <c r="C76" s="168" t="s">
        <v>206</v>
      </c>
      <c r="D76" s="169">
        <v>9666.6</v>
      </c>
      <c r="E76" s="169">
        <v>268326.76</v>
      </c>
      <c r="F76" s="169">
        <v>66923.59</v>
      </c>
      <c r="G76" s="169">
        <v>0.0199999999931606</v>
      </c>
      <c r="H76" s="169">
        <v>0</v>
      </c>
      <c r="I76" s="169">
        <v>0</v>
      </c>
    </row>
    <row r="77" spans="2:9" ht="15">
      <c r="B77" s="167">
        <v>5420</v>
      </c>
      <c r="C77" s="168" t="s">
        <v>207</v>
      </c>
      <c r="D77" s="169">
        <v>139151.74</v>
      </c>
      <c r="E77" s="169">
        <v>458</v>
      </c>
      <c r="F77" s="169">
        <v>0</v>
      </c>
      <c r="G77" s="169">
        <v>0</v>
      </c>
      <c r="H77" s="169">
        <v>0</v>
      </c>
      <c r="I77" s="169">
        <v>0</v>
      </c>
    </row>
    <row r="78" spans="2:9" ht="15">
      <c r="B78" s="167">
        <v>5425</v>
      </c>
      <c r="C78" s="168" t="s">
        <v>208</v>
      </c>
      <c r="D78" s="169">
        <v>0</v>
      </c>
      <c r="E78" s="169">
        <v>0</v>
      </c>
      <c r="F78" s="169">
        <v>0</v>
      </c>
      <c r="G78" s="169">
        <v>0</v>
      </c>
      <c r="H78" s="169">
        <v>0</v>
      </c>
      <c r="I78" s="169">
        <v>0</v>
      </c>
    </row>
    <row r="79" spans="2:9" ht="15">
      <c r="B79" s="167">
        <v>5505</v>
      </c>
      <c r="C79" s="168" t="s">
        <v>196</v>
      </c>
      <c r="D79" s="169">
        <v>0</v>
      </c>
      <c r="E79" s="169">
        <v>0</v>
      </c>
      <c r="F79" s="169">
        <v>0</v>
      </c>
      <c r="G79" s="169">
        <v>0</v>
      </c>
      <c r="H79" s="169">
        <v>0</v>
      </c>
      <c r="I79" s="169">
        <v>0</v>
      </c>
    </row>
    <row r="80" spans="2:9" ht="15">
      <c r="B80" s="167">
        <v>5510</v>
      </c>
      <c r="C80" s="168" t="s">
        <v>209</v>
      </c>
      <c r="D80" s="169">
        <v>0</v>
      </c>
      <c r="E80" s="169">
        <v>0</v>
      </c>
      <c r="F80" s="169">
        <v>0</v>
      </c>
      <c r="G80" s="169">
        <v>0</v>
      </c>
      <c r="H80" s="169">
        <v>0</v>
      </c>
      <c r="I80" s="169">
        <v>0</v>
      </c>
    </row>
    <row r="81" spans="2:9" ht="15">
      <c r="B81" s="167">
        <v>5515</v>
      </c>
      <c r="C81" s="168" t="s">
        <v>210</v>
      </c>
      <c r="D81" s="169">
        <v>0</v>
      </c>
      <c r="E81" s="169">
        <v>0</v>
      </c>
      <c r="F81" s="169">
        <v>0</v>
      </c>
      <c r="G81" s="169">
        <v>0</v>
      </c>
      <c r="H81" s="169">
        <v>0</v>
      </c>
      <c r="I81" s="169">
        <v>0</v>
      </c>
    </row>
    <row r="82" spans="2:9" ht="15.75" thickBot="1">
      <c r="B82" s="172">
        <v>5520</v>
      </c>
      <c r="C82" s="168" t="s">
        <v>211</v>
      </c>
      <c r="D82" s="169">
        <v>0</v>
      </c>
      <c r="E82" s="169">
        <v>0</v>
      </c>
      <c r="F82" s="169">
        <v>0</v>
      </c>
      <c r="G82" s="169">
        <v>0</v>
      </c>
      <c r="H82" s="169">
        <v>0</v>
      </c>
      <c r="I82" s="169">
        <v>0</v>
      </c>
    </row>
    <row r="83" spans="2:9" ht="16.5" thickBot="1" thickTop="1">
      <c r="B83" s="180" t="s">
        <v>212</v>
      </c>
      <c r="C83" s="181"/>
      <c r="D83" s="21">
        <f aca="true" t="shared" si="6" ref="D83:I83">SUM(D74:D82)</f>
        <v>1093831.29</v>
      </c>
      <c r="E83" s="21">
        <f t="shared" si="6"/>
        <v>1331859.78</v>
      </c>
      <c r="F83" s="21">
        <f t="shared" si="6"/>
        <v>2167949.6999999997</v>
      </c>
      <c r="G83" s="21">
        <f t="shared" si="6"/>
        <v>2073905.31</v>
      </c>
      <c r="H83" s="21">
        <f t="shared" si="6"/>
        <v>1172517.8280025772</v>
      </c>
      <c r="I83" s="182">
        <f t="shared" si="6"/>
        <v>1264602.297577783</v>
      </c>
    </row>
    <row r="84" spans="2:9" ht="13.5" customHeight="1">
      <c r="B84" s="163" t="s">
        <v>145</v>
      </c>
      <c r="C84" s="164" t="s">
        <v>146</v>
      </c>
      <c r="D84" s="176" t="str">
        <f aca="true" t="shared" si="7" ref="D84:I84">D72</f>
        <v>2009 Actual</v>
      </c>
      <c r="E84" s="176" t="str">
        <f t="shared" si="7"/>
        <v>2010 Actual</v>
      </c>
      <c r="F84" s="176" t="str">
        <f t="shared" si="7"/>
        <v>2011 Actual (CGAAP)</v>
      </c>
      <c r="G84" s="176" t="str">
        <f t="shared" si="7"/>
        <v>2011 Actual (MIFRS)</v>
      </c>
      <c r="H84" s="176" t="str">
        <f t="shared" si="7"/>
        <v>2012 Bridge Year</v>
      </c>
      <c r="I84" s="183" t="str">
        <f t="shared" si="7"/>
        <v>2013 Test Year</v>
      </c>
    </row>
    <row r="85" spans="2:9" ht="12.75">
      <c r="B85" s="907" t="s">
        <v>213</v>
      </c>
      <c r="C85" s="908"/>
      <c r="D85" s="908"/>
      <c r="E85" s="908"/>
      <c r="F85" s="908"/>
      <c r="G85" s="908"/>
      <c r="H85" s="908"/>
      <c r="I85" s="903"/>
    </row>
    <row r="86" spans="2:9" ht="15">
      <c r="B86" s="167">
        <v>5605</v>
      </c>
      <c r="C86" s="168" t="s">
        <v>214</v>
      </c>
      <c r="D86" s="169">
        <v>3229300.0500000003</v>
      </c>
      <c r="E86" s="169">
        <v>4067328.54</v>
      </c>
      <c r="F86" s="169">
        <v>3530640.71</v>
      </c>
      <c r="G86" s="169">
        <v>4049642.0900000017</v>
      </c>
      <c r="H86" s="169">
        <v>4000690.380099998</v>
      </c>
      <c r="I86" s="169">
        <v>4176860.9335000035</v>
      </c>
    </row>
    <row r="87" spans="2:9" ht="15">
      <c r="B87" s="167">
        <v>5610</v>
      </c>
      <c r="C87" s="168" t="s">
        <v>215</v>
      </c>
      <c r="D87" s="169">
        <v>3658964.78</v>
      </c>
      <c r="E87" s="169">
        <v>4274054.05</v>
      </c>
      <c r="F87" s="169">
        <v>4558387.66</v>
      </c>
      <c r="G87" s="169">
        <v>8224723.13</v>
      </c>
      <c r="H87" s="169">
        <v>9108697.296680024</v>
      </c>
      <c r="I87" s="169">
        <v>9874777.487660024</v>
      </c>
    </row>
    <row r="88" spans="2:9" ht="15">
      <c r="B88" s="167">
        <v>5615</v>
      </c>
      <c r="C88" s="168" t="s">
        <v>216</v>
      </c>
      <c r="D88" s="169">
        <v>1730288.74</v>
      </c>
      <c r="E88" s="169">
        <v>1698893.13</v>
      </c>
      <c r="F88" s="169">
        <v>1448206.04</v>
      </c>
      <c r="G88" s="169">
        <v>1995429.979999999</v>
      </c>
      <c r="H88" s="169">
        <v>1987391.901999997</v>
      </c>
      <c r="I88" s="169">
        <v>2052903.4340999993</v>
      </c>
    </row>
    <row r="89" spans="2:9" ht="15">
      <c r="B89" s="167">
        <v>5620</v>
      </c>
      <c r="C89" s="168" t="s">
        <v>217</v>
      </c>
      <c r="D89" s="169">
        <v>1424212.06</v>
      </c>
      <c r="E89" s="169">
        <v>280684.11</v>
      </c>
      <c r="F89" s="169">
        <v>752980.68</v>
      </c>
      <c r="G89" s="169">
        <v>752980.6799999992</v>
      </c>
      <c r="H89" s="169">
        <v>1028050</v>
      </c>
      <c r="I89" s="169">
        <v>1288086</v>
      </c>
    </row>
    <row r="90" spans="2:9" ht="15">
      <c r="B90" s="167">
        <v>5625</v>
      </c>
      <c r="C90" s="168" t="s">
        <v>218</v>
      </c>
      <c r="D90" s="169">
        <v>0</v>
      </c>
      <c r="E90" s="169">
        <v>0</v>
      </c>
      <c r="F90" s="169">
        <v>0</v>
      </c>
      <c r="G90" s="169">
        <v>0</v>
      </c>
      <c r="H90" s="169">
        <v>0</v>
      </c>
      <c r="I90" s="169">
        <v>0</v>
      </c>
    </row>
    <row r="91" spans="2:9" ht="15">
      <c r="B91" s="167">
        <v>5630</v>
      </c>
      <c r="C91" s="168" t="s">
        <v>219</v>
      </c>
      <c r="D91" s="169">
        <v>2630476.3</v>
      </c>
      <c r="E91" s="169">
        <v>897895.81</v>
      </c>
      <c r="F91" s="169">
        <v>1362003.11</v>
      </c>
      <c r="G91" s="169">
        <v>1362044.14</v>
      </c>
      <c r="H91" s="169">
        <v>2045800</v>
      </c>
      <c r="I91" s="169">
        <v>1376840</v>
      </c>
    </row>
    <row r="92" spans="2:9" ht="15">
      <c r="B92" s="167">
        <v>5635</v>
      </c>
      <c r="C92" s="168" t="s">
        <v>220</v>
      </c>
      <c r="D92" s="169">
        <v>61616.06</v>
      </c>
      <c r="E92" s="169">
        <v>2041.2</v>
      </c>
      <c r="F92" s="169">
        <v>0</v>
      </c>
      <c r="G92" s="169">
        <v>0</v>
      </c>
      <c r="H92" s="169">
        <v>21931</v>
      </c>
      <c r="I92" s="169">
        <v>30000</v>
      </c>
    </row>
    <row r="93" spans="2:9" ht="15">
      <c r="B93" s="167">
        <v>5640</v>
      </c>
      <c r="C93" s="168" t="s">
        <v>221</v>
      </c>
      <c r="D93" s="169">
        <v>1112170.2</v>
      </c>
      <c r="E93" s="169">
        <v>1237301.35</v>
      </c>
      <c r="F93" s="169">
        <v>1618213.82</v>
      </c>
      <c r="G93" s="169">
        <v>1618213.8199999998</v>
      </c>
      <c r="H93" s="169">
        <v>1458451</v>
      </c>
      <c r="I93" s="169">
        <v>1808025</v>
      </c>
    </row>
    <row r="94" spans="2:9" ht="15">
      <c r="B94" s="167">
        <v>5645</v>
      </c>
      <c r="C94" s="168" t="s">
        <v>222</v>
      </c>
      <c r="D94" s="169">
        <v>-147905.12</v>
      </c>
      <c r="E94" s="169">
        <v>1057251.55</v>
      </c>
      <c r="F94" s="169">
        <v>-174070.77</v>
      </c>
      <c r="G94" s="169">
        <v>-305560.77</v>
      </c>
      <c r="H94" s="169">
        <v>288000</v>
      </c>
      <c r="I94" s="169">
        <v>296640</v>
      </c>
    </row>
    <row r="95" spans="2:9" ht="15">
      <c r="B95" s="167">
        <v>5650</v>
      </c>
      <c r="C95" s="168" t="s">
        <v>223</v>
      </c>
      <c r="D95" s="169">
        <v>0</v>
      </c>
      <c r="E95" s="169">
        <v>0</v>
      </c>
      <c r="F95" s="169">
        <v>0</v>
      </c>
      <c r="G95" s="169">
        <v>0</v>
      </c>
      <c r="H95" s="169">
        <v>0</v>
      </c>
      <c r="I95" s="169">
        <v>0</v>
      </c>
    </row>
    <row r="96" spans="2:9" ht="15">
      <c r="B96" s="167">
        <v>5655</v>
      </c>
      <c r="C96" s="168" t="s">
        <v>224</v>
      </c>
      <c r="D96" s="169">
        <v>1384907.13</v>
      </c>
      <c r="E96" s="169">
        <v>1199956.12</v>
      </c>
      <c r="F96" s="169">
        <v>1236537.08</v>
      </c>
      <c r="G96" s="169">
        <v>1236537.08</v>
      </c>
      <c r="H96" s="169">
        <v>1364500</v>
      </c>
      <c r="I96" s="169">
        <v>1396665</v>
      </c>
    </row>
    <row r="97" spans="2:9" ht="15">
      <c r="B97" s="167">
        <v>5660</v>
      </c>
      <c r="C97" s="168" t="s">
        <v>225</v>
      </c>
      <c r="D97" s="169">
        <v>0</v>
      </c>
      <c r="E97" s="169">
        <v>0</v>
      </c>
      <c r="F97" s="169">
        <v>0</v>
      </c>
      <c r="G97" s="169">
        <v>0</v>
      </c>
      <c r="H97" s="169">
        <v>0</v>
      </c>
      <c r="I97" s="169">
        <v>0</v>
      </c>
    </row>
    <row r="98" spans="2:9" ht="15">
      <c r="B98" s="167">
        <v>5665</v>
      </c>
      <c r="C98" s="168" t="s">
        <v>226</v>
      </c>
      <c r="D98" s="169">
        <v>7775922.850000001</v>
      </c>
      <c r="E98" s="169">
        <v>5535358.359999999</v>
      </c>
      <c r="F98" s="169">
        <v>6348192.86</v>
      </c>
      <c r="G98" s="169">
        <v>6938100.060000003</v>
      </c>
      <c r="H98" s="169">
        <v>9442413.342239995</v>
      </c>
      <c r="I98" s="169">
        <v>10434519.05600999</v>
      </c>
    </row>
    <row r="99" spans="2:9" ht="15">
      <c r="B99" s="167">
        <v>5670</v>
      </c>
      <c r="C99" s="168" t="s">
        <v>227</v>
      </c>
      <c r="D99" s="169">
        <v>256722.47</v>
      </c>
      <c r="E99" s="169">
        <v>7794.88</v>
      </c>
      <c r="F99" s="169">
        <v>499874.99</v>
      </c>
      <c r="G99" s="169">
        <v>1003874.99</v>
      </c>
      <c r="H99" s="169">
        <v>1232423</v>
      </c>
      <c r="I99" s="169">
        <v>1266677</v>
      </c>
    </row>
    <row r="100" spans="2:9" ht="15">
      <c r="B100" s="167">
        <v>5675</v>
      </c>
      <c r="C100" s="168" t="s">
        <v>228</v>
      </c>
      <c r="D100" s="169">
        <v>928665</v>
      </c>
      <c r="E100" s="169">
        <v>1557403.08</v>
      </c>
      <c r="F100" s="169">
        <v>1518481.01</v>
      </c>
      <c r="G100" s="169">
        <v>2356865.2100000004</v>
      </c>
      <c r="H100" s="169">
        <v>2614126.865600001</v>
      </c>
      <c r="I100" s="169">
        <v>2829037.1089999983</v>
      </c>
    </row>
    <row r="101" spans="2:9" ht="15">
      <c r="B101" s="167">
        <v>5680</v>
      </c>
      <c r="C101" s="168" t="s">
        <v>229</v>
      </c>
      <c r="D101" s="169">
        <v>0</v>
      </c>
      <c r="E101" s="169">
        <v>0</v>
      </c>
      <c r="F101" s="169">
        <v>0</v>
      </c>
      <c r="G101" s="169">
        <v>0</v>
      </c>
      <c r="H101" s="169">
        <v>0</v>
      </c>
      <c r="I101" s="169">
        <v>0</v>
      </c>
    </row>
    <row r="102" spans="2:9" ht="15">
      <c r="B102" s="167">
        <v>5685</v>
      </c>
      <c r="C102" s="168" t="s">
        <v>230</v>
      </c>
      <c r="D102" s="169">
        <v>0</v>
      </c>
      <c r="E102" s="169">
        <v>0</v>
      </c>
      <c r="F102" s="169">
        <v>0</v>
      </c>
      <c r="G102" s="169">
        <v>0</v>
      </c>
      <c r="H102" s="169">
        <v>0</v>
      </c>
      <c r="I102" s="169">
        <v>0</v>
      </c>
    </row>
    <row r="103" spans="2:9" ht="15">
      <c r="B103" s="167">
        <v>5695</v>
      </c>
      <c r="C103" s="168" t="s">
        <v>231</v>
      </c>
      <c r="D103" s="169">
        <v>901322.01</v>
      </c>
      <c r="E103" s="169">
        <v>1047116.03</v>
      </c>
      <c r="F103" s="169">
        <v>1543831.28</v>
      </c>
      <c r="G103" s="169">
        <v>1543831.28</v>
      </c>
      <c r="H103" s="169">
        <v>1333236</v>
      </c>
      <c r="I103" s="169">
        <v>0</v>
      </c>
    </row>
    <row r="104" spans="2:9" ht="15">
      <c r="B104" s="167">
        <v>6205</v>
      </c>
      <c r="C104" s="168" t="s">
        <v>232</v>
      </c>
      <c r="D104" s="169">
        <v>29999.72000000001</v>
      </c>
      <c r="E104" s="169">
        <v>336289.26</v>
      </c>
      <c r="F104" s="169">
        <v>412008.74</v>
      </c>
      <c r="G104" s="169">
        <v>412008.74</v>
      </c>
      <c r="H104" s="169">
        <v>350000</v>
      </c>
      <c r="I104" s="169">
        <v>350000</v>
      </c>
    </row>
    <row r="105" spans="2:9" ht="13.5" thickBot="1">
      <c r="B105" s="178" t="s">
        <v>233</v>
      </c>
      <c r="C105" s="168" t="s">
        <v>234</v>
      </c>
      <c r="D105" s="184">
        <v>0</v>
      </c>
      <c r="E105" s="184">
        <v>0</v>
      </c>
      <c r="F105" s="184">
        <v>0</v>
      </c>
      <c r="G105" s="184">
        <v>-3568658.9366190005</v>
      </c>
      <c r="H105" s="184">
        <v>-2843108.4732554904</v>
      </c>
      <c r="I105" s="184">
        <v>-2928401.7274531554</v>
      </c>
    </row>
    <row r="106" spans="2:9" ht="16.5" thickBot="1" thickTop="1">
      <c r="B106" s="185" t="s">
        <v>235</v>
      </c>
      <c r="C106" s="181"/>
      <c r="D106" s="21">
        <f aca="true" t="shared" si="8" ref="D106:I106">SUM(D86:D105)</f>
        <v>24976662.25</v>
      </c>
      <c r="E106" s="21">
        <f t="shared" si="8"/>
        <v>23199367.470000003</v>
      </c>
      <c r="F106" s="21">
        <f t="shared" si="8"/>
        <v>24655287.21</v>
      </c>
      <c r="G106" s="21">
        <f t="shared" si="8"/>
        <v>27620031.493381</v>
      </c>
      <c r="H106" s="21">
        <f t="shared" si="8"/>
        <v>33432602.313364524</v>
      </c>
      <c r="I106" s="179">
        <f t="shared" si="8"/>
        <v>34252629.292816855</v>
      </c>
    </row>
    <row r="107" spans="2:9" ht="12.75">
      <c r="B107" s="907" t="s">
        <v>236</v>
      </c>
      <c r="C107" s="908"/>
      <c r="D107" s="908"/>
      <c r="E107" s="908"/>
      <c r="F107" s="908"/>
      <c r="G107" s="908"/>
      <c r="H107" s="908"/>
      <c r="I107" s="903"/>
    </row>
    <row r="108" spans="2:9" ht="12.75">
      <c r="B108" s="167">
        <v>6105</v>
      </c>
      <c r="C108" s="168" t="s">
        <v>237</v>
      </c>
      <c r="D108" s="184">
        <v>947459.3099999998</v>
      </c>
      <c r="E108" s="184">
        <v>1061755.99</v>
      </c>
      <c r="F108" s="184">
        <v>1212881.96</v>
      </c>
      <c r="G108" s="184">
        <v>1603354.8800000004</v>
      </c>
      <c r="H108" s="184">
        <v>1700435</v>
      </c>
      <c r="I108" s="184">
        <v>1795039</v>
      </c>
    </row>
    <row r="109" spans="2:9" ht="12.75">
      <c r="B109" s="167">
        <v>6215</v>
      </c>
      <c r="C109" s="168" t="s">
        <v>238</v>
      </c>
      <c r="D109" s="184">
        <v>13544.4</v>
      </c>
      <c r="E109" s="184">
        <v>120.88</v>
      </c>
      <c r="F109" s="184">
        <v>5624.3</v>
      </c>
      <c r="G109" s="184">
        <v>5624.3</v>
      </c>
      <c r="H109" s="184">
        <v>30600</v>
      </c>
      <c r="I109" s="184">
        <v>31212</v>
      </c>
    </row>
    <row r="110" spans="2:9" ht="13.5" thickBot="1">
      <c r="B110" s="178">
        <v>6225</v>
      </c>
      <c r="C110" s="168" t="s">
        <v>239</v>
      </c>
      <c r="D110" s="184">
        <v>0</v>
      </c>
      <c r="E110" s="184">
        <v>0</v>
      </c>
      <c r="F110" s="184">
        <v>0</v>
      </c>
      <c r="G110" s="184">
        <v>0</v>
      </c>
      <c r="H110" s="184">
        <v>0</v>
      </c>
      <c r="I110" s="184">
        <v>0</v>
      </c>
    </row>
    <row r="111" spans="2:9" ht="16.5" thickBot="1" thickTop="1">
      <c r="B111" s="185" t="s">
        <v>240</v>
      </c>
      <c r="C111" s="181"/>
      <c r="D111" s="21">
        <f aca="true" t="shared" si="9" ref="D111:I111">SUM(D108:D110)</f>
        <v>961003.7099999998</v>
      </c>
      <c r="E111" s="21">
        <f t="shared" si="9"/>
        <v>1061876.8699999999</v>
      </c>
      <c r="F111" s="21">
        <f t="shared" si="9"/>
        <v>1218506.26</v>
      </c>
      <c r="G111" s="21">
        <f t="shared" si="9"/>
        <v>1608979.1800000004</v>
      </c>
      <c r="H111" s="21">
        <f t="shared" si="9"/>
        <v>1731035</v>
      </c>
      <c r="I111" s="179">
        <f t="shared" si="9"/>
        <v>1826251</v>
      </c>
    </row>
    <row r="112" spans="2:9" ht="15.75" thickBot="1">
      <c r="B112" s="904" t="s">
        <v>241</v>
      </c>
      <c r="C112" s="901"/>
      <c r="D112" s="186">
        <f aca="true" t="shared" si="10" ref="D112:I112">D39+D60+D71+D83+D106+D111</f>
        <v>59677127.37</v>
      </c>
      <c r="E112" s="186">
        <f t="shared" si="10"/>
        <v>56837728.660000004</v>
      </c>
      <c r="F112" s="187">
        <f t="shared" si="10"/>
        <v>62086731.010000005</v>
      </c>
      <c r="G112" s="187">
        <f t="shared" si="10"/>
        <v>73885361.25338101</v>
      </c>
      <c r="H112" s="188">
        <f t="shared" si="10"/>
        <v>81595679.67399415</v>
      </c>
      <c r="I112" s="189">
        <f t="shared" si="10"/>
        <v>85701101.10198157</v>
      </c>
    </row>
    <row r="114" spans="2:9" ht="39" customHeight="1">
      <c r="B114" s="190" t="s">
        <v>140</v>
      </c>
      <c r="C114" s="902" t="s">
        <v>242</v>
      </c>
      <c r="D114" s="902"/>
      <c r="E114" s="902"/>
      <c r="F114" s="902"/>
      <c r="G114" s="902"/>
      <c r="H114" s="902"/>
      <c r="I114" s="902"/>
    </row>
    <row r="115" spans="3:9" ht="12.75" hidden="1" outlineLevel="1">
      <c r="C115" s="191" t="s">
        <v>243</v>
      </c>
      <c r="D115" s="191">
        <v>59677127.370000005</v>
      </c>
      <c r="E115" s="191">
        <v>56837728.66</v>
      </c>
      <c r="F115" s="191">
        <v>62086731.010000005</v>
      </c>
      <c r="G115" s="191">
        <v>73885361.25338101</v>
      </c>
      <c r="H115" s="191">
        <v>81595679.67399415</v>
      </c>
      <c r="I115" s="191">
        <v>85701101.10198157</v>
      </c>
    </row>
    <row r="116" spans="3:9" ht="12.75" hidden="1" outlineLevel="1">
      <c r="C116" s="191"/>
      <c r="D116" s="192">
        <f aca="true" t="shared" si="11" ref="D116:I116">D112-D115</f>
        <v>0</v>
      </c>
      <c r="E116" s="192">
        <f t="shared" si="11"/>
        <v>0</v>
      </c>
      <c r="F116" s="192">
        <f t="shared" si="11"/>
        <v>0</v>
      </c>
      <c r="G116" s="192">
        <f t="shared" si="11"/>
        <v>0</v>
      </c>
      <c r="H116" s="192">
        <f t="shared" si="11"/>
        <v>0</v>
      </c>
      <c r="I116" s="192">
        <f t="shared" si="11"/>
        <v>0</v>
      </c>
    </row>
    <row r="117" ht="12.75" collapsed="1"/>
  </sheetData>
  <sheetProtection/>
  <mergeCells count="14">
    <mergeCell ref="B9:I9"/>
    <mergeCell ref="B10:I10"/>
    <mergeCell ref="B11:I11"/>
    <mergeCell ref="B15:I15"/>
    <mergeCell ref="B39:C39"/>
    <mergeCell ref="B41:I41"/>
    <mergeCell ref="B112:C112"/>
    <mergeCell ref="C114:I114"/>
    <mergeCell ref="B60:C60"/>
    <mergeCell ref="B62:I62"/>
    <mergeCell ref="B71:C71"/>
    <mergeCell ref="B73:I73"/>
    <mergeCell ref="B85:I85"/>
    <mergeCell ref="B107:I107"/>
  </mergeCells>
  <conditionalFormatting sqref="D112:I112">
    <cfRule type="expression" priority="1" dxfId="1" stopIfTrue="1">
      <formula>D$116&lt;&gt;0</formula>
    </cfRule>
  </conditionalFormatting>
  <dataValidations count="1">
    <dataValidation allowBlank="1" showInputMessage="1" showErrorMessage="1" promptTitle="Date Format" prompt="E.g:  &quot;August 1, 2011&quot;" sqref="I7"/>
  </dataValidations>
  <printOptions horizontalCentered="1"/>
  <pageMargins left="0.75" right="0.75" top="0.53" bottom="0.68" header="0.33" footer="0.29"/>
  <pageSetup fitToHeight="0" fitToWidth="1" horizontalDpi="600" verticalDpi="600" orientation="landscape" scale="64" r:id="rId1"/>
  <rowBreaks count="2" manualBreakCount="2">
    <brk id="39" max="7" man="1"/>
    <brk id="71" max="7" man="1"/>
  </rowBreaks>
</worksheet>
</file>

<file path=xl/worksheets/sheet7.xml><?xml version="1.0" encoding="utf-8"?>
<worksheet xmlns="http://schemas.openxmlformats.org/spreadsheetml/2006/main" xmlns:r="http://schemas.openxmlformats.org/officeDocument/2006/relationships">
  <sheetPr>
    <pageSetUpPr fitToPage="1"/>
  </sheetPr>
  <dimension ref="B1:I41"/>
  <sheetViews>
    <sheetView showGridLines="0" zoomScalePageLayoutView="0" workbookViewId="0" topLeftCell="A1">
      <selection activeCell="C37" sqref="C37:I41"/>
    </sheetView>
  </sheetViews>
  <sheetFormatPr defaultColWidth="9.140625" defaultRowHeight="15" outlineLevelRow="1"/>
  <cols>
    <col min="1" max="1" width="2.57421875" style="1" customWidth="1"/>
    <col min="2" max="2" width="33.00390625" style="1" customWidth="1"/>
    <col min="3" max="9" width="13.7109375" style="1" customWidth="1"/>
    <col min="10" max="10" width="3.00390625" style="1" customWidth="1"/>
    <col min="11" max="16384" width="9.140625" style="1" customWidth="1"/>
  </cols>
  <sheetData>
    <row r="1" spans="8:9" ht="12.75">
      <c r="H1" s="2" t="s">
        <v>10</v>
      </c>
      <c r="I1" s="3" t="s">
        <v>11</v>
      </c>
    </row>
    <row r="2" spans="8:9" ht="12.75">
      <c r="H2" s="2" t="s">
        <v>12</v>
      </c>
      <c r="I2" s="3" t="s">
        <v>13</v>
      </c>
    </row>
    <row r="3" spans="8:9" ht="12.75">
      <c r="H3" s="2" t="s">
        <v>14</v>
      </c>
      <c r="I3" s="3">
        <v>1</v>
      </c>
    </row>
    <row r="4" spans="8:9" ht="12.75">
      <c r="H4" s="2" t="s">
        <v>16</v>
      </c>
      <c r="I4" s="3">
        <v>1</v>
      </c>
    </row>
    <row r="5" spans="8:9" ht="12.75">
      <c r="H5" s="2" t="s">
        <v>18</v>
      </c>
      <c r="I5" s="3"/>
    </row>
    <row r="6" ht="12.75">
      <c r="H6" s="2"/>
    </row>
    <row r="7" spans="8:9" ht="12.75">
      <c r="H7" s="2" t="s">
        <v>19</v>
      </c>
      <c r="I7" s="6">
        <v>41033</v>
      </c>
    </row>
    <row r="8" ht="12.75">
      <c r="I8" s="193"/>
    </row>
    <row r="9" ht="12.75">
      <c r="I9" s="193"/>
    </row>
    <row r="10" spans="2:9" ht="18">
      <c r="B10" s="919" t="s">
        <v>244</v>
      </c>
      <c r="C10" s="919"/>
      <c r="D10" s="919"/>
      <c r="E10" s="919"/>
      <c r="F10" s="919"/>
      <c r="G10" s="919"/>
      <c r="H10" s="919"/>
      <c r="I10" s="919"/>
    </row>
    <row r="11" spans="2:9" ht="18">
      <c r="B11" s="919" t="s">
        <v>245</v>
      </c>
      <c r="C11" s="919"/>
      <c r="D11" s="919"/>
      <c r="E11" s="919"/>
      <c r="F11" s="919"/>
      <c r="G11" s="919"/>
      <c r="H11" s="919"/>
      <c r="I11" s="919"/>
    </row>
    <row r="12" ht="13.5" thickBot="1"/>
    <row r="13" spans="2:9" ht="35.25" customHeight="1">
      <c r="B13" s="194" t="s">
        <v>246</v>
      </c>
      <c r="C13" s="195" t="s">
        <v>247</v>
      </c>
      <c r="D13" s="195" t="s">
        <v>248</v>
      </c>
      <c r="E13" s="195" t="s">
        <v>249</v>
      </c>
      <c r="F13" s="195" t="s">
        <v>250</v>
      </c>
      <c r="G13" s="195">
        <v>2011</v>
      </c>
      <c r="H13" s="195">
        <v>2012</v>
      </c>
      <c r="I13" s="196">
        <v>2013</v>
      </c>
    </row>
    <row r="14" spans="2:9" ht="15">
      <c r="B14" s="197" t="s">
        <v>251</v>
      </c>
      <c r="C14" s="14">
        <v>43216.006</v>
      </c>
      <c r="D14" s="15">
        <f aca="true" t="shared" si="0" ref="D14:I14">C28</f>
        <v>49832.006</v>
      </c>
      <c r="E14" s="15">
        <f t="shared" si="0"/>
        <v>59677.006</v>
      </c>
      <c r="F14" s="15">
        <f t="shared" si="0"/>
        <v>56838.006</v>
      </c>
      <c r="G14" s="15">
        <f t="shared" si="0"/>
        <v>62086.006</v>
      </c>
      <c r="H14" s="15">
        <f t="shared" si="0"/>
        <v>73886.66519</v>
      </c>
      <c r="I14" s="198">
        <f t="shared" si="0"/>
        <v>81595.66519</v>
      </c>
    </row>
    <row r="15" spans="2:9" ht="15">
      <c r="B15" s="199" t="s">
        <v>252</v>
      </c>
      <c r="C15" s="14"/>
      <c r="D15" s="14">
        <v>9845</v>
      </c>
      <c r="E15" s="14"/>
      <c r="F15" s="14"/>
      <c r="G15" s="14"/>
      <c r="H15" s="14"/>
      <c r="I15" s="200"/>
    </row>
    <row r="16" spans="2:9" ht="15">
      <c r="B16" s="199" t="s">
        <v>253</v>
      </c>
      <c r="C16" s="14"/>
      <c r="D16" s="14"/>
      <c r="E16" s="14">
        <v>0</v>
      </c>
      <c r="F16" s="14">
        <v>0</v>
      </c>
      <c r="G16" s="14">
        <v>11800.659190000006</v>
      </c>
      <c r="H16" s="14">
        <v>725</v>
      </c>
      <c r="I16" s="200">
        <v>-85</v>
      </c>
    </row>
    <row r="17" spans="2:9" ht="15">
      <c r="B17" s="199" t="s">
        <v>254</v>
      </c>
      <c r="C17" s="14">
        <v>1261</v>
      </c>
      <c r="D17" s="14"/>
      <c r="E17" s="14">
        <v>-110</v>
      </c>
      <c r="F17" s="14">
        <v>-1014</v>
      </c>
      <c r="G17" s="14">
        <v>0</v>
      </c>
      <c r="H17" s="14">
        <v>2471</v>
      </c>
      <c r="I17" s="200">
        <v>1667</v>
      </c>
    </row>
    <row r="18" spans="2:9" ht="15">
      <c r="B18" s="199" t="s">
        <v>255</v>
      </c>
      <c r="C18" s="14">
        <v>0</v>
      </c>
      <c r="D18" s="14"/>
      <c r="E18" s="14">
        <v>315</v>
      </c>
      <c r="F18" s="14">
        <v>628</v>
      </c>
      <c r="G18" s="14">
        <v>0</v>
      </c>
      <c r="H18" s="14">
        <v>645</v>
      </c>
      <c r="I18" s="200">
        <v>1038</v>
      </c>
    </row>
    <row r="19" spans="2:9" ht="15">
      <c r="B19" s="199" t="s">
        <v>256</v>
      </c>
      <c r="C19" s="14">
        <v>1665</v>
      </c>
      <c r="D19" s="14"/>
      <c r="E19" s="14">
        <v>-1186</v>
      </c>
      <c r="F19" s="14">
        <v>1422</v>
      </c>
      <c r="G19" s="14">
        <v>0</v>
      </c>
      <c r="H19" s="14">
        <v>1303</v>
      </c>
      <c r="I19" s="200">
        <v>335</v>
      </c>
    </row>
    <row r="20" spans="2:9" ht="15">
      <c r="B20" s="199" t="s">
        <v>257</v>
      </c>
      <c r="C20" s="14">
        <v>0</v>
      </c>
      <c r="D20" s="14"/>
      <c r="E20" s="14">
        <v>2522</v>
      </c>
      <c r="F20" s="14">
        <v>1104</v>
      </c>
      <c r="G20" s="14">
        <v>0</v>
      </c>
      <c r="H20" s="14">
        <v>-895</v>
      </c>
      <c r="I20" s="200">
        <v>0</v>
      </c>
    </row>
    <row r="21" spans="2:9" ht="15">
      <c r="B21" s="199" t="s">
        <v>258</v>
      </c>
      <c r="C21" s="14">
        <v>1279</v>
      </c>
      <c r="D21" s="14"/>
      <c r="E21" s="14">
        <v>-962</v>
      </c>
      <c r="F21" s="14">
        <v>729</v>
      </c>
      <c r="G21" s="14">
        <v>0</v>
      </c>
      <c r="H21" s="14">
        <v>1258</v>
      </c>
      <c r="I21" s="200">
        <v>-252</v>
      </c>
    </row>
    <row r="22" spans="2:9" ht="15">
      <c r="B22" s="199" t="s">
        <v>259</v>
      </c>
      <c r="C22" s="17">
        <v>0</v>
      </c>
      <c r="D22" s="17"/>
      <c r="E22" s="17">
        <v>0</v>
      </c>
      <c r="F22" s="17">
        <v>483</v>
      </c>
      <c r="G22" s="17">
        <v>0</v>
      </c>
      <c r="H22" s="17">
        <v>856</v>
      </c>
      <c r="I22" s="200">
        <v>180</v>
      </c>
    </row>
    <row r="23" spans="2:9" ht="15">
      <c r="B23" s="199" t="s">
        <v>260</v>
      </c>
      <c r="C23" s="17">
        <v>536</v>
      </c>
      <c r="D23" s="17"/>
      <c r="E23" s="17">
        <v>56</v>
      </c>
      <c r="F23" s="17">
        <v>459</v>
      </c>
      <c r="G23" s="17">
        <v>0</v>
      </c>
      <c r="H23" s="17">
        <v>0</v>
      </c>
      <c r="I23" s="200">
        <v>140</v>
      </c>
    </row>
    <row r="24" spans="2:9" ht="15">
      <c r="B24" s="199" t="s">
        <v>261</v>
      </c>
      <c r="C24" s="17">
        <v>0</v>
      </c>
      <c r="D24" s="17"/>
      <c r="E24" s="17">
        <v>0</v>
      </c>
      <c r="F24" s="17">
        <v>586</v>
      </c>
      <c r="G24" s="17">
        <v>0</v>
      </c>
      <c r="H24" s="17">
        <v>465</v>
      </c>
      <c r="I24" s="200">
        <v>200</v>
      </c>
    </row>
    <row r="25" spans="2:9" ht="15">
      <c r="B25" s="201" t="s">
        <v>262</v>
      </c>
      <c r="C25" s="17">
        <v>0</v>
      </c>
      <c r="D25" s="17"/>
      <c r="E25" s="17">
        <v>0</v>
      </c>
      <c r="F25" s="17">
        <v>379</v>
      </c>
      <c r="G25" s="17">
        <v>0</v>
      </c>
      <c r="H25" s="17">
        <v>0</v>
      </c>
      <c r="I25" s="200">
        <v>358</v>
      </c>
    </row>
    <row r="26" spans="2:9" ht="15">
      <c r="B26" s="201" t="s">
        <v>263</v>
      </c>
      <c r="C26" s="17">
        <v>1875</v>
      </c>
      <c r="D26" s="17"/>
      <c r="E26" s="17">
        <v>-3474</v>
      </c>
      <c r="F26" s="17">
        <v>472</v>
      </c>
      <c r="G26" s="17">
        <v>0</v>
      </c>
      <c r="H26" s="17">
        <v>881</v>
      </c>
      <c r="I26" s="200">
        <v>524</v>
      </c>
    </row>
    <row r="27" spans="2:9" ht="15.75" thickBot="1">
      <c r="B27" s="202"/>
      <c r="C27" s="17"/>
      <c r="D27" s="17"/>
      <c r="E27" s="17"/>
      <c r="F27" s="18"/>
      <c r="G27" s="17"/>
      <c r="H27" s="17"/>
      <c r="I27" s="203"/>
    </row>
    <row r="28" spans="2:9" ht="16.5" thickBot="1" thickTop="1">
      <c r="B28" s="204" t="s">
        <v>264</v>
      </c>
      <c r="C28" s="21">
        <f aca="true" t="shared" si="1" ref="C28:I28">SUM(C14:C27)</f>
        <v>49832.006</v>
      </c>
      <c r="D28" s="21">
        <f t="shared" si="1"/>
        <v>59677.006</v>
      </c>
      <c r="E28" s="21">
        <f t="shared" si="1"/>
        <v>56838.006</v>
      </c>
      <c r="F28" s="22">
        <f t="shared" si="1"/>
        <v>62086.006</v>
      </c>
      <c r="G28" s="21">
        <f t="shared" si="1"/>
        <v>73886.66519</v>
      </c>
      <c r="H28" s="21">
        <f t="shared" si="1"/>
        <v>81595.66519</v>
      </c>
      <c r="I28" s="205">
        <f t="shared" si="1"/>
        <v>85700.66519</v>
      </c>
    </row>
    <row r="30" ht="12.75">
      <c r="B30" s="206" t="s">
        <v>265</v>
      </c>
    </row>
    <row r="32" spans="2:3" ht="12.75">
      <c r="B32" s="206" t="str">
        <f>"(1)"</f>
        <v>(1)</v>
      </c>
      <c r="C32" s="1" t="s">
        <v>266</v>
      </c>
    </row>
    <row r="33" spans="2:9" ht="12.75" hidden="1" outlineLevel="1">
      <c r="B33" s="207" t="s">
        <v>267</v>
      </c>
      <c r="C33" s="208">
        <v>49832.73665</v>
      </c>
      <c r="D33" s="208">
        <v>59677.12737</v>
      </c>
      <c r="E33" s="208">
        <v>56837.72865999999</v>
      </c>
      <c r="F33" s="208">
        <v>62086.73101</v>
      </c>
      <c r="G33" s="208">
        <v>73885.36125338101</v>
      </c>
      <c r="H33" s="208">
        <v>81595.67967399415</v>
      </c>
      <c r="I33" s="208">
        <v>85701.10110198156</v>
      </c>
    </row>
    <row r="34" spans="2:9" ht="12.75" hidden="1" outlineLevel="1">
      <c r="B34" s="206"/>
      <c r="C34" s="209">
        <f>C28-C33</f>
        <v>-0.730649999997695</v>
      </c>
      <c r="D34" s="209">
        <f aca="true" t="shared" si="2" ref="D34:I34">D28-D33</f>
        <v>-0.12137000000075204</v>
      </c>
      <c r="E34" s="209">
        <f t="shared" si="2"/>
        <v>0.27734000000782544</v>
      </c>
      <c r="F34" s="209">
        <f t="shared" si="2"/>
        <v>-0.7250100000019302</v>
      </c>
      <c r="G34" s="209">
        <f t="shared" si="2"/>
        <v>1.303936618991429</v>
      </c>
      <c r="H34" s="209">
        <f t="shared" si="2"/>
        <v>-0.014483994149486534</v>
      </c>
      <c r="I34" s="209">
        <f t="shared" si="2"/>
        <v>-0.4359119815635495</v>
      </c>
    </row>
    <row r="35" ht="12.75" collapsed="1">
      <c r="B35" s="206"/>
    </row>
    <row r="36" ht="12.75">
      <c r="B36" s="206"/>
    </row>
    <row r="37" spans="2:9" ht="12.75">
      <c r="B37" s="206"/>
      <c r="C37" s="902"/>
      <c r="D37" s="902"/>
      <c r="E37" s="902"/>
      <c r="F37" s="902"/>
      <c r="G37" s="902"/>
      <c r="H37" s="902"/>
      <c r="I37" s="902"/>
    </row>
    <row r="38" spans="3:9" ht="12.75">
      <c r="C38" s="902"/>
      <c r="D38" s="902"/>
      <c r="E38" s="902"/>
      <c r="F38" s="902"/>
      <c r="G38" s="902"/>
      <c r="H38" s="902"/>
      <c r="I38" s="902"/>
    </row>
    <row r="39" spans="3:9" ht="12.75">
      <c r="C39" s="902"/>
      <c r="D39" s="902"/>
      <c r="E39" s="902"/>
      <c r="F39" s="902"/>
      <c r="G39" s="902"/>
      <c r="H39" s="902"/>
      <c r="I39" s="902"/>
    </row>
    <row r="40" spans="3:9" ht="12.75">
      <c r="C40" s="902"/>
      <c r="D40" s="902"/>
      <c r="E40" s="902"/>
      <c r="F40" s="902"/>
      <c r="G40" s="902"/>
      <c r="H40" s="902"/>
      <c r="I40" s="902"/>
    </row>
    <row r="41" spans="3:9" ht="12.75">
      <c r="C41" s="902"/>
      <c r="D41" s="902"/>
      <c r="E41" s="902"/>
      <c r="F41" s="902"/>
      <c r="G41" s="902"/>
      <c r="H41" s="902"/>
      <c r="I41" s="902"/>
    </row>
  </sheetData>
  <sheetProtection/>
  <mergeCells count="3">
    <mergeCell ref="B10:I10"/>
    <mergeCell ref="B11:I11"/>
    <mergeCell ref="C37:I41"/>
  </mergeCells>
  <conditionalFormatting sqref="C28:I28">
    <cfRule type="expression" priority="1" dxfId="1" stopIfTrue="1">
      <formula>-1&lt;ROUND(C$34,0)&lt;1</formula>
    </cfRule>
  </conditionalFormatting>
  <dataValidations count="1">
    <dataValidation allowBlank="1" showInputMessage="1" showErrorMessage="1" promptTitle="Date Format" prompt="E.g:  &quot;August 1, 2011&quot;" sqref="I7"/>
  </dataValidations>
  <printOptions/>
  <pageMargins left="0.75" right="0.75" top="1" bottom="1" header="0.5" footer="0.5"/>
  <pageSetup fitToHeight="1" fitToWidth="1" horizontalDpi="600" verticalDpi="600" orientation="portrait" scale="66" r:id="rId1"/>
</worksheet>
</file>

<file path=xl/worksheets/sheet8.xml><?xml version="1.0" encoding="utf-8"?>
<worksheet xmlns="http://schemas.openxmlformats.org/spreadsheetml/2006/main" xmlns:r="http://schemas.openxmlformats.org/officeDocument/2006/relationships">
  <sheetPr>
    <pageSetUpPr fitToPage="1"/>
  </sheetPr>
  <dimension ref="B1:N32"/>
  <sheetViews>
    <sheetView showGridLines="0" zoomScale="85" zoomScaleNormal="85" zoomScalePageLayoutView="0" workbookViewId="0" topLeftCell="A1">
      <selection activeCell="O23" sqref="O23"/>
    </sheetView>
  </sheetViews>
  <sheetFormatPr defaultColWidth="9.140625" defaultRowHeight="15" outlineLevelRow="1"/>
  <cols>
    <col min="1" max="1" width="2.7109375" style="1" customWidth="1"/>
    <col min="2" max="2" width="4.140625" style="1" customWidth="1"/>
    <col min="3" max="3" width="45.00390625" style="1" customWidth="1"/>
    <col min="4" max="4" width="10.140625" style="1" bestFit="1" customWidth="1"/>
    <col min="5" max="5" width="8.57421875" style="1" customWidth="1"/>
    <col min="6" max="6" width="16.28125" style="1" customWidth="1"/>
    <col min="7" max="7" width="13.140625" style="1" customWidth="1"/>
    <col min="8" max="8" width="13.7109375" style="1" customWidth="1"/>
    <col min="9" max="9" width="11.57421875" style="1" bestFit="1" customWidth="1"/>
    <col min="10" max="10" width="13.7109375" style="1" customWidth="1"/>
    <col min="11" max="11" width="15.00390625" style="1" customWidth="1"/>
    <col min="12" max="12" width="14.28125" style="1" bestFit="1" customWidth="1"/>
    <col min="13" max="13" width="14.421875" style="1" customWidth="1"/>
    <col min="14" max="14" width="10.7109375" style="1" customWidth="1"/>
    <col min="15" max="16384" width="9.140625" style="1" customWidth="1"/>
  </cols>
  <sheetData>
    <row r="1" spans="12:13" ht="12.75">
      <c r="L1" s="2" t="s">
        <v>10</v>
      </c>
      <c r="M1" s="3" t="s">
        <v>11</v>
      </c>
    </row>
    <row r="2" spans="12:13" ht="12.75">
      <c r="L2" s="2" t="s">
        <v>12</v>
      </c>
      <c r="M2" s="3" t="s">
        <v>13</v>
      </c>
    </row>
    <row r="3" spans="12:13" ht="12.75">
      <c r="L3" s="2" t="s">
        <v>14</v>
      </c>
      <c r="M3" s="54">
        <v>4</v>
      </c>
    </row>
    <row r="4" spans="12:13" ht="12.75">
      <c r="L4" s="2" t="s">
        <v>16</v>
      </c>
      <c r="M4" s="54">
        <v>2</v>
      </c>
    </row>
    <row r="5" spans="12:13" ht="12.75">
      <c r="L5" s="2" t="s">
        <v>18</v>
      </c>
      <c r="M5" s="3"/>
    </row>
    <row r="6" ht="12.75">
      <c r="L6" s="2"/>
    </row>
    <row r="7" spans="12:13" ht="12.75">
      <c r="L7" s="2" t="s">
        <v>19</v>
      </c>
      <c r="M7" s="6">
        <v>41033</v>
      </c>
    </row>
    <row r="9" spans="2:13" ht="18">
      <c r="B9" s="919" t="s">
        <v>268</v>
      </c>
      <c r="C9" s="919"/>
      <c r="D9" s="919"/>
      <c r="E9" s="919"/>
      <c r="F9" s="919"/>
      <c r="G9" s="919"/>
      <c r="H9" s="919"/>
      <c r="I9" s="919"/>
      <c r="J9" s="919"/>
      <c r="K9" s="919"/>
      <c r="L9" s="919"/>
      <c r="M9" s="919"/>
    </row>
    <row r="10" spans="2:13" ht="18">
      <c r="B10" s="919" t="s">
        <v>269</v>
      </c>
      <c r="C10" s="919"/>
      <c r="D10" s="919"/>
      <c r="E10" s="919"/>
      <c r="F10" s="919"/>
      <c r="G10" s="919"/>
      <c r="H10" s="919"/>
      <c r="I10" s="919"/>
      <c r="J10" s="919"/>
      <c r="K10" s="919"/>
      <c r="L10" s="919"/>
      <c r="M10" s="919"/>
    </row>
    <row r="11" spans="6:7" ht="20.25">
      <c r="F11" s="210" t="s">
        <v>270</v>
      </c>
      <c r="G11" s="211"/>
    </row>
    <row r="12" ht="13.5" thickBot="1">
      <c r="F12" s="210" t="s">
        <v>271</v>
      </c>
    </row>
    <row r="13" spans="2:13" ht="27" customHeight="1">
      <c r="B13" s="900" t="s">
        <v>272</v>
      </c>
      <c r="C13" s="898"/>
      <c r="D13" s="212" t="s">
        <v>273</v>
      </c>
      <c r="E13" s="212" t="s">
        <v>274</v>
      </c>
      <c r="F13" s="212" t="s">
        <v>275</v>
      </c>
      <c r="G13" s="165">
        <v>2009</v>
      </c>
      <c r="H13" s="165">
        <v>2010</v>
      </c>
      <c r="I13" s="165">
        <v>2011</v>
      </c>
      <c r="J13" s="165" t="s">
        <v>276</v>
      </c>
      <c r="K13" s="212" t="s">
        <v>277</v>
      </c>
      <c r="L13" s="165" t="s">
        <v>278</v>
      </c>
      <c r="M13" s="213" t="s">
        <v>277</v>
      </c>
    </row>
    <row r="14" spans="2:13" ht="12.75">
      <c r="B14" s="934" t="s">
        <v>279</v>
      </c>
      <c r="C14" s="935"/>
      <c r="D14" s="214" t="s">
        <v>280</v>
      </c>
      <c r="E14" s="214" t="s">
        <v>281</v>
      </c>
      <c r="F14" s="214" t="s">
        <v>282</v>
      </c>
      <c r="G14" s="214" t="s">
        <v>283</v>
      </c>
      <c r="H14" s="214" t="s">
        <v>284</v>
      </c>
      <c r="I14" s="214" t="s">
        <v>284</v>
      </c>
      <c r="J14" s="214" t="s">
        <v>285</v>
      </c>
      <c r="K14" s="214" t="s">
        <v>286</v>
      </c>
      <c r="L14" s="214" t="s">
        <v>287</v>
      </c>
      <c r="M14" s="215" t="s">
        <v>288</v>
      </c>
    </row>
    <row r="15" spans="2:14" ht="12.75">
      <c r="B15" s="216">
        <v>1</v>
      </c>
      <c r="C15" s="217" t="s">
        <v>289</v>
      </c>
      <c r="D15" s="218">
        <v>5655.4565</v>
      </c>
      <c r="E15" s="219"/>
      <c r="F15" s="220" t="s">
        <v>290</v>
      </c>
      <c r="G15" s="219">
        <v>992905.99</v>
      </c>
      <c r="H15" s="219">
        <v>1001352.98</v>
      </c>
      <c r="I15" s="219">
        <v>1010494</v>
      </c>
      <c r="J15" s="219">
        <v>1102500</v>
      </c>
      <c r="K15" s="221">
        <f aca="true" t="shared" si="0" ref="K15:K28">IF(I15=0,"",(J15-I15)/I15)</f>
        <v>0.09105051588628928</v>
      </c>
      <c r="L15" s="219">
        <v>1157625</v>
      </c>
      <c r="M15" s="222">
        <f aca="true" t="shared" si="1" ref="M15:M28">IF(J15=0,"",(L15-J15)/J15)</f>
        <v>0.05</v>
      </c>
      <c r="N15" s="223"/>
    </row>
    <row r="16" spans="2:14" ht="12.75">
      <c r="B16" s="216">
        <v>2</v>
      </c>
      <c r="C16" s="217" t="s">
        <v>291</v>
      </c>
      <c r="D16" s="218" t="s">
        <v>292</v>
      </c>
      <c r="E16" s="219"/>
      <c r="F16" s="220" t="s">
        <v>293</v>
      </c>
      <c r="G16" s="219">
        <v>203925.32</v>
      </c>
      <c r="H16" s="224">
        <v>3960</v>
      </c>
      <c r="I16" s="224">
        <v>5115</v>
      </c>
      <c r="J16" s="219">
        <v>170000</v>
      </c>
      <c r="K16" s="221">
        <f t="shared" si="0"/>
        <v>32.235581622678396</v>
      </c>
      <c r="L16" s="219">
        <v>110000</v>
      </c>
      <c r="M16" s="222">
        <f t="shared" si="1"/>
        <v>-0.35294117647058826</v>
      </c>
      <c r="N16" s="223"/>
    </row>
    <row r="17" spans="2:14" ht="12.75">
      <c r="B17" s="216">
        <v>3</v>
      </c>
      <c r="C17" s="217" t="s">
        <v>294</v>
      </c>
      <c r="D17" s="218" t="s">
        <v>292</v>
      </c>
      <c r="E17" s="219"/>
      <c r="F17" s="220" t="s">
        <v>290</v>
      </c>
      <c r="G17" s="219">
        <v>50303.1</v>
      </c>
      <c r="H17" s="219">
        <v>31954.109999999997</v>
      </c>
      <c r="I17" s="219">
        <v>45713.22</v>
      </c>
      <c r="J17" s="219">
        <v>80000</v>
      </c>
      <c r="K17" s="221">
        <f t="shared" si="0"/>
        <v>0.7500407978260992</v>
      </c>
      <c r="L17" s="219">
        <v>50000</v>
      </c>
      <c r="M17" s="222">
        <f t="shared" si="1"/>
        <v>-0.375</v>
      </c>
      <c r="N17" s="223"/>
    </row>
    <row r="18" spans="2:14" ht="12.75" customHeight="1">
      <c r="B18" s="216">
        <v>4</v>
      </c>
      <c r="C18" s="217" t="s">
        <v>295</v>
      </c>
      <c r="D18" s="218"/>
      <c r="E18" s="219"/>
      <c r="F18" s="220" t="s">
        <v>293</v>
      </c>
      <c r="G18" s="219">
        <v>0</v>
      </c>
      <c r="H18" s="219">
        <v>0</v>
      </c>
      <c r="I18" s="219">
        <v>0</v>
      </c>
      <c r="J18" s="219">
        <v>0</v>
      </c>
      <c r="K18" s="221">
        <v>0</v>
      </c>
      <c r="L18" s="219">
        <v>0</v>
      </c>
      <c r="M18" s="222">
        <v>0</v>
      </c>
      <c r="N18" s="223"/>
    </row>
    <row r="19" spans="2:14" ht="12.75">
      <c r="B19" s="216">
        <v>5</v>
      </c>
      <c r="C19" s="225" t="s">
        <v>296</v>
      </c>
      <c r="D19" s="218" t="s">
        <v>297</v>
      </c>
      <c r="E19" s="219"/>
      <c r="F19" s="220" t="s">
        <v>293</v>
      </c>
      <c r="G19" s="219">
        <v>722072.2200000001</v>
      </c>
      <c r="H19" s="219">
        <v>39251.21</v>
      </c>
      <c r="I19" s="219">
        <v>59420.35</v>
      </c>
      <c r="J19" s="219">
        <v>610000</v>
      </c>
      <c r="K19" s="221">
        <f t="shared" si="0"/>
        <v>9.265843267500108</v>
      </c>
      <c r="L19" s="219">
        <v>110000</v>
      </c>
      <c r="M19" s="222">
        <f t="shared" si="1"/>
        <v>-0.819672131147541</v>
      </c>
      <c r="N19" s="223"/>
    </row>
    <row r="20" spans="2:14" ht="12.75">
      <c r="B20" s="216">
        <v>6</v>
      </c>
      <c r="C20" s="225" t="s">
        <v>298</v>
      </c>
      <c r="D20" s="218" t="s">
        <v>299</v>
      </c>
      <c r="E20" s="219"/>
      <c r="F20" s="220" t="s">
        <v>293</v>
      </c>
      <c r="G20" s="219">
        <v>125345.83</v>
      </c>
      <c r="H20" s="219">
        <v>81241.12</v>
      </c>
      <c r="I20" s="219">
        <v>86402.98999999999</v>
      </c>
      <c r="J20" s="219">
        <v>150000</v>
      </c>
      <c r="K20" s="221">
        <f t="shared" si="0"/>
        <v>0.7360510324932044</v>
      </c>
      <c r="L20" s="219">
        <v>50000</v>
      </c>
      <c r="M20" s="222">
        <f t="shared" si="1"/>
        <v>-0.6666666666666666</v>
      </c>
      <c r="N20" s="223"/>
    </row>
    <row r="21" spans="2:14" ht="25.5" customHeight="1">
      <c r="B21" s="216">
        <v>7</v>
      </c>
      <c r="C21" s="217" t="s">
        <v>300</v>
      </c>
      <c r="D21" s="226" t="s">
        <v>301</v>
      </c>
      <c r="E21" s="219"/>
      <c r="F21" s="220" t="s">
        <v>290</v>
      </c>
      <c r="G21" s="219">
        <f>590516+18222</f>
        <v>608738</v>
      </c>
      <c r="H21" s="219">
        <f>528999.3+29276</f>
        <v>558275.3</v>
      </c>
      <c r="I21" s="219">
        <f>644508.805+37152</f>
        <v>681660.805</v>
      </c>
      <c r="J21" s="219">
        <f>644657.16+43900</f>
        <v>688557.16</v>
      </c>
      <c r="K21" s="221">
        <f t="shared" si="0"/>
        <v>0.010116989196701695</v>
      </c>
      <c r="L21" s="219">
        <f>723476.6+45900</f>
        <v>769376.6</v>
      </c>
      <c r="M21" s="222">
        <f t="shared" si="1"/>
        <v>0.11737506295047449</v>
      </c>
      <c r="N21" s="223"/>
    </row>
    <row r="22" spans="2:14" ht="26.25" customHeight="1">
      <c r="B22" s="216">
        <v>8</v>
      </c>
      <c r="C22" s="225" t="s">
        <v>302</v>
      </c>
      <c r="D22" s="218"/>
      <c r="E22" s="219"/>
      <c r="F22" s="220" t="s">
        <v>290</v>
      </c>
      <c r="G22" s="219"/>
      <c r="H22" s="219"/>
      <c r="I22" s="219"/>
      <c r="J22" s="219"/>
      <c r="K22" s="221">
        <f t="shared" si="0"/>
      </c>
      <c r="L22" s="219"/>
      <c r="M22" s="222">
        <f t="shared" si="1"/>
      </c>
      <c r="N22" s="223"/>
    </row>
    <row r="23" spans="2:14" ht="22.5" customHeight="1">
      <c r="B23" s="216">
        <v>9</v>
      </c>
      <c r="C23" s="217" t="s">
        <v>303</v>
      </c>
      <c r="D23" s="218">
        <v>9083</v>
      </c>
      <c r="E23" s="219"/>
      <c r="F23" s="220" t="s">
        <v>290</v>
      </c>
      <c r="G23" s="219">
        <v>104282.49</v>
      </c>
      <c r="H23" s="219">
        <v>134543</v>
      </c>
      <c r="I23" s="219">
        <v>136989.13</v>
      </c>
      <c r="J23" s="219">
        <v>139000</v>
      </c>
      <c r="K23" s="221">
        <f t="shared" si="0"/>
        <v>0.014679047892340036</v>
      </c>
      <c r="L23" s="219">
        <v>141000</v>
      </c>
      <c r="M23" s="222">
        <f t="shared" si="1"/>
        <v>0.014388489208633094</v>
      </c>
      <c r="N23" s="223"/>
    </row>
    <row r="24" spans="2:14" ht="25.5">
      <c r="B24" s="216">
        <v>10</v>
      </c>
      <c r="C24" s="217" t="s">
        <v>317</v>
      </c>
      <c r="D24" s="218"/>
      <c r="E24" s="219"/>
      <c r="F24" s="220"/>
      <c r="G24" s="219"/>
      <c r="H24" s="219"/>
      <c r="I24" s="219"/>
      <c r="J24" s="219"/>
      <c r="K24" s="221">
        <f t="shared" si="0"/>
      </c>
      <c r="L24" s="219"/>
      <c r="M24" s="222">
        <f t="shared" si="1"/>
      </c>
      <c r="N24" s="223"/>
    </row>
    <row r="25" spans="2:14" ht="13.5" thickBot="1">
      <c r="B25" s="227">
        <v>11</v>
      </c>
      <c r="C25" s="228" t="s">
        <v>318</v>
      </c>
      <c r="D25" s="229"/>
      <c r="E25" s="230"/>
      <c r="F25" s="231"/>
      <c r="G25" s="230"/>
      <c r="H25" s="230"/>
      <c r="I25" s="230"/>
      <c r="J25" s="230"/>
      <c r="K25" s="232">
        <f t="shared" si="0"/>
      </c>
      <c r="L25" s="230"/>
      <c r="M25" s="233">
        <f t="shared" si="1"/>
      </c>
      <c r="N25" s="223"/>
    </row>
    <row r="26" spans="2:14" ht="15" thickBot="1">
      <c r="B26" s="234">
        <v>12</v>
      </c>
      <c r="C26" s="235" t="s">
        <v>319</v>
      </c>
      <c r="D26" s="236"/>
      <c r="E26" s="237">
        <f>SUMIF($F15:$F25,$F11,E15:E25)</f>
        <v>0</v>
      </c>
      <c r="F26" s="238"/>
      <c r="G26" s="237">
        <f>SUMIF($F15:$F25,$F11,G15:G25)</f>
        <v>1756229.5799999998</v>
      </c>
      <c r="H26" s="237">
        <f>SUMIF($F15:$F25,$F11,H15:H25)</f>
        <v>1726125.3900000001</v>
      </c>
      <c r="I26" s="237">
        <f>SUMIF($F15:$F25,$F11,I15:I25)</f>
        <v>1874857.1549999998</v>
      </c>
      <c r="J26" s="237">
        <f>SUMIF($F15:$F25,$F11,J15:J25)</f>
        <v>2010057.1600000001</v>
      </c>
      <c r="K26" s="239">
        <f t="shared" si="0"/>
        <v>0.07211216312636914</v>
      </c>
      <c r="L26" s="237">
        <f>SUMIF($F15:$F25,$F11,L15:L25)</f>
        <v>2118001.6</v>
      </c>
      <c r="M26" s="240">
        <f t="shared" si="1"/>
        <v>0.05370217432025661</v>
      </c>
      <c r="N26" s="223"/>
    </row>
    <row r="27" spans="2:14" ht="15.75" thickBot="1" thickTop="1">
      <c r="B27" s="241">
        <v>13</v>
      </c>
      <c r="C27" s="242" t="s">
        <v>320</v>
      </c>
      <c r="D27" s="238"/>
      <c r="E27" s="243">
        <f>SUMIF($F15:$F25,$F12,E15:E25)</f>
        <v>0</v>
      </c>
      <c r="F27" s="238"/>
      <c r="G27" s="243">
        <f>SUMIF($F15:$F25,$F12,G15:G25)</f>
        <v>1051343.37</v>
      </c>
      <c r="H27" s="243">
        <f>SUMIF($F15:$F25,$F12,H15:H25)</f>
        <v>124452.32999999999</v>
      </c>
      <c r="I27" s="243">
        <f>SUMIF($F15:$F25,$F12,I15:I25)</f>
        <v>150938.34</v>
      </c>
      <c r="J27" s="243">
        <f>SUMIF($F15:$F25,$F12,J15:J25)</f>
        <v>930000</v>
      </c>
      <c r="K27" s="244">
        <f t="shared" si="0"/>
        <v>5.161456393385538</v>
      </c>
      <c r="L27" s="243">
        <f>SUMIF($F15:$F25,$F12,L15:L25)</f>
        <v>270000</v>
      </c>
      <c r="M27" s="245">
        <f t="shared" si="1"/>
        <v>-0.7096774193548387</v>
      </c>
      <c r="N27" s="223"/>
    </row>
    <row r="28" spans="2:14" ht="14.25" thickBot="1" thickTop="1">
      <c r="B28" s="246">
        <v>14</v>
      </c>
      <c r="C28" s="247" t="s">
        <v>112</v>
      </c>
      <c r="D28" s="248"/>
      <c r="E28" s="249">
        <f>E26+E27</f>
        <v>0</v>
      </c>
      <c r="F28" s="248"/>
      <c r="G28" s="249">
        <f>G26+G27</f>
        <v>2807572.95</v>
      </c>
      <c r="H28" s="249">
        <f>H26+H27</f>
        <v>1850577.7200000002</v>
      </c>
      <c r="I28" s="249">
        <f>I26+I27</f>
        <v>2025795.4949999999</v>
      </c>
      <c r="J28" s="249">
        <f>J26+J27</f>
        <v>2940057.16</v>
      </c>
      <c r="K28" s="250">
        <f t="shared" si="0"/>
        <v>0.451309950711486</v>
      </c>
      <c r="L28" s="249">
        <f>L26+L27</f>
        <v>2388001.6</v>
      </c>
      <c r="M28" s="251">
        <f t="shared" si="1"/>
        <v>-0.18777034933565714</v>
      </c>
      <c r="N28" s="223"/>
    </row>
    <row r="30" ht="12.75">
      <c r="B30" s="32"/>
    </row>
    <row r="31" spans="2:3" s="253" customFormat="1" ht="14.25" hidden="1" outlineLevel="1">
      <c r="B31" s="252" t="s">
        <v>321</v>
      </c>
      <c r="C31" s="253" t="s">
        <v>322</v>
      </c>
    </row>
    <row r="32" spans="2:3" s="253" customFormat="1" ht="14.25" hidden="1" outlineLevel="1">
      <c r="B32" s="252" t="s">
        <v>323</v>
      </c>
      <c r="C32" s="253" t="s">
        <v>324</v>
      </c>
    </row>
    <row r="33" s="254" customFormat="1" ht="12" collapsed="1"/>
    <row r="34" s="254" customFormat="1" ht="12"/>
    <row r="35" s="254" customFormat="1" ht="12"/>
  </sheetData>
  <sheetProtection/>
  <mergeCells count="4">
    <mergeCell ref="B9:M9"/>
    <mergeCell ref="B10:M10"/>
    <mergeCell ref="B13:C13"/>
    <mergeCell ref="B14:C14"/>
  </mergeCells>
  <dataValidations count="3">
    <dataValidation type="list" allowBlank="1" showInputMessage="1" showErrorMessage="1" sqref="F15:F23">
      <formula1>"One-Time, On-Going"</formula1>
    </dataValidation>
    <dataValidation allowBlank="1" showInputMessage="1" showErrorMessage="1" promptTitle="Date Format" prompt="E.g:  &quot;August 1, 2011&quot;" sqref="M7"/>
    <dataValidation type="list" allowBlank="1" showInputMessage="1" showErrorMessage="1" prompt="Please identify costs as One-time or ongoing by selecting from the drop-down list." sqref="F24:F25">
      <formula1>"On-Time, On-Going"</formula1>
    </dataValidation>
  </dataValidations>
  <printOptions/>
  <pageMargins left="0.75" right="0.75" top="0.74" bottom="0.53" header="0.5" footer="0.3"/>
  <pageSetup fitToHeight="1" fitToWidth="1" horizontalDpi="600" verticalDpi="600" orientation="landscape" scale="66" r:id="rId1"/>
</worksheet>
</file>

<file path=xl/worksheets/sheet9.xml><?xml version="1.0" encoding="utf-8"?>
<worksheet xmlns="http://schemas.openxmlformats.org/spreadsheetml/2006/main" xmlns:r="http://schemas.openxmlformats.org/officeDocument/2006/relationships">
  <sheetPr>
    <pageSetUpPr fitToPage="1"/>
  </sheetPr>
  <dimension ref="A1:CH38"/>
  <sheetViews>
    <sheetView zoomScalePageLayoutView="0" workbookViewId="0" topLeftCell="A3">
      <selection activeCell="I32" sqref="I32"/>
    </sheetView>
  </sheetViews>
  <sheetFormatPr defaultColWidth="9.140625" defaultRowHeight="15"/>
  <cols>
    <col min="1" max="1" width="13.00390625" style="1" customWidth="1"/>
    <col min="2" max="2" width="17.28125" style="1" customWidth="1"/>
    <col min="3" max="3" width="21.8515625" style="1" customWidth="1"/>
    <col min="4" max="4" width="16.8515625" style="1" customWidth="1"/>
    <col min="5" max="9" width="12.28125" style="1" bestFit="1" customWidth="1"/>
    <col min="10" max="10" width="12.28125" style="193" bestFit="1" customWidth="1"/>
    <col min="11" max="84" width="9.140625" style="193" customWidth="1"/>
    <col min="85" max="16384" width="9.140625" style="1" customWidth="1"/>
  </cols>
  <sheetData>
    <row r="1" spans="1:84" s="256" customFormat="1" ht="46.5" customHeight="1">
      <c r="A1" s="255" t="s">
        <v>325</v>
      </c>
      <c r="C1" s="257" t="s">
        <v>326</v>
      </c>
      <c r="J1" s="258"/>
      <c r="K1" s="258"/>
      <c r="L1" s="258"/>
      <c r="M1" s="259"/>
      <c r="N1" s="258"/>
      <c r="O1" s="258"/>
      <c r="P1" s="258"/>
      <c r="Q1" s="258"/>
      <c r="R1" s="258"/>
      <c r="S1" s="258"/>
      <c r="T1" s="259"/>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row>
    <row r="2" spans="1:84" s="256" customFormat="1" ht="34.5" customHeight="1">
      <c r="A2" s="260"/>
      <c r="B2" s="261"/>
      <c r="C2" s="257" t="s">
        <v>327</v>
      </c>
      <c r="D2" s="262"/>
      <c r="E2" s="263"/>
      <c r="F2" s="263"/>
      <c r="G2" s="263"/>
      <c r="H2" s="264"/>
      <c r="I2" s="264"/>
      <c r="J2" s="265"/>
      <c r="K2" s="265"/>
      <c r="L2" s="265"/>
      <c r="M2" s="266"/>
      <c r="N2" s="265"/>
      <c r="O2" s="265"/>
      <c r="P2" s="265"/>
      <c r="Q2" s="265"/>
      <c r="R2" s="265"/>
      <c r="S2" s="265"/>
      <c r="T2" s="266"/>
      <c r="U2" s="265"/>
      <c r="V2" s="265"/>
      <c r="W2" s="265"/>
      <c r="X2" s="265"/>
      <c r="Y2" s="265"/>
      <c r="Z2" s="265"/>
      <c r="AA2" s="265"/>
      <c r="AB2" s="267"/>
      <c r="AC2" s="267"/>
      <c r="AD2" s="268"/>
      <c r="AE2" s="265"/>
      <c r="AF2" s="265"/>
      <c r="AG2" s="265"/>
      <c r="AH2" s="267"/>
      <c r="AI2" s="267"/>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59"/>
      <c r="BO2" s="259"/>
      <c r="BP2" s="259"/>
      <c r="BQ2" s="259"/>
      <c r="BR2" s="259"/>
      <c r="BS2" s="259"/>
      <c r="BT2" s="259"/>
      <c r="BU2" s="259"/>
      <c r="BV2" s="259"/>
      <c r="BW2" s="259"/>
      <c r="BX2" s="259"/>
      <c r="BY2" s="259"/>
      <c r="BZ2" s="259"/>
      <c r="CA2" s="259"/>
      <c r="CB2" s="259"/>
      <c r="CC2" s="259"/>
      <c r="CD2" s="259"/>
      <c r="CE2" s="259"/>
      <c r="CF2" s="259"/>
    </row>
    <row r="3" spans="1:11" ht="12.75">
      <c r="A3" s="269"/>
      <c r="B3" s="269"/>
      <c r="C3" s="269"/>
      <c r="D3" s="269"/>
      <c r="E3" s="269"/>
      <c r="F3" s="269"/>
      <c r="G3" s="269"/>
      <c r="H3" s="269"/>
      <c r="I3" s="269"/>
      <c r="J3" s="269"/>
      <c r="K3" s="269"/>
    </row>
    <row r="4" spans="1:11" ht="12.75">
      <c r="A4" s="269"/>
      <c r="B4" s="269"/>
      <c r="C4" s="269"/>
      <c r="D4" s="269"/>
      <c r="E4" s="269"/>
      <c r="F4" s="269"/>
      <c r="G4" s="269"/>
      <c r="H4" s="269"/>
      <c r="I4" s="269"/>
      <c r="J4" s="269"/>
      <c r="K4" s="269"/>
    </row>
    <row r="5" spans="1:11" ht="12.75">
      <c r="A5" s="269"/>
      <c r="B5" s="269"/>
      <c r="C5" s="269"/>
      <c r="D5" s="269"/>
      <c r="E5" s="269"/>
      <c r="F5" s="269"/>
      <c r="G5" s="270" t="s">
        <v>10</v>
      </c>
      <c r="H5" s="3" t="s">
        <v>11</v>
      </c>
      <c r="I5" s="269"/>
      <c r="J5" s="269"/>
      <c r="K5" s="269"/>
    </row>
    <row r="6" spans="1:11" ht="12.75">
      <c r="A6" s="269"/>
      <c r="B6" s="269"/>
      <c r="C6" s="269"/>
      <c r="D6" s="269"/>
      <c r="E6" s="269"/>
      <c r="F6" s="269"/>
      <c r="G6" s="270" t="s">
        <v>12</v>
      </c>
      <c r="H6" s="3" t="s">
        <v>13</v>
      </c>
      <c r="I6" s="269"/>
      <c r="J6" s="269"/>
      <c r="K6" s="269"/>
    </row>
    <row r="7" spans="1:11" ht="12.75">
      <c r="A7" s="269"/>
      <c r="B7" s="269"/>
      <c r="C7" s="269"/>
      <c r="D7" s="269"/>
      <c r="E7" s="269"/>
      <c r="F7" s="269"/>
      <c r="G7" s="270" t="s">
        <v>14</v>
      </c>
      <c r="H7" s="3">
        <v>1</v>
      </c>
      <c r="I7" s="269"/>
      <c r="J7" s="269"/>
      <c r="K7" s="269"/>
    </row>
    <row r="8" spans="1:11" ht="12.75">
      <c r="A8" s="269"/>
      <c r="B8" s="269"/>
      <c r="C8" s="269"/>
      <c r="D8" s="269"/>
      <c r="E8" s="269"/>
      <c r="F8" s="269"/>
      <c r="G8" s="270" t="s">
        <v>16</v>
      </c>
      <c r="H8" s="3">
        <v>2</v>
      </c>
      <c r="I8" s="269"/>
      <c r="J8" s="269"/>
      <c r="K8" s="269"/>
    </row>
    <row r="9" spans="1:11" ht="12.75">
      <c r="A9" s="269"/>
      <c r="B9" s="269"/>
      <c r="C9" s="269"/>
      <c r="D9" s="269"/>
      <c r="E9" s="269"/>
      <c r="F9" s="269"/>
      <c r="G9" s="270" t="s">
        <v>18</v>
      </c>
      <c r="H9" s="3"/>
      <c r="I9" s="269"/>
      <c r="J9" s="269"/>
      <c r="K9" s="269"/>
    </row>
    <row r="10" spans="1:11" ht="12.75">
      <c r="A10" s="269"/>
      <c r="B10" s="269"/>
      <c r="C10" s="269"/>
      <c r="D10" s="269"/>
      <c r="E10" s="269"/>
      <c r="F10" s="269"/>
      <c r="G10" s="270"/>
      <c r="I10" s="269"/>
      <c r="J10" s="269"/>
      <c r="K10" s="269"/>
    </row>
    <row r="11" spans="1:11" ht="12.75">
      <c r="A11" s="269"/>
      <c r="B11" s="269"/>
      <c r="C11" s="269"/>
      <c r="D11" s="269"/>
      <c r="E11" s="269"/>
      <c r="F11" s="269"/>
      <c r="G11" s="270" t="s">
        <v>19</v>
      </c>
      <c r="H11" s="6">
        <v>41033</v>
      </c>
      <c r="I11" s="269"/>
      <c r="J11" s="269"/>
      <c r="K11" s="269"/>
    </row>
    <row r="12" spans="1:11" ht="12.75">
      <c r="A12" s="269"/>
      <c r="B12" s="269"/>
      <c r="C12" s="269"/>
      <c r="D12" s="269"/>
      <c r="E12" s="269"/>
      <c r="F12" s="269"/>
      <c r="G12" s="269"/>
      <c r="H12" s="269"/>
      <c r="I12" s="269"/>
      <c r="J12" s="269"/>
      <c r="K12" s="269"/>
    </row>
    <row r="13" spans="1:11" ht="18">
      <c r="A13" s="948" t="s">
        <v>328</v>
      </c>
      <c r="B13" s="948"/>
      <c r="C13" s="948"/>
      <c r="D13" s="948"/>
      <c r="E13" s="948"/>
      <c r="F13" s="948"/>
      <c r="G13" s="948"/>
      <c r="H13" s="269"/>
      <c r="I13" s="269"/>
      <c r="J13" s="269"/>
      <c r="K13" s="269"/>
    </row>
    <row r="14" spans="1:11" ht="18">
      <c r="A14" s="948" t="s">
        <v>329</v>
      </c>
      <c r="B14" s="948"/>
      <c r="C14" s="948"/>
      <c r="D14" s="948"/>
      <c r="E14" s="948"/>
      <c r="F14" s="948"/>
      <c r="G14" s="948"/>
      <c r="H14" s="269"/>
      <c r="I14" s="269"/>
      <c r="J14" s="269"/>
      <c r="K14" s="269"/>
    </row>
    <row r="15" spans="1:11" ht="18.75" thickBot="1">
      <c r="A15" s="271"/>
      <c r="B15" s="271"/>
      <c r="C15" s="271"/>
      <c r="D15" s="272"/>
      <c r="E15" s="271"/>
      <c r="F15" s="271"/>
      <c r="G15" s="271"/>
      <c r="H15" s="269"/>
      <c r="I15" s="269"/>
      <c r="J15" s="269"/>
      <c r="K15" s="269"/>
    </row>
    <row r="16" spans="1:86" ht="13.5" thickBot="1">
      <c r="A16" s="273"/>
      <c r="B16" s="274"/>
      <c r="C16" s="949" t="s">
        <v>330</v>
      </c>
      <c r="D16" s="951" t="s">
        <v>331</v>
      </c>
      <c r="E16" s="275" t="s">
        <v>63</v>
      </c>
      <c r="F16" s="276"/>
      <c r="G16" s="276"/>
      <c r="H16" s="276"/>
      <c r="I16" s="276"/>
      <c r="J16" s="277"/>
      <c r="K16" s="269"/>
      <c r="CG16" s="193"/>
      <c r="CH16" s="193"/>
    </row>
    <row r="17" spans="1:86" ht="25.5">
      <c r="A17" s="278"/>
      <c r="B17" s="274"/>
      <c r="C17" s="950"/>
      <c r="D17" s="952"/>
      <c r="E17" s="195" t="s">
        <v>332</v>
      </c>
      <c r="F17" s="195" t="s">
        <v>148</v>
      </c>
      <c r="G17" s="195" t="s">
        <v>250</v>
      </c>
      <c r="H17" s="195" t="s">
        <v>69</v>
      </c>
      <c r="I17" s="195" t="s">
        <v>151</v>
      </c>
      <c r="J17" s="196" t="s">
        <v>152</v>
      </c>
      <c r="K17" s="269"/>
      <c r="CG17" s="193"/>
      <c r="CH17" s="193"/>
    </row>
    <row r="18" spans="1:86" ht="12.75">
      <c r="A18" s="279"/>
      <c r="B18" s="280"/>
      <c r="C18" s="281" t="s">
        <v>64</v>
      </c>
      <c r="D18" s="282"/>
      <c r="E18" s="283" t="s">
        <v>333</v>
      </c>
      <c r="F18" s="284"/>
      <c r="G18" s="284"/>
      <c r="H18" s="285"/>
      <c r="I18" s="283" t="s">
        <v>44</v>
      </c>
      <c r="J18" s="286"/>
      <c r="K18" s="269"/>
      <c r="CG18" s="193"/>
      <c r="CH18" s="193"/>
    </row>
    <row r="19" spans="1:86" ht="13.5" thickBot="1">
      <c r="A19" s="287"/>
      <c r="B19" s="288"/>
      <c r="C19" s="289"/>
      <c r="D19" s="290"/>
      <c r="E19" s="290"/>
      <c r="F19" s="290"/>
      <c r="G19" s="291"/>
      <c r="H19" s="291"/>
      <c r="I19" s="291"/>
      <c r="J19" s="292"/>
      <c r="K19" s="269"/>
      <c r="CG19" s="193"/>
      <c r="CH19" s="193"/>
    </row>
    <row r="20" spans="1:86" ht="12.75">
      <c r="A20" s="936" t="s">
        <v>334</v>
      </c>
      <c r="B20" s="937"/>
      <c r="C20" s="293">
        <v>71079</v>
      </c>
      <c r="D20" s="293">
        <v>247895</v>
      </c>
      <c r="E20" s="293">
        <v>317474.5</v>
      </c>
      <c r="F20" s="293">
        <v>324594.5</v>
      </c>
      <c r="G20" s="293">
        <v>332134.5833333334</v>
      </c>
      <c r="H20" s="293">
        <f>G20</f>
        <v>332134.5833333334</v>
      </c>
      <c r="I20" s="293">
        <v>339451.4999999999</v>
      </c>
      <c r="J20" s="294">
        <v>346724.99999999977</v>
      </c>
      <c r="K20" s="269"/>
      <c r="CG20" s="193"/>
      <c r="CH20" s="193"/>
    </row>
    <row r="21" spans="1:86" ht="12.75">
      <c r="A21" s="938" t="s">
        <v>335</v>
      </c>
      <c r="B21" s="939"/>
      <c r="C21" s="295">
        <v>10047532</v>
      </c>
      <c r="D21" s="295">
        <v>43216300.266890265</v>
      </c>
      <c r="E21" s="295">
        <v>59677127.370000005</v>
      </c>
      <c r="F21" s="295">
        <v>56837728.66</v>
      </c>
      <c r="G21" s="295">
        <v>62086731.010000005</v>
      </c>
      <c r="H21" s="295">
        <v>73885361.25338101</v>
      </c>
      <c r="I21" s="295">
        <v>81595679.67399415</v>
      </c>
      <c r="J21" s="296">
        <v>85701101.10198157</v>
      </c>
      <c r="K21" s="269"/>
      <c r="CG21" s="193"/>
      <c r="CH21" s="193"/>
    </row>
    <row r="22" spans="1:86" ht="12.75">
      <c r="A22" s="938" t="s">
        <v>336</v>
      </c>
      <c r="B22" s="939"/>
      <c r="C22" s="297">
        <f aca="true" t="shared" si="0" ref="C22:J22">IF(C20=0,"",C21/C20)</f>
        <v>141.35725038337625</v>
      </c>
      <c r="D22" s="297">
        <f t="shared" si="0"/>
        <v>174.3330856487233</v>
      </c>
      <c r="E22" s="298">
        <f t="shared" si="0"/>
        <v>187.97455345232453</v>
      </c>
      <c r="F22" s="298">
        <f t="shared" si="0"/>
        <v>175.10379461143057</v>
      </c>
      <c r="G22" s="298">
        <f t="shared" si="0"/>
        <v>186.93244884917382</v>
      </c>
      <c r="H22" s="298">
        <f t="shared" si="0"/>
        <v>222.4560914791248</v>
      </c>
      <c r="I22" s="298">
        <f t="shared" si="0"/>
        <v>240.37507471315985</v>
      </c>
      <c r="J22" s="299">
        <f t="shared" si="0"/>
        <v>247.17312308596618</v>
      </c>
      <c r="K22" s="269"/>
      <c r="CG22" s="193"/>
      <c r="CH22" s="193"/>
    </row>
    <row r="23" spans="1:86" ht="12.75">
      <c r="A23" s="938" t="s">
        <v>337</v>
      </c>
      <c r="B23" s="939"/>
      <c r="C23" s="300">
        <v>123</v>
      </c>
      <c r="D23" s="301">
        <v>433.70000000000005</v>
      </c>
      <c r="E23" s="301">
        <v>516</v>
      </c>
      <c r="F23" s="301">
        <v>528</v>
      </c>
      <c r="G23" s="301">
        <v>529</v>
      </c>
      <c r="H23" s="301">
        <v>529</v>
      </c>
      <c r="I23" s="301">
        <v>549</v>
      </c>
      <c r="J23" s="302">
        <v>570</v>
      </c>
      <c r="K23" s="269"/>
      <c r="CG23" s="193"/>
      <c r="CH23" s="193"/>
    </row>
    <row r="24" spans="1:86" ht="12.75">
      <c r="A24" s="938" t="s">
        <v>338</v>
      </c>
      <c r="B24" s="939"/>
      <c r="C24" s="303">
        <f>IF(C23=0,"",C20/C23)</f>
        <v>577.8780487804878</v>
      </c>
      <c r="D24" s="303">
        <f aca="true" t="shared" si="1" ref="D24:J24">IF(D23=0,"",D20/D23)</f>
        <v>571.581738528937</v>
      </c>
      <c r="E24" s="303">
        <f t="shared" si="1"/>
        <v>615.2606589147287</v>
      </c>
      <c r="F24" s="303">
        <f t="shared" si="1"/>
        <v>614.7623106060606</v>
      </c>
      <c r="G24" s="303">
        <f t="shared" si="1"/>
        <v>627.853654694392</v>
      </c>
      <c r="H24" s="303">
        <f t="shared" si="1"/>
        <v>627.853654694392</v>
      </c>
      <c r="I24" s="303">
        <f t="shared" si="1"/>
        <v>618.3087431693987</v>
      </c>
      <c r="J24" s="304">
        <f t="shared" si="1"/>
        <v>608.2894736842101</v>
      </c>
      <c r="K24" s="269"/>
      <c r="CG24" s="193"/>
      <c r="CH24" s="193"/>
    </row>
    <row r="25" spans="1:86" ht="13.5" thickBot="1">
      <c r="A25" s="943" t="s">
        <v>339</v>
      </c>
      <c r="B25" s="944"/>
      <c r="C25" s="305">
        <f>IF(C23=0,"",C21/C23)</f>
        <v>81687.25203252032</v>
      </c>
      <c r="D25" s="305">
        <f aca="true" t="shared" si="2" ref="D25:J25">IF(D23=0,"",D21/D23)</f>
        <v>99645.60817821135</v>
      </c>
      <c r="E25" s="305">
        <f t="shared" si="2"/>
        <v>115653.34761627908</v>
      </c>
      <c r="F25" s="305">
        <f t="shared" si="2"/>
        <v>107647.21337121211</v>
      </c>
      <c r="G25" s="305">
        <f t="shared" si="2"/>
        <v>117366.22119092628</v>
      </c>
      <c r="H25" s="305">
        <f t="shared" si="2"/>
        <v>139669.87004419853</v>
      </c>
      <c r="I25" s="305">
        <f t="shared" si="2"/>
        <v>148626.01033514418</v>
      </c>
      <c r="J25" s="306">
        <f t="shared" si="2"/>
        <v>150352.80895084486</v>
      </c>
      <c r="K25" s="269"/>
      <c r="CG25" s="193"/>
      <c r="CH25" s="193"/>
    </row>
    <row r="26" spans="1:11" ht="12.75">
      <c r="A26" s="269"/>
      <c r="B26" s="269"/>
      <c r="C26" s="269"/>
      <c r="D26" s="269"/>
      <c r="E26" s="269"/>
      <c r="F26" s="269"/>
      <c r="G26" s="269"/>
      <c r="H26" s="269"/>
      <c r="I26" s="269"/>
      <c r="J26" s="269"/>
      <c r="K26" s="269"/>
    </row>
    <row r="27" spans="1:11" ht="12.75">
      <c r="A27" s="307" t="s">
        <v>265</v>
      </c>
      <c r="B27" s="269"/>
      <c r="C27" s="269"/>
      <c r="D27" s="269"/>
      <c r="E27" s="269"/>
      <c r="F27" s="269"/>
      <c r="G27" s="269"/>
      <c r="H27" s="269"/>
      <c r="I27" s="269"/>
      <c r="J27" s="269"/>
      <c r="K27" s="269"/>
    </row>
    <row r="28" spans="1:11" ht="12.75">
      <c r="A28" s="269"/>
      <c r="B28" s="269"/>
      <c r="C28" s="269"/>
      <c r="D28" s="269"/>
      <c r="E28" s="269"/>
      <c r="F28" s="269"/>
      <c r="G28" s="269"/>
      <c r="H28" s="269"/>
      <c r="I28" s="269"/>
      <c r="J28" s="269"/>
      <c r="K28" s="269"/>
    </row>
    <row r="29" spans="1:11" ht="12.75" customHeight="1">
      <c r="A29" s="308" t="s">
        <v>340</v>
      </c>
      <c r="B29" s="945" t="s">
        <v>341</v>
      </c>
      <c r="C29" s="945"/>
      <c r="D29" s="945"/>
      <c r="E29" s="945"/>
      <c r="F29" s="945"/>
      <c r="G29" s="309"/>
      <c r="H29" s="269"/>
      <c r="I29" s="269"/>
      <c r="J29" s="269"/>
      <c r="K29" s="269"/>
    </row>
    <row r="30" spans="1:11" ht="12.75">
      <c r="A30" s="310"/>
      <c r="B30" s="945"/>
      <c r="C30" s="945"/>
      <c r="D30" s="945"/>
      <c r="E30" s="945"/>
      <c r="F30" s="945"/>
      <c r="G30" s="309"/>
      <c r="H30" s="269"/>
      <c r="I30" s="269"/>
      <c r="J30" s="269"/>
      <c r="K30" s="269"/>
    </row>
    <row r="31" spans="1:11" ht="12.75">
      <c r="A31" s="310"/>
      <c r="B31" s="269"/>
      <c r="C31" s="269"/>
      <c r="D31" s="269"/>
      <c r="E31" s="269"/>
      <c r="F31" s="269"/>
      <c r="G31" s="269"/>
      <c r="H31" s="269"/>
      <c r="I31" s="269"/>
      <c r="J31" s="269"/>
      <c r="K31" s="269"/>
    </row>
    <row r="32" spans="1:11" ht="40.5" customHeight="1">
      <c r="A32" s="308" t="s">
        <v>342</v>
      </c>
      <c r="B32" s="946" t="s">
        <v>343</v>
      </c>
      <c r="C32" s="947"/>
      <c r="D32" s="947"/>
      <c r="E32" s="947"/>
      <c r="F32" s="947"/>
      <c r="G32" s="947"/>
      <c r="H32" s="269"/>
      <c r="I32" s="269"/>
      <c r="J32" s="269"/>
      <c r="K32" s="269"/>
    </row>
    <row r="33" spans="1:11" ht="12.75">
      <c r="A33" s="310"/>
      <c r="B33" s="269"/>
      <c r="C33" s="269"/>
      <c r="D33" s="269"/>
      <c r="E33" s="269"/>
      <c r="F33" s="269"/>
      <c r="G33" s="269"/>
      <c r="H33" s="269"/>
      <c r="I33" s="269"/>
      <c r="J33" s="269"/>
      <c r="K33" s="269"/>
    </row>
    <row r="34" spans="1:11" ht="12.75">
      <c r="A34" s="308" t="s">
        <v>344</v>
      </c>
      <c r="B34" s="940" t="s">
        <v>345</v>
      </c>
      <c r="C34" s="941"/>
      <c r="D34" s="941"/>
      <c r="E34" s="941"/>
      <c r="F34" s="941"/>
      <c r="G34" s="941"/>
      <c r="H34" s="269"/>
      <c r="I34" s="269"/>
      <c r="J34" s="269"/>
      <c r="K34" s="269"/>
    </row>
    <row r="35" spans="1:11" ht="12.75">
      <c r="A35" s="310"/>
      <c r="B35" s="269"/>
      <c r="C35" s="269"/>
      <c r="D35" s="269"/>
      <c r="E35" s="269"/>
      <c r="F35" s="269"/>
      <c r="G35" s="269"/>
      <c r="H35" s="269"/>
      <c r="I35" s="269"/>
      <c r="J35" s="269"/>
      <c r="K35" s="269"/>
    </row>
    <row r="36" spans="1:11" ht="12.75">
      <c r="A36" s="308"/>
      <c r="B36" s="942"/>
      <c r="C36" s="942"/>
      <c r="D36" s="942"/>
      <c r="E36" s="942"/>
      <c r="F36" s="942"/>
      <c r="G36" s="942"/>
      <c r="H36" s="269"/>
      <c r="I36" s="269"/>
      <c r="J36" s="269"/>
      <c r="K36" s="269"/>
    </row>
    <row r="37" spans="1:11" ht="12.75">
      <c r="A37" s="310"/>
      <c r="B37" s="942"/>
      <c r="C37" s="942"/>
      <c r="D37" s="942"/>
      <c r="E37" s="942"/>
      <c r="F37" s="942"/>
      <c r="G37" s="942"/>
      <c r="H37" s="269"/>
      <c r="I37" s="269"/>
      <c r="J37" s="269"/>
      <c r="K37" s="269"/>
    </row>
    <row r="38" spans="10:11" ht="12.75">
      <c r="J38" s="269"/>
      <c r="K38" s="269"/>
    </row>
  </sheetData>
  <sheetProtection/>
  <mergeCells count="14">
    <mergeCell ref="A13:G13"/>
    <mergeCell ref="A14:G14"/>
    <mergeCell ref="C16:C17"/>
    <mergeCell ref="D16:D17"/>
    <mergeCell ref="A20:B20"/>
    <mergeCell ref="A21:B21"/>
    <mergeCell ref="B34:G34"/>
    <mergeCell ref="B36:G37"/>
    <mergeCell ref="A22:B22"/>
    <mergeCell ref="A23:B23"/>
    <mergeCell ref="A24:B24"/>
    <mergeCell ref="A25:B25"/>
    <mergeCell ref="B29:F30"/>
    <mergeCell ref="B32:G32"/>
  </mergeCells>
  <dataValidations count="1">
    <dataValidation allowBlank="1" showInputMessage="1" showErrorMessage="1" promptTitle="Date Format" prompt="E.g:  &quot;August 1, 2011&quot;" sqref="H11"/>
  </dataValidations>
  <hyperlinks>
    <hyperlink ref="A1" r:id="rId1" display="Back to Index"/>
  </hyperlinks>
  <printOptions horizontalCentered="1"/>
  <pageMargins left="0.7" right="0.7" top="0.75" bottom="0.75" header="0.3" footer="0.3"/>
  <pageSetup fitToHeight="1" fitToWidth="1" horizontalDpi="600" verticalDpi="600" orientation="landscape"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Powerstream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elena.yampolsky</dc:creator>
  <cp:keywords/>
  <dc:description/>
  <cp:lastModifiedBy>tom.barrett</cp:lastModifiedBy>
  <cp:lastPrinted>2012-05-09T15:46:06Z</cp:lastPrinted>
  <dcterms:created xsi:type="dcterms:W3CDTF">2012-05-03T23:51:03Z</dcterms:created>
  <dcterms:modified xsi:type="dcterms:W3CDTF">2012-05-09T15:53:03Z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