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9750" activeTab="0"/>
  </bookViews>
  <sheets>
    <sheet name="SMDR" sheetId="1" r:id="rId1"/>
  </sheets>
  <externalReferences>
    <externalReference r:id="rId4"/>
    <externalReference r:id="rId5"/>
    <externalReference r:id="rId6"/>
  </externalReferences>
  <definedNames>
    <definedName name="_xlnm.Print_Area" localSheetId="0">'SMDR'!$D$1:$G$27</definedName>
  </definedNames>
  <calcPr fullCalcOnLoad="1"/>
</workbook>
</file>

<file path=xl/sharedStrings.xml><?xml version="1.0" encoding="utf-8"?>
<sst xmlns="http://schemas.openxmlformats.org/spreadsheetml/2006/main" count="23" uniqueCount="23">
  <si>
    <t>Total</t>
  </si>
  <si>
    <t>Residential</t>
  </si>
  <si>
    <t>GS &lt; 50</t>
  </si>
  <si>
    <t>Smart Meter True-up</t>
  </si>
  <si>
    <t>Metered Customers</t>
  </si>
  <si>
    <t>Calculated by Rate Class</t>
  </si>
  <si>
    <t xml:space="preserve">    Amortization</t>
  </si>
  <si>
    <t xml:space="preserve">    OM&amp;A</t>
  </si>
  <si>
    <t xml:space="preserve">    PILs</t>
  </si>
  <si>
    <t>Allocators</t>
  </si>
  <si>
    <t xml:space="preserve">    Number of meters installed</t>
  </si>
  <si>
    <t>Smart Meter Rate Adder Revenues</t>
  </si>
  <si>
    <t xml:space="preserve">Carrying Charge </t>
  </si>
  <si>
    <t>Smart Meter Actual Cost Recovery Rate Rider - SMDR</t>
  </si>
  <si>
    <t xml:space="preserve">    Total Before PILs</t>
  </si>
  <si>
    <t xml:space="preserve">    Allocation of Number of meters installed</t>
  </si>
  <si>
    <t xml:space="preserve">    Smart Meter Cost</t>
  </si>
  <si>
    <t xml:space="preserve"> Total Revenue Requirement 2006 to 2011</t>
  </si>
  <si>
    <t xml:space="preserve">    Total Return (deemed interest plus 
     return on equity)</t>
  </si>
  <si>
    <t xml:space="preserve">    LDC Average Smart Meter Unit Cost</t>
  </si>
  <si>
    <t xml:space="preserve">    Allocation of Smart Meter Costs</t>
  </si>
  <si>
    <t>Rate Rider to Recover Smart Meter Costs  1 Yr</t>
  </si>
  <si>
    <t>Recovery Period in Months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</si>
</sst>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_-;\-&quot;$&quot;* #,##0_-;_-&quot;$&quot;* &quot;-&quot;??_-;_-@_-"/>
    <numFmt numFmtId="166" formatCode="_-* #,##0_-;\-* #,##0_-;_-* &quot;-&quot;??_-;_-@_-"/>
    <numFmt numFmtId="167" formatCode="&quot;$&quot;#,##0;\(&quot;$&quot;#,##0\)"/>
    <numFmt numFmtId="168" formatCode="0.0%"/>
    <numFmt numFmtId="169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4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42" applyNumberFormat="1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165" fontId="4" fillId="0" borderId="0" xfId="0" applyNumberFormat="1" applyFont="1" applyAlignment="1">
      <alignment/>
    </xf>
    <xf numFmtId="10" fontId="4" fillId="0" borderId="0" xfId="57" applyNumberFormat="1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44" fontId="5" fillId="0" borderId="11" xfId="44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165" fontId="5" fillId="0" borderId="11" xfId="0" applyNumberFormat="1" applyFont="1" applyBorder="1" applyAlignment="1">
      <alignment/>
    </xf>
    <xf numFmtId="166" fontId="5" fillId="0" borderId="11" xfId="57" applyNumberFormat="1" applyFont="1" applyBorder="1" applyAlignment="1">
      <alignment horizontal="right"/>
    </xf>
    <xf numFmtId="166" fontId="5" fillId="0" borderId="11" xfId="42" applyNumberFormat="1" applyFont="1" applyBorder="1" applyAlignment="1">
      <alignment horizontal="right"/>
    </xf>
    <xf numFmtId="165" fontId="5" fillId="0" borderId="12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7" fontId="5" fillId="0" borderId="11" xfId="44" applyNumberFormat="1" applyFont="1" applyFill="1" applyBorder="1" applyAlignment="1">
      <alignment/>
    </xf>
    <xf numFmtId="167" fontId="5" fillId="0" borderId="12" xfId="0" applyNumberFormat="1" applyFont="1" applyFill="1" applyBorder="1" applyAlignment="1">
      <alignment/>
    </xf>
    <xf numFmtId="167" fontId="5" fillId="0" borderId="12" xfId="44" applyNumberFormat="1" applyFont="1" applyFill="1" applyBorder="1" applyAlignment="1">
      <alignment/>
    </xf>
    <xf numFmtId="165" fontId="5" fillId="0" borderId="13" xfId="44" applyNumberFormat="1" applyFont="1" applyFill="1" applyBorder="1" applyAlignment="1">
      <alignment/>
    </xf>
    <xf numFmtId="166" fontId="5" fillId="0" borderId="11" xfId="57" applyNumberFormat="1" applyFont="1" applyFill="1" applyBorder="1" applyAlignment="1">
      <alignment horizontal="center"/>
    </xf>
    <xf numFmtId="166" fontId="5" fillId="0" borderId="11" xfId="57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4" fontId="5" fillId="0" borderId="13" xfId="44" applyFont="1" applyBorder="1" applyAlignment="1">
      <alignment/>
    </xf>
    <xf numFmtId="168" fontId="5" fillId="0" borderId="11" xfId="42" applyNumberFormat="1" applyFont="1" applyBorder="1" applyAlignment="1">
      <alignment horizontal="right"/>
    </xf>
    <xf numFmtId="168" fontId="5" fillId="0" borderId="11" xfId="0" applyNumberFormat="1" applyFont="1" applyBorder="1" applyAlignment="1">
      <alignment horizontal="right"/>
    </xf>
    <xf numFmtId="168" fontId="5" fillId="0" borderId="11" xfId="57" applyNumberFormat="1" applyFont="1" applyBorder="1" applyAlignment="1">
      <alignment horizontal="right"/>
    </xf>
    <xf numFmtId="168" fontId="5" fillId="0" borderId="10" xfId="57" applyNumberFormat="1" applyFont="1" applyBorder="1" applyAlignment="1">
      <alignment/>
    </xf>
    <xf numFmtId="166" fontId="5" fillId="0" borderId="12" xfId="57" applyNumberFormat="1" applyFont="1" applyFill="1" applyBorder="1" applyAlignment="1">
      <alignment horizontal="center"/>
    </xf>
    <xf numFmtId="166" fontId="5" fillId="0" borderId="12" xfId="57" applyNumberFormat="1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_Model_version_2_MIFR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smart%20meter%20model_FINAL_20111103_V2_17%20MIFR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ard%20Staff%20IR%2044_RideauStL_APPL_SmartMeterModelV2.17_8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MeterProjectAllocation"/>
      <sheetName val="I7.1 Meter Capital"/>
      <sheetName val="I7.2 Meter Reading"/>
      <sheetName val="I8 Demand Data"/>
      <sheetName val="I9 Direct Allocation"/>
      <sheetName val="Ex 7 Rev Cost Ratio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</sheetNames>
    <sheetDataSet>
      <sheetData sheetId="9">
        <row r="14">
          <cell r="H14">
            <v>92.32</v>
          </cell>
        </row>
        <row r="34">
          <cell r="H34">
            <v>252.4</v>
          </cell>
        </row>
        <row r="43">
          <cell r="F43">
            <v>5005</v>
          </cell>
          <cell r="G43">
            <v>770</v>
          </cell>
        </row>
        <row r="49">
          <cell r="F49">
            <v>982520.4702003183</v>
          </cell>
          <cell r="G49">
            <v>311569.52979968174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Stranded"/>
      <sheetName val="Capital"/>
      <sheetName val="OM&amp;A"/>
      <sheetName val="NOT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Stranded #47"/>
      <sheetName val="Capital"/>
      <sheetName val="OM&amp;A"/>
      <sheetName val="NOTES"/>
      <sheetName val="Sheet1"/>
    </sheetNames>
    <sheetDataSet>
      <sheetData sheetId="4">
        <row r="47">
          <cell r="G47">
            <v>203.92253833333334</v>
          </cell>
          <cell r="I47">
            <v>958.1099499999999</v>
          </cell>
          <cell r="K47">
            <v>2147.002720637067</v>
          </cell>
          <cell r="M47">
            <v>29148.4213214224</v>
          </cell>
          <cell r="O47">
            <v>60207.817857564005</v>
          </cell>
          <cell r="Q47">
            <v>67970.22812997735</v>
          </cell>
        </row>
        <row r="63">
          <cell r="G63">
            <v>0</v>
          </cell>
          <cell r="I63">
            <v>0</v>
          </cell>
          <cell r="K63">
            <v>0</v>
          </cell>
          <cell r="M63">
            <v>3200</v>
          </cell>
          <cell r="O63">
            <v>17646</v>
          </cell>
          <cell r="Q63">
            <v>87857</v>
          </cell>
        </row>
        <row r="64">
          <cell r="G64">
            <v>217.36666666666667</v>
          </cell>
          <cell r="I64">
            <v>1036.2666666666667</v>
          </cell>
          <cell r="K64">
            <v>2316.058666666667</v>
          </cell>
          <cell r="M64">
            <v>34977.464</v>
          </cell>
          <cell r="O64">
            <v>80293.714</v>
          </cell>
          <cell r="Q64">
            <v>101874.15933333333</v>
          </cell>
        </row>
        <row r="68">
          <cell r="G68">
            <v>41.41561514295078</v>
          </cell>
          <cell r="I68">
            <v>162.27975363520923</v>
          </cell>
          <cell r="K68">
            <v>280.6214029842325</v>
          </cell>
          <cell r="M68">
            <v>2133.359738325943</v>
          </cell>
          <cell r="O68">
            <v>541.3812179425886</v>
          </cell>
          <cell r="Q68">
            <v>1665.163077226009</v>
          </cell>
        </row>
      </sheetData>
      <sheetData sheetId="7">
        <row r="109">
          <cell r="K109">
            <v>424543.2274473743</v>
          </cell>
          <cell r="M109">
            <v>10123.26</v>
          </cell>
        </row>
      </sheetData>
      <sheetData sheetId="10">
        <row r="32">
          <cell r="G32">
            <v>4.7440275000000005</v>
          </cell>
          <cell r="I32">
            <v>34.770762500000004</v>
          </cell>
          <cell r="K32">
            <v>95.98417413333334</v>
          </cell>
          <cell r="M32">
            <v>257.739573</v>
          </cell>
          <cell r="O32">
            <v>723.468178675</v>
          </cell>
          <cell r="Q32">
            <v>3447.9210101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H32"/>
  <sheetViews>
    <sheetView tabSelected="1" zoomScalePageLayoutView="0" workbookViewId="0" topLeftCell="C1">
      <selection activeCell="F7" sqref="F7"/>
    </sheetView>
  </sheetViews>
  <sheetFormatPr defaultColWidth="9.140625" defaultRowHeight="15"/>
  <cols>
    <col min="1" max="2" width="9.140625" style="4" customWidth="1"/>
    <col min="3" max="3" width="5.421875" style="4" customWidth="1"/>
    <col min="4" max="4" width="45.7109375" style="4" customWidth="1"/>
    <col min="5" max="7" width="12.7109375" style="4" bestFit="1" customWidth="1"/>
    <col min="8" max="8" width="14.28125" style="4" bestFit="1" customWidth="1"/>
    <col min="9" max="9" width="13.421875" style="4" customWidth="1"/>
    <col min="10" max="10" width="15.8515625" style="4" customWidth="1"/>
    <col min="11" max="11" width="16.8515625" style="4" customWidth="1"/>
    <col min="12" max="16384" width="9.140625" style="4" customWidth="1"/>
  </cols>
  <sheetData>
    <row r="1" ht="15" thickBot="1"/>
    <row r="2" spans="4:7" ht="15" thickTop="1">
      <c r="D2" s="37" t="s">
        <v>13</v>
      </c>
      <c r="E2" s="38"/>
      <c r="F2" s="38"/>
      <c r="G2" s="39"/>
    </row>
    <row r="3" spans="4:7" ht="15" thickBot="1">
      <c r="D3" s="40" t="s">
        <v>5</v>
      </c>
      <c r="E3" s="41"/>
      <c r="F3" s="41"/>
      <c r="G3" s="42"/>
    </row>
    <row r="4" spans="4:8" ht="15">
      <c r="D4" s="9"/>
      <c r="E4" s="10" t="s">
        <v>0</v>
      </c>
      <c r="F4" s="10" t="s">
        <v>1</v>
      </c>
      <c r="G4" s="10" t="s">
        <v>2</v>
      </c>
      <c r="H4" s="3"/>
    </row>
    <row r="5" spans="4:7" ht="14.25">
      <c r="D5" s="11" t="s">
        <v>9</v>
      </c>
      <c r="E5" s="12"/>
      <c r="F5" s="12"/>
      <c r="G5" s="12"/>
    </row>
    <row r="6" spans="4:7" ht="14.25">
      <c r="D6" s="13" t="s">
        <v>19</v>
      </c>
      <c r="E6" s="12"/>
      <c r="F6" s="14">
        <f>'[1]MeterProjectAllocation'!$H$14</f>
        <v>92.32</v>
      </c>
      <c r="G6" s="14">
        <f>'[1]MeterProjectAllocation'!$H$34</f>
        <v>252.4</v>
      </c>
    </row>
    <row r="7" spans="4:8" ht="15">
      <c r="D7" s="15" t="s">
        <v>16</v>
      </c>
      <c r="E7" s="16">
        <f>G7+F7</f>
        <v>1294090</v>
      </c>
      <c r="F7" s="16">
        <f>'[1]MeterProjectAllocation'!$F$49</f>
        <v>982520.4702003183</v>
      </c>
      <c r="G7" s="16">
        <f>'[1]MeterProjectAllocation'!$G$49</f>
        <v>311569.52979968174</v>
      </c>
      <c r="H7" s="5"/>
    </row>
    <row r="8" spans="4:8" ht="15">
      <c r="D8" s="15" t="s">
        <v>20</v>
      </c>
      <c r="E8" s="31">
        <f>SUM(F8:G8)</f>
        <v>1</v>
      </c>
      <c r="F8" s="32">
        <f>F7/E7</f>
        <v>0.7592365833908911</v>
      </c>
      <c r="G8" s="32">
        <f>G7/E7</f>
        <v>0.2407634166091089</v>
      </c>
      <c r="H8" s="5"/>
    </row>
    <row r="9" spans="4:8" ht="15">
      <c r="D9" s="15" t="s">
        <v>10</v>
      </c>
      <c r="E9" s="17">
        <f>F9+G9</f>
        <v>5775</v>
      </c>
      <c r="F9" s="18">
        <f>'[1]MeterProjectAllocation'!$F$43</f>
        <v>5005</v>
      </c>
      <c r="G9" s="18">
        <f>'[1]MeterProjectAllocation'!$G$43</f>
        <v>770</v>
      </c>
      <c r="H9" s="5"/>
    </row>
    <row r="10" spans="4:8" ht="15">
      <c r="D10" s="15" t="s">
        <v>15</v>
      </c>
      <c r="E10" s="33">
        <f>SUM(F10:G10)</f>
        <v>1</v>
      </c>
      <c r="F10" s="33">
        <f>F9/E9</f>
        <v>0.8666666666666667</v>
      </c>
      <c r="G10" s="33">
        <f>G9/E9</f>
        <v>0.13333333333333333</v>
      </c>
      <c r="H10" s="6"/>
    </row>
    <row r="11" spans="4:7" ht="14.25">
      <c r="D11" s="11"/>
      <c r="E11" s="11"/>
      <c r="F11" s="11"/>
      <c r="G11" s="11"/>
    </row>
    <row r="12" spans="4:8" ht="28.5">
      <c r="D12" s="13" t="s">
        <v>18</v>
      </c>
      <c r="E12" s="16">
        <f>'[3]5. SM_Rev_Reqt'!$G$47+'[3]5. SM_Rev_Reqt'!$I$47+'[3]5. SM_Rev_Reqt'!$K$47+'[3]5. SM_Rev_Reqt'!$M$47+'[3]5. SM_Rev_Reqt'!$O$47+'[3]5. SM_Rev_Reqt'!$Q$47+'[3]9. SMFA_SMDR_SMIRR'!$G$32+'[3]9. SMFA_SMDR_SMIRR'!$I$32+'[3]9. SMFA_SMDR_SMIRR'!$K$32+'[3]9. SMFA_SMDR_SMIRR'!$M$32+'[3]9. SMFA_SMDR_SMIRR'!$O$32+'[3]9. SMFA_SMDR_SMIRR'!$Q$32</f>
        <v>165200.13024384246</v>
      </c>
      <c r="F12" s="16">
        <f>E12*F8</f>
        <v>125425.98246206516</v>
      </c>
      <c r="G12" s="16">
        <f>E12*G8</f>
        <v>39774.1477817773</v>
      </c>
      <c r="H12" s="7"/>
    </row>
    <row r="13" spans="4:8" ht="14.25">
      <c r="D13" s="11" t="s">
        <v>6</v>
      </c>
      <c r="E13" s="16">
        <f>'[3]5. SM_Rev_Reqt'!$G$64+'[3]5. SM_Rev_Reqt'!$I$64+'[3]5. SM_Rev_Reqt'!$K$64+'[3]5. SM_Rev_Reqt'!$M$64+'[3]5. SM_Rev_Reqt'!$O$64+'[3]5. SM_Rev_Reqt'!$Q$64</f>
        <v>220715.02933333334</v>
      </c>
      <c r="F13" s="16">
        <f>E13*F8</f>
        <v>167574.92477406032</v>
      </c>
      <c r="G13" s="16">
        <f>E13*G8</f>
        <v>53140.10455927303</v>
      </c>
      <c r="H13" s="7"/>
    </row>
    <row r="14" spans="4:8" ht="14.25">
      <c r="D14" s="11" t="s">
        <v>7</v>
      </c>
      <c r="E14" s="16">
        <f>'[3]5. SM_Rev_Reqt'!$G$63+'[3]5. SM_Rev_Reqt'!$I$63+'[3]5. SM_Rev_Reqt'!$K$63+'[3]5. SM_Rev_Reqt'!$M$63+'[3]5. SM_Rev_Reqt'!$O$63+'[3]5. SM_Rev_Reqt'!$Q$63</f>
        <v>108703</v>
      </c>
      <c r="F14" s="16">
        <f>E14*F10</f>
        <v>94209.26666666666</v>
      </c>
      <c r="G14" s="16">
        <f>E14*G10</f>
        <v>14493.733333333334</v>
      </c>
      <c r="H14" s="7"/>
    </row>
    <row r="15" spans="4:8" ht="14.25">
      <c r="D15" s="11" t="s">
        <v>14</v>
      </c>
      <c r="E15" s="19">
        <f>SUM(E12:E14)</f>
        <v>494618.1595771758</v>
      </c>
      <c r="F15" s="19">
        <f>SUM(F12:F14)</f>
        <v>387210.17390279216</v>
      </c>
      <c r="G15" s="19">
        <f>SUM(G12:G14)</f>
        <v>107407.98567438367</v>
      </c>
      <c r="H15" s="7"/>
    </row>
    <row r="16" spans="4:8" ht="15" thickBot="1">
      <c r="D16" s="11" t="s">
        <v>8</v>
      </c>
      <c r="E16" s="16">
        <f>'[3]5. SM_Rev_Reqt'!$G$68+'[3]5. SM_Rev_Reqt'!$I$68+'[3]5. SM_Rev_Reqt'!$K$68+'[3]5. SM_Rev_Reqt'!$M$68+'[3]5. SM_Rev_Reqt'!$O$68+'[3]5. SM_Rev_Reqt'!$Q$68</f>
        <v>4824.220805256933</v>
      </c>
      <c r="F16" s="19">
        <f>F15/E15*E16</f>
        <v>3776.625141595799</v>
      </c>
      <c r="G16" s="19">
        <f>G15/E15*E16</f>
        <v>1047.5956636611343</v>
      </c>
      <c r="H16" s="7"/>
    </row>
    <row r="17" spans="4:8" ht="15.75" thickBot="1" thickTop="1">
      <c r="D17" s="12" t="s">
        <v>17</v>
      </c>
      <c r="E17" s="20">
        <f>E15+E16</f>
        <v>499442.3803824327</v>
      </c>
      <c r="F17" s="20">
        <f>F15+F16</f>
        <v>390986.79904438794</v>
      </c>
      <c r="G17" s="20">
        <f>G15+G16</f>
        <v>108455.58133804481</v>
      </c>
      <c r="H17" s="7"/>
    </row>
    <row r="18" spans="4:8" ht="15" thickTop="1">
      <c r="D18" s="11"/>
      <c r="E18" s="21"/>
      <c r="F18" s="22"/>
      <c r="G18" s="22"/>
      <c r="H18" s="7"/>
    </row>
    <row r="19" spans="4:8" ht="14.25">
      <c r="D19" s="11"/>
      <c r="E19" s="34">
        <v>1</v>
      </c>
      <c r="F19" s="34">
        <f>F17/E17</f>
        <v>0.782846659398431</v>
      </c>
      <c r="G19" s="34">
        <f>G17/E17</f>
        <v>0.21715334060156902</v>
      </c>
      <c r="H19" s="8"/>
    </row>
    <row r="20" spans="4:8" ht="14.25">
      <c r="D20" s="11" t="s">
        <v>11</v>
      </c>
      <c r="E20" s="23">
        <f>-'[3]8. Funding_Adder_Revs'!$K$109</f>
        <v>-424543.2274473743</v>
      </c>
      <c r="F20" s="23"/>
      <c r="G20" s="23"/>
      <c r="H20" s="7"/>
    </row>
    <row r="21" spans="4:8" ht="15" thickBot="1">
      <c r="D21" s="11" t="s">
        <v>12</v>
      </c>
      <c r="E21" s="24">
        <f>-'[3]8. Funding_Adder_Revs'!$M$109</f>
        <v>-10123.26</v>
      </c>
      <c r="F21" s="25"/>
      <c r="G21" s="25"/>
      <c r="H21" s="7"/>
    </row>
    <row r="22" spans="4:8" ht="15.75" thickBot="1" thickTop="1">
      <c r="D22" s="11" t="s">
        <v>3</v>
      </c>
      <c r="E22" s="26">
        <f>E17+E20+E21</f>
        <v>64775.8929350584</v>
      </c>
      <c r="F22" s="26">
        <f>E22*F19</f>
        <v>50709.5913937609</v>
      </c>
      <c r="G22" s="26">
        <f>E22*G19</f>
        <v>14066.301541297506</v>
      </c>
      <c r="H22" s="7"/>
    </row>
    <row r="23" spans="4:8" ht="15" thickTop="1">
      <c r="D23" s="11"/>
      <c r="E23" s="22"/>
      <c r="F23" s="22"/>
      <c r="G23" s="22"/>
      <c r="H23" s="7"/>
    </row>
    <row r="24" spans="4:8" ht="14.25">
      <c r="D24" s="11" t="s">
        <v>4</v>
      </c>
      <c r="E24" s="27">
        <f>F24+G24</f>
        <v>5775</v>
      </c>
      <c r="F24" s="28">
        <f>F9</f>
        <v>5005</v>
      </c>
      <c r="G24" s="28">
        <f>G9</f>
        <v>770</v>
      </c>
      <c r="H24" s="7"/>
    </row>
    <row r="25" spans="4:8" ht="14.25">
      <c r="D25" s="11"/>
      <c r="E25" s="35"/>
      <c r="F25" s="36"/>
      <c r="G25" s="36"/>
      <c r="H25" s="7"/>
    </row>
    <row r="26" spans="4:8" ht="15" thickBot="1">
      <c r="D26" s="12" t="s">
        <v>22</v>
      </c>
      <c r="E26" s="29">
        <v>12</v>
      </c>
      <c r="F26" s="29">
        <f>E26</f>
        <v>12</v>
      </c>
      <c r="G26" s="29">
        <f>E26</f>
        <v>12</v>
      </c>
      <c r="H26" s="7"/>
    </row>
    <row r="27" spans="4:8" ht="20.25" customHeight="1" thickBot="1" thickTop="1">
      <c r="D27" s="13" t="s">
        <v>21</v>
      </c>
      <c r="E27" s="30">
        <f>E22/E24/E26</f>
        <v>0.9347170697699624</v>
      </c>
      <c r="F27" s="30">
        <f>ROUND(F22/(F24*12),2)</f>
        <v>0.84</v>
      </c>
      <c r="G27" s="30">
        <f>ROUND(G22/(G24*12),2)</f>
        <v>1.52</v>
      </c>
      <c r="H27" s="7"/>
    </row>
    <row r="28" spans="4:7" ht="15.75" thickTop="1">
      <c r="D28" s="1"/>
      <c r="E28" s="2"/>
      <c r="F28" s="2"/>
      <c r="G28" s="2"/>
    </row>
    <row r="32" ht="14.25">
      <c r="F32" s="7"/>
    </row>
  </sheetData>
  <sheetProtection/>
  <mergeCells count="2">
    <mergeCell ref="D2:G2"/>
    <mergeCell ref="D3:G3"/>
  </mergeCells>
  <printOptions/>
  <pageMargins left="0.19" right="0.2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Kelly</dc:creator>
  <cp:keywords/>
  <dc:description/>
  <cp:lastModifiedBy>Allan Beckstead</cp:lastModifiedBy>
  <cp:lastPrinted>2012-01-30T14:47:02Z</cp:lastPrinted>
  <dcterms:created xsi:type="dcterms:W3CDTF">2011-11-17T20:53:16Z</dcterms:created>
  <dcterms:modified xsi:type="dcterms:W3CDTF">2012-05-11T20:00:50Z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