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5480" windowHeight="65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'Sheet1'!$A$1:$L$45</definedName>
  </definedNames>
  <calcPr fullCalcOnLoad="1"/>
</workbook>
</file>

<file path=xl/sharedStrings.xml><?xml version="1.0" encoding="utf-8"?>
<sst xmlns="http://schemas.openxmlformats.org/spreadsheetml/2006/main" count="58" uniqueCount="47">
  <si>
    <t>Revenue Requirement for the Historical Years</t>
  </si>
  <si>
    <t>Total</t>
  </si>
  <si>
    <t>ID and Factors</t>
  </si>
  <si>
    <t>Explanation Allocator</t>
  </si>
  <si>
    <t>Allocated per Class</t>
  </si>
  <si>
    <t>Revenue Requirement allocated to each Class before PILs</t>
  </si>
  <si>
    <t>Revenue Generated from Smart Meter Funding Adder</t>
  </si>
  <si>
    <t>Number of Metered Customers</t>
  </si>
  <si>
    <t>GUELPH HYDRO - 2012 COS - EB-2011-0123</t>
  </si>
  <si>
    <t>Number of Smart Meters Installed for each Class</t>
  </si>
  <si>
    <t>Total 2009 to 2011</t>
  </si>
  <si>
    <t>Note (1): The Operating Expenses were reduced by $89,067 to reflect the SH&amp;ED Tax Credit - Energy Probe TCQ # 21 c</t>
  </si>
  <si>
    <t>Total Return on Capital</t>
  </si>
  <si>
    <t>Amortization and interest Expense</t>
  </si>
  <si>
    <t>Operating Expenses (Note 1)</t>
  </si>
  <si>
    <t>Grossed-up Taxes/PILs</t>
  </si>
  <si>
    <t>TOTAL REVENUE REQUIREMENT</t>
  </si>
  <si>
    <t>Smart Meter Disposition Rate Rider</t>
  </si>
  <si>
    <t>Net Deferred Revenue Requirement</t>
  </si>
  <si>
    <t>Large Use &gt;5000 kW</t>
  </si>
  <si>
    <t xml:space="preserve">Growth Rate in Customer Numbers </t>
  </si>
  <si>
    <t>Used</t>
  </si>
  <si>
    <t xml:space="preserve">Geomean </t>
  </si>
  <si>
    <t xml:space="preserve">Residential </t>
  </si>
  <si>
    <t>General Service &lt; 50 kW</t>
  </si>
  <si>
    <t>General Service &gt; 50 to 999 kW</t>
  </si>
  <si>
    <t>General Service &gt; 1000 to 4999 kW</t>
  </si>
  <si>
    <t xml:space="preserve">Streetlights </t>
  </si>
  <si>
    <t>Sentinel Lights</t>
  </si>
  <si>
    <t xml:space="preserve">Unmetered Scattered Loads </t>
  </si>
  <si>
    <t>Smart Meter Funding Adder Revenues</t>
  </si>
  <si>
    <t>Residential</t>
  </si>
  <si>
    <t>GS &lt; 50 kW</t>
  </si>
  <si>
    <t>Other Metered Customer Classes</t>
  </si>
  <si>
    <t>Year</t>
  </si>
  <si>
    <t>2012 (to March 30, 2012)</t>
  </si>
  <si>
    <t>2006 (May 1, 2006)</t>
  </si>
  <si>
    <t>Number of customers</t>
  </si>
  <si>
    <t>Estimated SMFA Revenues</t>
  </si>
  <si>
    <t>SMFA Revenues directly attributable to class</t>
  </si>
  <si>
    <t>Revenues Generated from SMFA</t>
  </si>
  <si>
    <t>(2012)</t>
  </si>
  <si>
    <t>From 'Rate Class Customer Model" of Guelph's weather normalization load forecast model spreadsheet filed in the application.</t>
  </si>
  <si>
    <t>Allocation of 1.19% to Res and GS &lt; 50 kW</t>
  </si>
  <si>
    <r>
      <t xml:space="preserve">Percentage of costs allocated to </t>
    </r>
    <r>
      <rPr>
        <b/>
        <sz val="11"/>
        <color indexed="10"/>
        <rFont val="Calibri"/>
        <family val="2"/>
      </rPr>
      <t>Residential and GS &lt; 50 kW</t>
    </r>
    <r>
      <rPr>
        <b/>
        <sz val="11"/>
        <color indexed="8"/>
        <rFont val="Calibri"/>
        <family val="2"/>
      </rPr>
      <t xml:space="preserve"> customer classes</t>
    </r>
  </si>
  <si>
    <t>Residual SMFA revenues (from other metered classes) attributed evenly</t>
  </si>
  <si>
    <t>Even allocation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</si>
</sst>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%"/>
    <numFmt numFmtId="174" formatCode="0.0000"/>
    <numFmt numFmtId="175" formatCode="#,##0.0000"/>
    <numFmt numFmtId="176" formatCode="0.00000000000000000%"/>
    <numFmt numFmtId="177" formatCode="0.0000000000000000%"/>
    <numFmt numFmtId="178" formatCode="0.000000000000000%"/>
    <numFmt numFmtId="179" formatCode="0.00000000000000%"/>
    <numFmt numFmtId="180" formatCode="0.0000000000000%"/>
    <numFmt numFmtId="181" formatCode="0.000000000000%"/>
    <numFmt numFmtId="182" formatCode="0.00000000000%"/>
    <numFmt numFmtId="183" formatCode="0.0000000000%"/>
    <numFmt numFmtId="184" formatCode="0.000000000%"/>
    <numFmt numFmtId="185" formatCode="0.00000000%"/>
    <numFmt numFmtId="186" formatCode="0.0000000%"/>
    <numFmt numFmtId="187" formatCode="0.000000%"/>
    <numFmt numFmtId="188" formatCode="0.00000%"/>
    <numFmt numFmtId="189" formatCode="0.0000%"/>
    <numFmt numFmtId="190" formatCode="0.000%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indexed="23"/>
      <name val="Calibri"/>
      <family val="2"/>
    </font>
    <font>
      <b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72" fontId="1" fillId="0" borderId="0" xfId="0" applyNumberFormat="1" applyFont="1" applyAlignment="1">
      <alignment/>
    </xf>
    <xf numFmtId="172" fontId="1" fillId="11" borderId="0" xfId="0" applyNumberFormat="1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72" fontId="1" fillId="0" borderId="11" xfId="0" applyNumberFormat="1" applyFont="1" applyBorder="1" applyAlignment="1">
      <alignment/>
    </xf>
    <xf numFmtId="10" fontId="0" fillId="20" borderId="0" xfId="0" applyNumberFormat="1" applyFill="1" applyAlignment="1">
      <alignment/>
    </xf>
    <xf numFmtId="172" fontId="0" fillId="20" borderId="11" xfId="0" applyNumberFormat="1" applyFill="1" applyBorder="1" applyAlignment="1">
      <alignment/>
    </xf>
    <xf numFmtId="9" fontId="3" fillId="24" borderId="12" xfId="57" applyFont="1" applyFill="1" applyBorder="1" applyAlignment="1">
      <alignment horizontal="center" vertical="center"/>
    </xf>
    <xf numFmtId="0" fontId="0" fillId="11" borderId="13" xfId="0" applyFill="1" applyBorder="1" applyAlignment="1">
      <alignment/>
    </xf>
    <xf numFmtId="0" fontId="0" fillId="0" borderId="13" xfId="0" applyBorder="1" applyAlignment="1">
      <alignment/>
    </xf>
    <xf numFmtId="10" fontId="0" fillId="0" borderId="13" xfId="0" applyNumberFormat="1" applyBorder="1" applyAlignment="1">
      <alignment wrapText="1"/>
    </xf>
    <xf numFmtId="172" fontId="0" fillId="20" borderId="13" xfId="0" applyNumberFormat="1" applyFill="1" applyBorder="1" applyAlignment="1">
      <alignment/>
    </xf>
    <xf numFmtId="3" fontId="0" fillId="0" borderId="13" xfId="0" applyNumberFormat="1" applyBorder="1" applyAlignment="1">
      <alignment wrapText="1"/>
    </xf>
    <xf numFmtId="172" fontId="0" fillId="0" borderId="13" xfId="0" applyNumberFormat="1" applyFill="1" applyBorder="1" applyAlignment="1">
      <alignment/>
    </xf>
    <xf numFmtId="9" fontId="3" fillId="24" borderId="14" xfId="57" applyFont="1" applyFill="1" applyBorder="1" applyAlignment="1">
      <alignment horizontal="center" vertical="center"/>
    </xf>
    <xf numFmtId="41" fontId="2" fillId="24" borderId="12" xfId="0" applyNumberFormat="1" applyFont="1" applyFill="1" applyBorder="1" applyAlignment="1">
      <alignment horizontal="center" vertical="center" wrapText="1"/>
    </xf>
    <xf numFmtId="172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1" fontId="2" fillId="24" borderId="1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wrapText="1"/>
      <protection/>
    </xf>
    <xf numFmtId="0" fontId="0" fillId="0" borderId="15" xfId="0" applyBorder="1" applyAlignment="1">
      <alignment horizontal="center"/>
    </xf>
    <xf numFmtId="172" fontId="0" fillId="11" borderId="13" xfId="0" applyNumberFormat="1" applyFill="1" applyBorder="1" applyAlignment="1">
      <alignment/>
    </xf>
    <xf numFmtId="172" fontId="0" fillId="0" borderId="13" xfId="0" applyNumberFormat="1" applyBorder="1" applyAlignment="1">
      <alignment wrapText="1"/>
    </xf>
    <xf numFmtId="172" fontId="0" fillId="0" borderId="13" xfId="0" applyNumberFormat="1" applyBorder="1" applyAlignment="1" applyProtection="1">
      <alignment/>
      <protection/>
    </xf>
    <xf numFmtId="172" fontId="0" fillId="0" borderId="13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172" fontId="1" fillId="11" borderId="13" xfId="0" applyNumberFormat="1" applyFont="1" applyFill="1" applyBorder="1" applyAlignment="1">
      <alignment/>
    </xf>
    <xf numFmtId="172" fontId="1" fillId="4" borderId="13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0" fontId="2" fillId="24" borderId="18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 wrapText="1"/>
    </xf>
    <xf numFmtId="0" fontId="1" fillId="11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172" fontId="4" fillId="2" borderId="19" xfId="0" applyNumberFormat="1" applyFont="1" applyFill="1" applyBorder="1" applyAlignment="1">
      <alignment/>
    </xf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/>
    </xf>
    <xf numFmtId="10" fontId="0" fillId="0" borderId="15" xfId="0" applyNumberFormat="1" applyBorder="1" applyAlignment="1">
      <alignment/>
    </xf>
    <xf numFmtId="0" fontId="1" fillId="4" borderId="15" xfId="0" applyFont="1" applyFill="1" applyBorder="1" applyAlignment="1">
      <alignment horizontal="center" wrapText="1"/>
    </xf>
    <xf numFmtId="0" fontId="0" fillId="25" borderId="0" xfId="0" applyFill="1" applyAlignment="1">
      <alignment/>
    </xf>
    <xf numFmtId="0" fontId="0" fillId="25" borderId="0" xfId="0" applyFill="1" applyBorder="1" applyAlignment="1">
      <alignment horizontal="right"/>
    </xf>
    <xf numFmtId="172" fontId="1" fillId="25" borderId="0" xfId="0" applyNumberFormat="1" applyFont="1" applyFill="1" applyAlignment="1">
      <alignment/>
    </xf>
    <xf numFmtId="0" fontId="0" fillId="25" borderId="0" xfId="0" applyFill="1" applyAlignment="1">
      <alignment wrapText="1"/>
    </xf>
    <xf numFmtId="0" fontId="0" fillId="0" borderId="0" xfId="0" applyAlignment="1">
      <alignment/>
    </xf>
    <xf numFmtId="3" fontId="21" fillId="0" borderId="0" xfId="0" applyNumberFormat="1" applyFont="1" applyAlignment="1">
      <alignment horizontal="center" wrapText="1"/>
    </xf>
    <xf numFmtId="3" fontId="22" fillId="25" borderId="0" xfId="0" applyNumberFormat="1" applyFont="1" applyFill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22" fillId="25" borderId="0" xfId="0" applyNumberFormat="1" applyFont="1" applyFill="1" applyAlignment="1">
      <alignment horizontal="center"/>
    </xf>
    <xf numFmtId="3" fontId="23" fillId="0" borderId="20" xfId="0" applyNumberFormat="1" applyFont="1" applyBorder="1" applyAlignment="1">
      <alignment horizontal="left"/>
    </xf>
    <xf numFmtId="3" fontId="0" fillId="25" borderId="0" xfId="0" applyNumberFormat="1" applyFill="1" applyAlignment="1">
      <alignment horizontal="center"/>
    </xf>
    <xf numFmtId="3" fontId="0" fillId="10" borderId="0" xfId="0" applyNumberFormat="1" applyFill="1" applyAlignment="1">
      <alignment horizontal="center"/>
    </xf>
    <xf numFmtId="3" fontId="0" fillId="10" borderId="0" xfId="0" applyNumberFormat="1" applyFill="1" applyAlignment="1">
      <alignment horizontal="center"/>
    </xf>
    <xf numFmtId="0" fontId="2" fillId="0" borderId="0" xfId="0" applyFont="1" applyAlignment="1">
      <alignment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0" fontId="1" fillId="0" borderId="0" xfId="44" applyFont="1" applyAlignment="1">
      <alignment/>
    </xf>
    <xf numFmtId="170" fontId="0" fillId="0" borderId="0" xfId="44" applyAlignment="1">
      <alignment wrapText="1"/>
    </xf>
    <xf numFmtId="170" fontId="0" fillId="0" borderId="0" xfId="44" applyAlignment="1">
      <alignment/>
    </xf>
    <xf numFmtId="170" fontId="0" fillId="0" borderId="0" xfId="0" applyNumberFormat="1" applyAlignment="1">
      <alignment/>
    </xf>
    <xf numFmtId="10" fontId="1" fillId="0" borderId="0" xfId="57" applyNumberFormat="1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Alignment="1">
      <alignment wrapText="1"/>
    </xf>
    <xf numFmtId="10" fontId="24" fillId="0" borderId="0" xfId="0" applyNumberFormat="1" applyFont="1" applyAlignment="1">
      <alignment/>
    </xf>
    <xf numFmtId="10" fontId="24" fillId="0" borderId="0" xfId="0" applyNumberFormat="1" applyFont="1" applyAlignment="1">
      <alignment wrapText="1"/>
    </xf>
    <xf numFmtId="10" fontId="0" fillId="25" borderId="13" xfId="57" applyNumberFormat="1" applyFill="1" applyBorder="1" applyAlignment="1">
      <alignment/>
    </xf>
    <xf numFmtId="10" fontId="0" fillId="25" borderId="21" xfId="57" applyNumberFormat="1" applyFill="1" applyBorder="1" applyAlignment="1">
      <alignment/>
    </xf>
    <xf numFmtId="172" fontId="0" fillId="25" borderId="21" xfId="0" applyNumberFormat="1" applyFill="1" applyBorder="1" applyAlignment="1">
      <alignment/>
    </xf>
    <xf numFmtId="10" fontId="0" fillId="25" borderId="22" xfId="57" applyNumberFormat="1" applyFill="1" applyBorder="1" applyAlignment="1">
      <alignment/>
    </xf>
    <xf numFmtId="170" fontId="0" fillId="25" borderId="21" xfId="44" applyFill="1" applyBorder="1" applyAlignment="1">
      <alignment/>
    </xf>
    <xf numFmtId="0" fontId="0" fillId="0" borderId="0" xfId="0" applyAlignment="1" quotePrefix="1">
      <alignment/>
    </xf>
    <xf numFmtId="190" fontId="1" fillId="0" borderId="23" xfId="0" applyNumberFormat="1" applyFont="1" applyBorder="1" applyAlignment="1">
      <alignment/>
    </xf>
    <xf numFmtId="190" fontId="0" fillId="0" borderId="23" xfId="0" applyNumberFormat="1" applyBorder="1" applyAlignment="1">
      <alignment wrapText="1"/>
    </xf>
    <xf numFmtId="0" fontId="0" fillId="0" borderId="0" xfId="0" applyAlignment="1">
      <alignment wrapText="1"/>
    </xf>
    <xf numFmtId="172" fontId="1" fillId="0" borderId="24" xfId="0" applyNumberFormat="1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1" fillId="0" borderId="19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right"/>
      <protection/>
    </xf>
    <xf numFmtId="0" fontId="0" fillId="25" borderId="0" xfId="0" applyFill="1" applyAlignment="1">
      <alignment wrapText="1"/>
    </xf>
    <xf numFmtId="0" fontId="0" fillId="0" borderId="25" xfId="0" applyBorder="1" applyAlignment="1">
      <alignment wrapText="1"/>
    </xf>
    <xf numFmtId="0" fontId="0" fillId="25" borderId="23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 wrapText="1"/>
    </xf>
    <xf numFmtId="0" fontId="0" fillId="25" borderId="0" xfId="0" applyFill="1" applyBorder="1" applyAlignment="1">
      <alignment horizontal="left"/>
    </xf>
    <xf numFmtId="172" fontId="0" fillId="0" borderId="0" xfId="0" applyNumberFormat="1" applyAlignment="1">
      <alignment wrapText="1"/>
    </xf>
    <xf numFmtId="172" fontId="0" fillId="0" borderId="0" xfId="0" applyNumberFormat="1" applyAlignment="1">
      <alignment horizontal="center"/>
    </xf>
    <xf numFmtId="172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Cost%20Allocation\CA%20New%20Model\Guelph_APPL_CA_Model_v2_July%2028_201108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te%20Submissions\2012%20Rate%20-%20Rebasing%20Process\Smart%20meters\New%20SM%20Model%20sent%20Oct%2028\Guelph_2012%20smart%20meter%20model_V21_2_20111108%20Ver%20B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Models\Weather%20Normalization%20Regression%20Model%20-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  <sheetName val="Guelph_APPL_CA_Model_v2_July 28"/>
    </sheetNames>
    <sheetDataSet>
      <sheetData sheetId="2">
        <row r="20">
          <cell r="C20" t="str">
            <v>Residential</v>
          </cell>
          <cell r="D20" t="str">
            <v>Residential</v>
          </cell>
        </row>
        <row r="21">
          <cell r="C21" t="str">
            <v>GS &lt;50</v>
          </cell>
          <cell r="D21" t="str">
            <v>General Service Less than 50 kW</v>
          </cell>
        </row>
      </sheetData>
      <sheetData sheetId="29">
        <row r="93">
          <cell r="A93" t="str">
            <v>Weighted Meter -Capital </v>
          </cell>
          <cell r="B93" t="str">
            <v>CWMC</v>
          </cell>
          <cell r="D93">
            <v>0.7402843419047436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  <sheetName val="NOTES"/>
    </sheetNames>
    <sheetDataSet>
      <sheetData sheetId="4">
        <row r="48">
          <cell r="M48">
            <v>45429.247169820555</v>
          </cell>
          <cell r="O48">
            <v>275990.10957052966</v>
          </cell>
          <cell r="Q48">
            <v>454228.7810036204</v>
          </cell>
        </row>
        <row r="51">
          <cell r="M51">
            <v>0</v>
          </cell>
          <cell r="O51">
            <v>84834</v>
          </cell>
          <cell r="Q51">
            <v>527410</v>
          </cell>
        </row>
        <row r="60">
          <cell r="M60">
            <v>70482.76666666666</v>
          </cell>
          <cell r="O60">
            <v>353394.65</v>
          </cell>
          <cell r="Q60">
            <v>628954.2583333333</v>
          </cell>
        </row>
        <row r="70">
          <cell r="M70">
            <v>-73392.99533366923</v>
          </cell>
          <cell r="O70">
            <v>-181030.55445099543</v>
          </cell>
          <cell r="Q70">
            <v>10278.250483445578</v>
          </cell>
        </row>
      </sheetData>
      <sheetData sheetId="10">
        <row r="30">
          <cell r="M30">
            <v>42519.018502818</v>
          </cell>
          <cell r="O30">
            <v>533188.2051195343</v>
          </cell>
          <cell r="Q30">
            <v>1620871.2898203994</v>
          </cell>
        </row>
        <row r="32">
          <cell r="M32">
            <v>32.39682875</v>
          </cell>
          <cell r="O32">
            <v>2193.028928750001</v>
          </cell>
          <cell r="Q32">
            <v>14116.960172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historical comparison sales"/>
      <sheetName val="Summary"/>
      <sheetName val="HDD CDD trend"/>
      <sheetName val="Purchased Power Model"/>
      <sheetName val="Rate Class Energy Model"/>
      <sheetName val="Rate Class Customer Model"/>
      <sheetName val="Rate Class Load Model"/>
      <sheetName val="Chart3"/>
      <sheetName val="Purchased vs Forecast after adj"/>
      <sheetName val="Chart4"/>
      <sheetName val="Customer growth"/>
      <sheetName val="Statistics"/>
      <sheetName val="Customer Load Pie Graphs"/>
      <sheetName val="Load Charts"/>
    </sheetNames>
    <sheetDataSet>
      <sheetData sheetId="2">
        <row r="12">
          <cell r="L12">
            <v>47848.117662265744</v>
          </cell>
        </row>
        <row r="16">
          <cell r="L16">
            <v>3787.813776381449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75" zoomScaleNormal="75" zoomScalePageLayoutView="0" workbookViewId="0" topLeftCell="A9">
      <selection activeCell="H38" sqref="H38"/>
    </sheetView>
  </sheetViews>
  <sheetFormatPr defaultColWidth="9.140625" defaultRowHeight="15"/>
  <cols>
    <col min="1" max="1" width="4.140625" style="0" customWidth="1"/>
    <col min="2" max="2" width="42.7109375" style="3" customWidth="1"/>
    <col min="3" max="3" width="12.00390625" style="0" customWidth="1"/>
    <col min="4" max="4" width="14.7109375" style="0" customWidth="1"/>
    <col min="5" max="5" width="16.421875" style="0" customWidth="1"/>
    <col min="6" max="6" width="4.140625" style="0" customWidth="1"/>
    <col min="7" max="7" width="15.140625" style="2" customWidth="1"/>
    <col min="8" max="8" width="14.57421875" style="3" customWidth="1"/>
    <col min="9" max="9" width="16.421875" style="0" customWidth="1"/>
    <col min="10" max="11" width="15.7109375" style="0" bestFit="1" customWidth="1"/>
    <col min="12" max="12" width="12.7109375" style="0" bestFit="1" customWidth="1"/>
  </cols>
  <sheetData>
    <row r="1" ht="15">
      <c r="B1" s="3" t="s">
        <v>8</v>
      </c>
    </row>
    <row r="2" ht="15.75" thickBot="1"/>
    <row r="3" spans="2:12" ht="38.25">
      <c r="B3" s="39"/>
      <c r="C3" s="26">
        <v>2009</v>
      </c>
      <c r="D3" s="26">
        <v>2010</v>
      </c>
      <c r="E3" s="26">
        <v>2011</v>
      </c>
      <c r="F3" s="26"/>
      <c r="G3" s="46" t="s">
        <v>10</v>
      </c>
      <c r="H3" s="35" t="s">
        <v>3</v>
      </c>
      <c r="I3" s="36" t="s">
        <v>2</v>
      </c>
      <c r="J3" s="13" t="s">
        <v>1</v>
      </c>
      <c r="K3" s="21" t="str">
        <f>IF('[1]I2 LDC class'!$D$20="",'[1]I2 LDC class'!$C$20,'[1]I2 LDC class'!$D$20)</f>
        <v>Residential</v>
      </c>
      <c r="L3" s="21" t="str">
        <f>IF('[1]I2 LDC class'!$D$21="",'[1]I2 LDC class'!$C$21,'[1]I2 LDC class'!$D$21)</f>
        <v>General Service Less than 50 kW</v>
      </c>
    </row>
    <row r="4" spans="2:12" ht="15">
      <c r="B4" s="40" t="s">
        <v>0</v>
      </c>
      <c r="C4" s="27">
        <f>'[2]9. SMFA_SMDR_SMIRR'!$M$30+'[2]9. SMFA_SMDR_SMIRR'!$M$32</f>
        <v>42551.415331568</v>
      </c>
      <c r="D4" s="27">
        <f>'[2]9. SMFA_SMDR_SMIRR'!$O$30+'[2]9. SMFA_SMDR_SMIRR'!$O$32</f>
        <v>535381.2340482842</v>
      </c>
      <c r="E4" s="27">
        <f>'[2]9. SMFA_SMDR_SMIRR'!$Q$30+'[2]9. SMFA_SMDR_SMIRR'!$Q$32</f>
        <v>1634988.2499923995</v>
      </c>
      <c r="F4" s="27"/>
      <c r="G4" s="32">
        <f>SUM(C4:E4)</f>
        <v>2212920.8993722517</v>
      </c>
      <c r="H4" s="7"/>
      <c r="I4" s="14"/>
      <c r="J4" s="14"/>
      <c r="K4" s="14"/>
      <c r="L4" s="14"/>
    </row>
    <row r="5" spans="2:12" ht="15">
      <c r="B5" s="37"/>
      <c r="C5" s="22"/>
      <c r="D5" s="22"/>
      <c r="E5" s="22"/>
      <c r="F5" s="22"/>
      <c r="G5" s="33"/>
      <c r="I5" s="15"/>
      <c r="J5" s="15"/>
      <c r="K5" s="15"/>
      <c r="L5" s="15"/>
    </row>
    <row r="6" spans="2:12" s="3" customFormat="1" ht="30">
      <c r="B6" s="25" t="s">
        <v>12</v>
      </c>
      <c r="C6" s="28">
        <f>'[2]5. SM_Rev_Reqt'!$M$48</f>
        <v>45429.247169820555</v>
      </c>
      <c r="D6" s="28">
        <f>'[2]5. SM_Rev_Reqt'!$O$48</f>
        <v>275990.10957052966</v>
      </c>
      <c r="E6" s="28">
        <f>'[2]5. SM_Rev_Reqt'!$Q$48</f>
        <v>454228.7810036204</v>
      </c>
      <c r="F6" s="28"/>
      <c r="G6" s="32">
        <f>SUM(C6:E6)</f>
        <v>775648.1377439706</v>
      </c>
      <c r="H6" s="3" t="str">
        <f>'[1]E2 Allocators'!A93</f>
        <v>Weighted Meter -Capital </v>
      </c>
      <c r="I6" s="37" t="str">
        <f>'[1]E2 Allocators'!B93</f>
        <v>CWMC</v>
      </c>
      <c r="J6" s="16">
        <f aca="true" t="shared" si="0" ref="J6:J13">SUM(K6:L6)</f>
        <v>1</v>
      </c>
      <c r="K6" s="16">
        <f>'[1]E2 Allocators'!D93</f>
        <v>0.7402843419047436</v>
      </c>
      <c r="L6" s="16">
        <f>100%-K6</f>
        <v>0.25971565809525643</v>
      </c>
    </row>
    <row r="7" spans="2:12" ht="15">
      <c r="B7" s="37"/>
      <c r="C7" s="22"/>
      <c r="D7" s="22"/>
      <c r="E7" s="22"/>
      <c r="F7" s="22"/>
      <c r="G7" s="32" t="s">
        <v>4</v>
      </c>
      <c r="H7" s="7"/>
      <c r="I7" s="15"/>
      <c r="J7" s="17">
        <f t="shared" si="0"/>
        <v>775648.1377439706</v>
      </c>
      <c r="K7" s="22">
        <f>K6*$G$6</f>
        <v>574200.1711994351</v>
      </c>
      <c r="L7" s="22">
        <f>L6*$G$6</f>
        <v>201447.96654453545</v>
      </c>
    </row>
    <row r="8" spans="2:12" ht="30">
      <c r="B8" s="41" t="s">
        <v>13</v>
      </c>
      <c r="C8" s="22">
        <f>'[2]5. SM_Rev_Reqt'!$M$60+'[2]9. SMFA_SMDR_SMIRR'!$M$32</f>
        <v>70515.16349541667</v>
      </c>
      <c r="D8" s="22">
        <f>'[2]5. SM_Rev_Reqt'!$O$60+'[2]9. SMFA_SMDR_SMIRR'!$O$32</f>
        <v>355587.67892875004</v>
      </c>
      <c r="E8" s="19">
        <f>'[2]5. SM_Rev_Reqt'!$Q$60+'[2]9. SMFA_SMDR_SMIRR'!$Q$32</f>
        <v>643071.2185053333</v>
      </c>
      <c r="F8" s="22"/>
      <c r="G8" s="32">
        <f>SUM(C8:E8)</f>
        <v>1069174.0609295</v>
      </c>
      <c r="H8" s="3" t="str">
        <f>H6</f>
        <v>Weighted Meter -Capital </v>
      </c>
      <c r="I8" s="37" t="str">
        <f>I6</f>
        <v>CWMC</v>
      </c>
      <c r="J8" s="16">
        <f t="shared" si="0"/>
        <v>1</v>
      </c>
      <c r="K8" s="16">
        <f>K6</f>
        <v>0.7402843419047436</v>
      </c>
      <c r="L8" s="16">
        <f>L6</f>
        <v>0.25971565809525643</v>
      </c>
    </row>
    <row r="9" spans="2:12" ht="15">
      <c r="B9" s="37"/>
      <c r="C9" s="22"/>
      <c r="D9" s="22"/>
      <c r="E9" s="22"/>
      <c r="F9" s="22"/>
      <c r="G9" s="32" t="s">
        <v>4</v>
      </c>
      <c r="H9" s="7"/>
      <c r="I9" s="15"/>
      <c r="J9" s="17">
        <f t="shared" si="0"/>
        <v>1069174.0609295</v>
      </c>
      <c r="K9" s="22">
        <f>$G$8*K8</f>
        <v>791492.8160768171</v>
      </c>
      <c r="L9" s="22">
        <f>$G$8*L8</f>
        <v>277681.2448526829</v>
      </c>
    </row>
    <row r="10" spans="2:12" ht="60">
      <c r="B10" s="25" t="s">
        <v>14</v>
      </c>
      <c r="C10" s="22">
        <f>'[2]5. SM_Rev_Reqt'!$M$51</f>
        <v>0</v>
      </c>
      <c r="D10" s="22">
        <f>'[2]5. SM_Rev_Reqt'!$O$51</f>
        <v>84834</v>
      </c>
      <c r="E10" s="30">
        <f>'[2]5. SM_Rev_Reqt'!$Q$51</f>
        <v>527410</v>
      </c>
      <c r="F10" s="22"/>
      <c r="G10" s="32">
        <f>SUM(C10:E10)</f>
        <v>612244</v>
      </c>
      <c r="H10" s="3" t="s">
        <v>9</v>
      </c>
      <c r="I10" s="15"/>
      <c r="J10" s="18">
        <f t="shared" si="0"/>
        <v>49033</v>
      </c>
      <c r="K10" s="23">
        <v>46027</v>
      </c>
      <c r="L10" s="23">
        <v>3006</v>
      </c>
    </row>
    <row r="11" spans="2:12" ht="15">
      <c r="B11" s="37"/>
      <c r="C11" s="22"/>
      <c r="D11" s="22"/>
      <c r="E11" s="22"/>
      <c r="F11" s="22"/>
      <c r="G11" s="32" t="s">
        <v>4</v>
      </c>
      <c r="H11" s="7"/>
      <c r="I11" s="15"/>
      <c r="J11" s="17">
        <f t="shared" si="0"/>
        <v>612244</v>
      </c>
      <c r="K11" s="22">
        <f>$G$10/$J$10*K10</f>
        <v>574709.9828278914</v>
      </c>
      <c r="L11" s="22">
        <f>$G$10/$J$10*L10</f>
        <v>37534.01717210858</v>
      </c>
    </row>
    <row r="12" spans="2:12" ht="75">
      <c r="B12" s="25" t="s">
        <v>15</v>
      </c>
      <c r="C12" s="29">
        <f>'[2]5. SM_Rev_Reqt'!$M$70</f>
        <v>-73392.99533366923</v>
      </c>
      <c r="D12" s="29">
        <f>'[2]5. SM_Rev_Reqt'!$O$70</f>
        <v>-181030.55445099543</v>
      </c>
      <c r="E12" s="30">
        <f>'[2]5. SM_Rev_Reqt'!$Q$70</f>
        <v>10278.250483445578</v>
      </c>
      <c r="F12" s="22"/>
      <c r="G12" s="32">
        <f>SUM(C12:E12)</f>
        <v>-244145.29930121906</v>
      </c>
      <c r="H12" s="3" t="s">
        <v>5</v>
      </c>
      <c r="I12" s="15"/>
      <c r="J12" s="19">
        <f t="shared" si="0"/>
        <v>2457066.198673471</v>
      </c>
      <c r="K12" s="22">
        <f>K7+K9+K11</f>
        <v>1940402.9701041437</v>
      </c>
      <c r="L12" s="22">
        <f>L7+L9+L11</f>
        <v>516663.228569327</v>
      </c>
    </row>
    <row r="13" spans="2:12" ht="15">
      <c r="B13" s="37"/>
      <c r="C13" s="22"/>
      <c r="D13" s="22"/>
      <c r="E13" s="22"/>
      <c r="F13" s="22"/>
      <c r="G13" s="32" t="s">
        <v>4</v>
      </c>
      <c r="H13" s="7"/>
      <c r="I13" s="15"/>
      <c r="J13" s="17">
        <f t="shared" si="0"/>
        <v>-244145.29930121903</v>
      </c>
      <c r="K13" s="22">
        <f>$G$12/$J$12*K12</f>
        <v>-192807.28543529476</v>
      </c>
      <c r="L13" s="22">
        <f>$G$12/$J$12*L12</f>
        <v>-51338.01386592427</v>
      </c>
    </row>
    <row r="14" spans="2:12" ht="39" thickBot="1">
      <c r="B14" s="37"/>
      <c r="C14" s="22"/>
      <c r="D14" s="22"/>
      <c r="E14" s="22"/>
      <c r="F14" s="22"/>
      <c r="G14" s="34"/>
      <c r="I14" s="38"/>
      <c r="J14" s="20" t="s">
        <v>1</v>
      </c>
      <c r="K14" s="24" t="str">
        <f>IF('[1]I2 LDC class'!$D$20="",'[1]I2 LDC class'!$C$20,'[1]I2 LDC class'!$D$20)</f>
        <v>Residential</v>
      </c>
      <c r="L14" s="24" t="str">
        <f>IF('[1]I2 LDC class'!$D$21="",'[1]I2 LDC class'!$C$21,'[1]I2 LDC class'!$D$21)</f>
        <v>General Service Less than 50 kW</v>
      </c>
    </row>
    <row r="15" spans="2:12" s="2" customFormat="1" ht="15.75" thickBot="1">
      <c r="B15" s="88" t="s">
        <v>16</v>
      </c>
      <c r="C15" s="89"/>
      <c r="D15" s="89"/>
      <c r="E15" s="89"/>
      <c r="F15" s="90"/>
      <c r="G15" s="31">
        <f>G6+G8+G10+G12</f>
        <v>2212920.8993722517</v>
      </c>
      <c r="H15" s="8"/>
      <c r="I15" s="9"/>
      <c r="J15" s="10">
        <f>+J7+J9+J11+J13</f>
        <v>2212920.8993722517</v>
      </c>
      <c r="K15" s="10">
        <f>+K7+K9+K11+K13</f>
        <v>1747595.684668849</v>
      </c>
      <c r="L15" s="10">
        <f>+L7+L9+L11+L13</f>
        <v>465325.2147034027</v>
      </c>
    </row>
    <row r="16" spans="3:12" ht="28.5" customHeight="1">
      <c r="C16" s="1"/>
      <c r="D16" s="1"/>
      <c r="E16" s="1"/>
      <c r="F16" s="1"/>
      <c r="G16" s="86" t="s">
        <v>44</v>
      </c>
      <c r="H16" s="87"/>
      <c r="I16" s="87"/>
      <c r="J16" s="11">
        <f>SUM(K16:L16)</f>
        <v>1</v>
      </c>
      <c r="K16" s="45">
        <f>K15/J15</f>
        <v>0.7897235211455577</v>
      </c>
      <c r="L16" s="45">
        <f>L15/J15</f>
        <v>0.21027647885444228</v>
      </c>
    </row>
    <row r="17" spans="2:12" ht="15">
      <c r="B17" s="91" t="s">
        <v>6</v>
      </c>
      <c r="C17" s="91"/>
      <c r="D17" s="91"/>
      <c r="E17" s="91"/>
      <c r="F17" s="91"/>
      <c r="G17" s="4">
        <v>2608669.3305767984</v>
      </c>
      <c r="K17" s="22"/>
      <c r="L17" s="22"/>
    </row>
    <row r="18" spans="1:12" ht="15">
      <c r="A18" s="47"/>
      <c r="B18" s="48"/>
      <c r="C18" s="48"/>
      <c r="D18" s="48"/>
      <c r="E18" s="48"/>
      <c r="F18" s="48"/>
      <c r="G18" s="49"/>
      <c r="H18" s="93" t="s">
        <v>39</v>
      </c>
      <c r="I18" s="85"/>
      <c r="J18" s="94"/>
      <c r="K18" s="77">
        <f>G41</f>
        <v>0.9142151734187215</v>
      </c>
      <c r="L18" s="77">
        <f>H41</f>
        <v>0.07386190693780556</v>
      </c>
    </row>
    <row r="19" spans="1:12" ht="30.75" customHeight="1" thickBot="1">
      <c r="A19" s="47"/>
      <c r="B19" s="48"/>
      <c r="C19" s="48"/>
      <c r="D19" s="48"/>
      <c r="E19" s="48"/>
      <c r="F19" s="48"/>
      <c r="G19" s="49"/>
      <c r="H19" s="95" t="s">
        <v>45</v>
      </c>
      <c r="I19" s="96"/>
      <c r="J19" s="97"/>
      <c r="K19" s="80">
        <f>G44</f>
        <v>0.005961459821736447</v>
      </c>
      <c r="L19" s="80">
        <f>H44</f>
        <v>0.005961459821736447</v>
      </c>
    </row>
    <row r="20" spans="1:12" ht="15" customHeight="1" thickTop="1">
      <c r="A20" s="47"/>
      <c r="B20" s="48"/>
      <c r="C20" s="48"/>
      <c r="D20" s="48"/>
      <c r="E20" s="48"/>
      <c r="F20" s="48"/>
      <c r="G20" s="49"/>
      <c r="H20" s="50" t="s">
        <v>1</v>
      </c>
      <c r="I20" s="50"/>
      <c r="J20" s="50"/>
      <c r="K20" s="78">
        <f>SUM(K18:K19)</f>
        <v>0.920176633240458</v>
      </c>
      <c r="L20" s="78">
        <f>L18+L19</f>
        <v>0.079823366759542</v>
      </c>
    </row>
    <row r="21" spans="1:12" ht="15" customHeight="1">
      <c r="A21" s="47"/>
      <c r="B21" s="48"/>
      <c r="C21" s="98" t="s">
        <v>40</v>
      </c>
      <c r="D21" s="98"/>
      <c r="E21" s="98"/>
      <c r="F21" s="98"/>
      <c r="G21" s="49">
        <f>G17</f>
        <v>2608669.3305767984</v>
      </c>
      <c r="H21" s="50"/>
      <c r="I21" s="50"/>
      <c r="J21" s="50"/>
      <c r="K21" s="81">
        <f>K20*G21</f>
        <v>2400436.5618477976</v>
      </c>
      <c r="L21" s="79">
        <f>G21*L20</f>
        <v>208232.7687290007</v>
      </c>
    </row>
    <row r="22" spans="2:12" ht="15">
      <c r="B22" s="92" t="s">
        <v>18</v>
      </c>
      <c r="C22" s="91"/>
      <c r="D22" s="91"/>
      <c r="E22" s="91"/>
      <c r="F22" s="91"/>
      <c r="G22" s="4">
        <f>G15-G17</f>
        <v>-395748.4312045467</v>
      </c>
      <c r="K22" s="15"/>
      <c r="L22" s="15"/>
    </row>
    <row r="23" spans="3:12" ht="15">
      <c r="C23" s="1"/>
      <c r="D23" s="1"/>
      <c r="E23" s="1"/>
      <c r="F23" s="1"/>
      <c r="G23" s="5" t="s">
        <v>4</v>
      </c>
      <c r="H23" s="7"/>
      <c r="I23" s="6"/>
      <c r="J23" s="1">
        <f>K23+L23</f>
        <v>-395748.4312045466</v>
      </c>
      <c r="K23" s="22">
        <f>K15-K21</f>
        <v>-652840.8771789486</v>
      </c>
      <c r="L23" s="22">
        <f>L15-L21</f>
        <v>257092.445974402</v>
      </c>
    </row>
    <row r="24" spans="3:12" ht="15.75" thickBot="1">
      <c r="C24" s="1"/>
      <c r="D24" s="1"/>
      <c r="E24" s="1"/>
      <c r="F24" s="1"/>
      <c r="G24" s="4" t="s">
        <v>7</v>
      </c>
      <c r="I24" s="82" t="s">
        <v>41</v>
      </c>
      <c r="K24" s="23">
        <f>'[3]Summary'!$L$12</f>
        <v>47848.117662265744</v>
      </c>
      <c r="L24" s="23">
        <f>'[3]Summary'!$L$16</f>
        <v>3787.813776381449</v>
      </c>
    </row>
    <row r="25" spans="3:12" ht="15.75" thickBot="1">
      <c r="C25" s="1"/>
      <c r="D25" s="1"/>
      <c r="E25" s="1"/>
      <c r="F25" s="42" t="s">
        <v>17</v>
      </c>
      <c r="G25" s="43"/>
      <c r="H25" s="44"/>
      <c r="I25" s="44"/>
      <c r="J25" s="44"/>
      <c r="K25" s="12">
        <f>K23/K24/12</f>
        <v>-1.137002019924453</v>
      </c>
      <c r="L25" s="12">
        <f>L23/L24/12</f>
        <v>5.656130887810918</v>
      </c>
    </row>
    <row r="26" spans="3:7" ht="15">
      <c r="C26" s="1"/>
      <c r="D26" s="1"/>
      <c r="E26" s="1"/>
      <c r="F26" s="1"/>
      <c r="G26" s="4"/>
    </row>
    <row r="27" spans="2:7" ht="29.25" customHeight="1">
      <c r="B27" s="85" t="s">
        <v>11</v>
      </c>
      <c r="C27" s="85"/>
      <c r="D27" s="85"/>
      <c r="E27" s="85"/>
      <c r="F27" s="1"/>
      <c r="G27" s="4"/>
    </row>
    <row r="28" spans="3:7" ht="15">
      <c r="C28" s="1" t="s">
        <v>42</v>
      </c>
      <c r="D28" s="1"/>
      <c r="E28" s="1"/>
      <c r="F28" s="1"/>
      <c r="G28" s="4"/>
    </row>
    <row r="29" spans="2:9" ht="15">
      <c r="B29" s="3" t="s">
        <v>30</v>
      </c>
      <c r="C29" s="100" t="s">
        <v>37</v>
      </c>
      <c r="D29" s="100"/>
      <c r="E29" s="100"/>
      <c r="F29" s="1"/>
      <c r="G29" s="101" t="s">
        <v>38</v>
      </c>
      <c r="H29" s="101"/>
      <c r="I29" s="101"/>
    </row>
    <row r="30" spans="2:10" ht="15">
      <c r="B30" s="3" t="s">
        <v>34</v>
      </c>
      <c r="C30" s="1" t="s">
        <v>31</v>
      </c>
      <c r="D30" s="1" t="s">
        <v>32</v>
      </c>
      <c r="E30" s="99" t="s">
        <v>33</v>
      </c>
      <c r="F30" s="1"/>
      <c r="G30" s="66" t="s">
        <v>31</v>
      </c>
      <c r="H30" s="3" t="s">
        <v>32</v>
      </c>
      <c r="I30" s="85" t="s">
        <v>33</v>
      </c>
      <c r="J30" t="s">
        <v>1</v>
      </c>
    </row>
    <row r="31" spans="5:9" ht="15">
      <c r="E31" s="85"/>
      <c r="I31" s="85"/>
    </row>
    <row r="32" spans="2:10" ht="15">
      <c r="B32" s="3" t="s">
        <v>36</v>
      </c>
      <c r="C32" s="65">
        <f>Sheet2!B8</f>
        <v>41642.5</v>
      </c>
      <c r="D32" s="65">
        <f>Sheet2!C8</f>
        <v>3468.416666666667</v>
      </c>
      <c r="E32" s="65">
        <f>SUM(Sheet2!D8:F8)</f>
        <v>553.8333333333333</v>
      </c>
      <c r="G32" s="67">
        <f>C32*0.27*8</f>
        <v>89947.8</v>
      </c>
      <c r="H32" s="68">
        <f>D32*0.27*8</f>
        <v>7491.780000000002</v>
      </c>
      <c r="I32" s="69">
        <f>E32*0.27*8</f>
        <v>1196.28</v>
      </c>
      <c r="J32" s="70">
        <f>SUM(G32:I32)</f>
        <v>98635.86</v>
      </c>
    </row>
    <row r="33" spans="2:10" ht="15">
      <c r="B33" s="3">
        <v>2007</v>
      </c>
      <c r="C33" s="65">
        <f>Sheet2!B9</f>
        <v>42728.25</v>
      </c>
      <c r="D33" s="65">
        <f>Sheet2!C9</f>
        <v>3533.916666666667</v>
      </c>
      <c r="E33" s="65">
        <f>SUM(Sheet2!D9:F9)</f>
        <v>565.6666666666667</v>
      </c>
      <c r="G33" s="67">
        <f>C33*0.27*12</f>
        <v>138439.53</v>
      </c>
      <c r="H33" s="68">
        <f>D33*0.27*12</f>
        <v>11449.890000000001</v>
      </c>
      <c r="I33" s="69">
        <f>E33*0.27*12</f>
        <v>1832.7600000000002</v>
      </c>
      <c r="J33" s="70">
        <f aca="true" t="shared" si="1" ref="J33:J38">SUM(G33:I33)</f>
        <v>151722.18000000002</v>
      </c>
    </row>
    <row r="34" spans="2:10" ht="15">
      <c r="B34" s="3">
        <v>2008</v>
      </c>
      <c r="C34" s="65">
        <f>Sheet2!B10</f>
        <v>43746.91666666667</v>
      </c>
      <c r="D34" s="65">
        <f>Sheet2!C10</f>
        <v>3580.8333333333335</v>
      </c>
      <c r="E34" s="65">
        <f>SUM(Sheet2!D10:F10)</f>
        <v>584</v>
      </c>
      <c r="G34" s="67">
        <f>C34*((0.27*8)+(1*4))</f>
        <v>269481.0066666667</v>
      </c>
      <c r="H34" s="67">
        <f>D34*((0.27*8)+(1*4))</f>
        <v>22057.933333333334</v>
      </c>
      <c r="I34" s="67">
        <f>E34*((0.27*8)+(1*4))</f>
        <v>3597.44</v>
      </c>
      <c r="J34" s="70">
        <f t="shared" si="1"/>
        <v>295136.38000000006</v>
      </c>
    </row>
    <row r="35" spans="2:10" ht="15">
      <c r="B35" s="3">
        <v>2009</v>
      </c>
      <c r="C35" s="65">
        <f>Sheet2!B11</f>
        <v>44583.5</v>
      </c>
      <c r="D35" s="65">
        <f>Sheet2!C11</f>
        <v>3623.75</v>
      </c>
      <c r="E35" s="65">
        <f>SUM(Sheet2!D11:F11)</f>
        <v>582.5</v>
      </c>
      <c r="G35" s="67">
        <f aca="true" t="shared" si="2" ref="G35:I36">C35*1*12</f>
        <v>535002</v>
      </c>
      <c r="H35" s="67">
        <f t="shared" si="2"/>
        <v>43485</v>
      </c>
      <c r="I35" s="67">
        <f t="shared" si="2"/>
        <v>6990</v>
      </c>
      <c r="J35" s="70">
        <f t="shared" si="1"/>
        <v>585477</v>
      </c>
    </row>
    <row r="36" spans="2:10" ht="15">
      <c r="B36" s="3">
        <v>2010</v>
      </c>
      <c r="C36" s="65">
        <f>Sheet2!B12</f>
        <v>45476.583333333336</v>
      </c>
      <c r="D36" s="65">
        <f>Sheet2!C12</f>
        <v>3660.75</v>
      </c>
      <c r="E36" s="65">
        <f>SUM(Sheet2!D12:F12)</f>
        <v>589.1666666666666</v>
      </c>
      <c r="G36" s="67">
        <f t="shared" si="2"/>
        <v>545719</v>
      </c>
      <c r="H36" s="67">
        <f t="shared" si="2"/>
        <v>43929</v>
      </c>
      <c r="I36" s="67">
        <f t="shared" si="2"/>
        <v>7070</v>
      </c>
      <c r="J36" s="70">
        <f t="shared" si="1"/>
        <v>596718</v>
      </c>
    </row>
    <row r="37" spans="2:10" ht="15">
      <c r="B37" s="3">
        <v>2011</v>
      </c>
      <c r="C37" s="65">
        <f>Sheet2!B13</f>
        <v>46647.28191664726</v>
      </c>
      <c r="D37" s="65">
        <f>Sheet2!C13</f>
        <v>3723.739958950999</v>
      </c>
      <c r="E37" s="65">
        <f>SUM(Sheet2!D13:F13)</f>
        <v>602.8390006896822</v>
      </c>
      <c r="G37" s="67">
        <f>C37*((1*4)+(1.17*8))</f>
        <v>623207.6864064074</v>
      </c>
      <c r="H37" s="67">
        <f>D37*((1*4)+(1.17*8))</f>
        <v>49749.16585158535</v>
      </c>
      <c r="I37" s="67">
        <f>E37*((1*4)+(1.17*8))</f>
        <v>8053.929049214154</v>
      </c>
      <c r="J37" s="70">
        <f t="shared" si="1"/>
        <v>681010.7813072068</v>
      </c>
    </row>
    <row r="38" spans="2:10" ht="15">
      <c r="B38" s="3" t="s">
        <v>35</v>
      </c>
      <c r="C38" s="65">
        <f>Sheet2!B14</f>
        <v>47848.117662265744</v>
      </c>
      <c r="D38" s="65">
        <f>Sheet2!C14</f>
        <v>3787.813776381449</v>
      </c>
      <c r="E38" s="65">
        <f>SUM(Sheet2!D14:F14)</f>
        <v>616.831677027948</v>
      </c>
      <c r="G38" s="67">
        <f>C38*1.17*3</f>
        <v>167946.89299455273</v>
      </c>
      <c r="H38" s="67">
        <f>D38*1.17*3</f>
        <v>13295.226355098883</v>
      </c>
      <c r="I38" s="67">
        <f>E38*1.17*3</f>
        <v>2165.079186368097</v>
      </c>
      <c r="J38" s="70">
        <f t="shared" si="1"/>
        <v>183407.1985360197</v>
      </c>
    </row>
    <row r="40" spans="7:10" ht="15">
      <c r="G40" s="70">
        <f>SUM(G32:G38)</f>
        <v>2369743.916067627</v>
      </c>
      <c r="H40" s="70">
        <f>SUM(H32:H38)</f>
        <v>191457.99554001755</v>
      </c>
      <c r="I40" s="70">
        <f>SUM(I32:I38)</f>
        <v>30905.488235582252</v>
      </c>
      <c r="J40" s="70">
        <f>SUM(J32:J38)</f>
        <v>2592107.3998432267</v>
      </c>
    </row>
    <row r="41" spans="7:10" ht="15">
      <c r="G41" s="71">
        <f>G40/$J40</f>
        <v>0.9142151734187215</v>
      </c>
      <c r="H41" s="71">
        <f>H40/$J40</f>
        <v>0.07386190693780556</v>
      </c>
      <c r="I41" s="71">
        <f>I40/$J40</f>
        <v>0.011922919643472894</v>
      </c>
      <c r="J41" s="72">
        <f>SUM(G41:I41)</f>
        <v>1</v>
      </c>
    </row>
    <row r="42" spans="7:8" ht="15">
      <c r="G42" s="75">
        <f>K16</f>
        <v>0.7897235211455577</v>
      </c>
      <c r="H42" s="76">
        <f>L16</f>
        <v>0.21027647885444228</v>
      </c>
    </row>
    <row r="43" spans="3:8" ht="15">
      <c r="C43" t="s">
        <v>46</v>
      </c>
      <c r="G43" s="75">
        <v>0.5</v>
      </c>
      <c r="H43" s="76">
        <v>0.5</v>
      </c>
    </row>
    <row r="44" spans="3:8" ht="15.75" thickBot="1">
      <c r="C44" t="s">
        <v>43</v>
      </c>
      <c r="G44" s="83">
        <f>G43*I41</f>
        <v>0.005961459821736447</v>
      </c>
      <c r="H44" s="84">
        <f>H43*I41</f>
        <v>0.005961459821736447</v>
      </c>
    </row>
    <row r="45" spans="7:8" ht="15.75" thickTop="1">
      <c r="G45" s="73">
        <f>G41+G44</f>
        <v>0.920176633240458</v>
      </c>
      <c r="H45" s="74">
        <f>H41+H44</f>
        <v>0.079823366759542</v>
      </c>
    </row>
  </sheetData>
  <sheetProtection/>
  <mergeCells count="12">
    <mergeCell ref="E30:E31"/>
    <mergeCell ref="I30:I31"/>
    <mergeCell ref="C29:E29"/>
    <mergeCell ref="G29:I29"/>
    <mergeCell ref="B27:E27"/>
    <mergeCell ref="G16:I16"/>
    <mergeCell ref="B15:F15"/>
    <mergeCell ref="B17:F17"/>
    <mergeCell ref="B22:F22"/>
    <mergeCell ref="H18:J18"/>
    <mergeCell ref="H19:J19"/>
    <mergeCell ref="C21:F21"/>
  </mergeCells>
  <printOptions/>
  <pageMargins left="0.7" right="0.7" top="0.75" bottom="0.75" header="0.3" footer="0.3"/>
  <pageSetup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0">
      <selection activeCell="E16" sqref="E16"/>
    </sheetView>
  </sheetViews>
  <sheetFormatPr defaultColWidth="9.140625" defaultRowHeight="15"/>
  <cols>
    <col min="2" max="10" width="14.140625" style="0" customWidth="1"/>
  </cols>
  <sheetData>
    <row r="1" spans="1:10" ht="39">
      <c r="A1" s="51"/>
      <c r="B1" s="52" t="s">
        <v>23</v>
      </c>
      <c r="C1" s="52" t="s">
        <v>24</v>
      </c>
      <c r="D1" s="52" t="s">
        <v>25</v>
      </c>
      <c r="E1" s="52" t="s">
        <v>26</v>
      </c>
      <c r="F1" s="53" t="s">
        <v>19</v>
      </c>
      <c r="G1" s="52" t="s">
        <v>27</v>
      </c>
      <c r="H1" s="52" t="s">
        <v>28</v>
      </c>
      <c r="I1" s="52" t="s">
        <v>29</v>
      </c>
      <c r="J1" s="54" t="s">
        <v>1</v>
      </c>
    </row>
    <row r="2" spans="1:10" ht="15">
      <c r="A2" s="55">
        <v>2000</v>
      </c>
      <c r="B2" s="56"/>
      <c r="C2" s="57"/>
      <c r="D2" s="56"/>
      <c r="E2" s="56"/>
      <c r="F2" s="56"/>
      <c r="G2" s="56"/>
      <c r="H2" s="56"/>
      <c r="I2" s="56"/>
      <c r="J2" s="58"/>
    </row>
    <row r="3" spans="1:10" ht="15">
      <c r="A3" s="55">
        <v>2001</v>
      </c>
      <c r="B3" s="58"/>
      <c r="C3" s="58"/>
      <c r="D3" s="58"/>
      <c r="E3" s="56"/>
      <c r="F3" s="56"/>
      <c r="G3" s="56"/>
      <c r="H3" s="56"/>
      <c r="I3" s="58"/>
      <c r="J3" s="58"/>
    </row>
    <row r="4" spans="1:10" ht="15">
      <c r="A4" s="55">
        <v>2002</v>
      </c>
      <c r="B4" s="56"/>
      <c r="C4" s="56"/>
      <c r="D4" s="56"/>
      <c r="E4" s="56"/>
      <c r="F4" s="56"/>
      <c r="G4" s="56"/>
      <c r="H4" s="56"/>
      <c r="I4" s="56"/>
      <c r="J4" s="58"/>
    </row>
    <row r="5" spans="1:10" ht="15">
      <c r="A5" s="55">
        <v>2003</v>
      </c>
      <c r="B5" s="56">
        <v>38064.333333333336</v>
      </c>
      <c r="C5" s="56">
        <v>3248.6666666666665</v>
      </c>
      <c r="D5" s="56">
        <v>461</v>
      </c>
      <c r="E5" s="56">
        <v>36.833333333333336</v>
      </c>
      <c r="F5" s="56">
        <v>4</v>
      </c>
      <c r="G5" s="56">
        <v>10876</v>
      </c>
      <c r="H5" s="56">
        <v>29.666666666666668</v>
      </c>
      <c r="I5" s="56">
        <v>587.6666666666666</v>
      </c>
      <c r="J5" s="58">
        <v>53308.166666666664</v>
      </c>
    </row>
    <row r="6" spans="1:10" ht="15">
      <c r="A6" s="55">
        <v>2004</v>
      </c>
      <c r="B6" s="56">
        <v>39400.5</v>
      </c>
      <c r="C6" s="56">
        <v>3323.8333333333335</v>
      </c>
      <c r="D6" s="56">
        <v>487.8333333333333</v>
      </c>
      <c r="E6" s="56">
        <v>38</v>
      </c>
      <c r="F6" s="56">
        <v>4</v>
      </c>
      <c r="G6" s="56">
        <v>11253</v>
      </c>
      <c r="H6" s="56">
        <v>29.416666666666668</v>
      </c>
      <c r="I6" s="56">
        <v>601.5</v>
      </c>
      <c r="J6" s="58">
        <v>55138.083333333336</v>
      </c>
    </row>
    <row r="7" spans="1:10" ht="15">
      <c r="A7" s="55">
        <v>2005</v>
      </c>
      <c r="B7" s="56">
        <v>40692.083333333336</v>
      </c>
      <c r="C7" s="56">
        <v>3421.9166666666665</v>
      </c>
      <c r="D7" s="56">
        <v>497.6666666666667</v>
      </c>
      <c r="E7" s="56">
        <v>38.666666666666664</v>
      </c>
      <c r="F7" s="56">
        <v>4</v>
      </c>
      <c r="G7" s="56">
        <v>11838</v>
      </c>
      <c r="H7" s="56">
        <v>31</v>
      </c>
      <c r="I7" s="56">
        <v>595.1666666666666</v>
      </c>
      <c r="J7" s="58">
        <v>57118.5</v>
      </c>
    </row>
    <row r="8" spans="1:10" ht="15">
      <c r="A8" s="55">
        <v>2006</v>
      </c>
      <c r="B8" s="56">
        <v>41642.5</v>
      </c>
      <c r="C8" s="56">
        <v>3468.416666666667</v>
      </c>
      <c r="D8" s="56">
        <v>509.8333333333333</v>
      </c>
      <c r="E8" s="56">
        <v>40</v>
      </c>
      <c r="F8" s="56">
        <v>4</v>
      </c>
      <c r="G8" s="56">
        <v>12237</v>
      </c>
      <c r="H8" s="56">
        <v>30.583333333333332</v>
      </c>
      <c r="I8" s="56">
        <v>580.8333333333334</v>
      </c>
      <c r="J8" s="58">
        <v>58513.16666666667</v>
      </c>
    </row>
    <row r="9" spans="1:10" ht="15">
      <c r="A9" s="55">
        <v>2007</v>
      </c>
      <c r="B9" s="56">
        <v>42728.25</v>
      </c>
      <c r="C9" s="56">
        <v>3533.916666666667</v>
      </c>
      <c r="D9" s="56">
        <v>520.8333333333334</v>
      </c>
      <c r="E9" s="56">
        <v>40.833333333333336</v>
      </c>
      <c r="F9" s="56">
        <v>4</v>
      </c>
      <c r="G9" s="56">
        <v>12574</v>
      </c>
      <c r="H9" s="56">
        <v>29</v>
      </c>
      <c r="I9" s="56">
        <v>579.3333333333334</v>
      </c>
      <c r="J9" s="58">
        <v>60010.16666666667</v>
      </c>
    </row>
    <row r="10" spans="1:10" ht="15">
      <c r="A10" s="55">
        <v>2008</v>
      </c>
      <c r="B10" s="56">
        <v>43746.91666666667</v>
      </c>
      <c r="C10" s="56">
        <v>3580.8333333333335</v>
      </c>
      <c r="D10" s="56">
        <v>539.0833333333334</v>
      </c>
      <c r="E10" s="56">
        <v>40.916666666666664</v>
      </c>
      <c r="F10" s="56">
        <v>4</v>
      </c>
      <c r="G10" s="56">
        <v>12781</v>
      </c>
      <c r="H10" s="56">
        <v>27.833333333333332</v>
      </c>
      <c r="I10" s="56">
        <v>580.1666666666666</v>
      </c>
      <c r="J10" s="58">
        <v>61300.75</v>
      </c>
    </row>
    <row r="11" spans="1:10" ht="15">
      <c r="A11" s="55">
        <v>2009</v>
      </c>
      <c r="B11" s="56">
        <v>44583.5</v>
      </c>
      <c r="C11" s="56">
        <v>3623.75</v>
      </c>
      <c r="D11" s="56">
        <v>537.5</v>
      </c>
      <c r="E11" s="56">
        <v>41</v>
      </c>
      <c r="F11" s="56">
        <v>4</v>
      </c>
      <c r="G11" s="56">
        <v>12860</v>
      </c>
      <c r="H11" s="56">
        <v>28.083333333333332</v>
      </c>
      <c r="I11" s="56">
        <v>582.25</v>
      </c>
      <c r="J11" s="58">
        <v>62260.083333333336</v>
      </c>
    </row>
    <row r="12" spans="1:10" ht="15">
      <c r="A12" s="55">
        <v>2010</v>
      </c>
      <c r="B12" s="56">
        <v>45476.583333333336</v>
      </c>
      <c r="C12" s="56">
        <v>3660.75</v>
      </c>
      <c r="D12" s="56">
        <v>543.1666666666666</v>
      </c>
      <c r="E12" s="56">
        <v>42</v>
      </c>
      <c r="F12" s="56">
        <v>4</v>
      </c>
      <c r="G12" s="56">
        <v>12947.5</v>
      </c>
      <c r="H12" s="56">
        <v>26.583333333333332</v>
      </c>
      <c r="I12" s="56">
        <v>583.9166666666666</v>
      </c>
      <c r="J12" s="58">
        <v>63284.5</v>
      </c>
    </row>
    <row r="13" spans="1:10" ht="15">
      <c r="A13" s="55">
        <v>2011</v>
      </c>
      <c r="B13" s="59">
        <v>46647.28191664726</v>
      </c>
      <c r="C13" s="59">
        <v>3723.739958950999</v>
      </c>
      <c r="D13" s="59">
        <v>556.0439713406029</v>
      </c>
      <c r="E13" s="59">
        <v>42.795029349079286</v>
      </c>
      <c r="F13" s="59">
        <v>4</v>
      </c>
      <c r="G13" s="59">
        <v>13274.023864191058</v>
      </c>
      <c r="H13" s="59">
        <v>26.169833735475972</v>
      </c>
      <c r="I13" s="59">
        <v>583.3829093719154</v>
      </c>
      <c r="J13" s="60">
        <v>64857.43748358639</v>
      </c>
    </row>
    <row r="14" spans="1:10" ht="15">
      <c r="A14" s="55">
        <v>2012</v>
      </c>
      <c r="B14" s="59">
        <v>47848.117662265744</v>
      </c>
      <c r="C14" s="59">
        <v>3787.813776381449</v>
      </c>
      <c r="D14" s="59">
        <v>569.2265690044109</v>
      </c>
      <c r="E14" s="59">
        <v>43.60510802353708</v>
      </c>
      <c r="F14" s="59">
        <v>4</v>
      </c>
      <c r="G14" s="59">
        <v>13608.782355444195</v>
      </c>
      <c r="H14" s="59">
        <v>25.762766059277354</v>
      </c>
      <c r="I14" s="59">
        <v>582.849639983857</v>
      </c>
      <c r="J14" s="59">
        <v>66470.15787716248</v>
      </c>
    </row>
    <row r="15" spans="1:10" ht="15">
      <c r="A15" s="61" t="s">
        <v>20</v>
      </c>
      <c r="B15" s="62"/>
      <c r="C15" s="62"/>
      <c r="D15" s="62"/>
      <c r="E15" s="62"/>
      <c r="F15" s="62"/>
      <c r="G15" s="62"/>
      <c r="H15" s="62"/>
      <c r="I15" s="62"/>
      <c r="J15" s="54"/>
    </row>
    <row r="16" spans="1:10" ht="15">
      <c r="A16" s="55">
        <v>2000</v>
      </c>
      <c r="B16" s="63"/>
      <c r="C16" s="63"/>
      <c r="D16" s="63"/>
      <c r="E16" s="63"/>
      <c r="F16" s="63"/>
      <c r="G16" s="63"/>
      <c r="H16" s="63"/>
      <c r="I16" s="63"/>
      <c r="J16" s="54"/>
    </row>
    <row r="17" spans="1:10" ht="15">
      <c r="A17" s="55">
        <v>2001</v>
      </c>
      <c r="B17" s="63"/>
      <c r="C17" s="63"/>
      <c r="D17" s="63"/>
      <c r="E17" s="63"/>
      <c r="F17" s="63"/>
      <c r="G17" s="63"/>
      <c r="H17" s="63"/>
      <c r="I17" s="63"/>
      <c r="J17" s="54"/>
    </row>
    <row r="18" spans="1:10" ht="15">
      <c r="A18" s="55">
        <v>2002</v>
      </c>
      <c r="B18" s="63"/>
      <c r="C18" s="63"/>
      <c r="D18" s="63"/>
      <c r="E18" s="63"/>
      <c r="F18" s="63"/>
      <c r="G18" s="63"/>
      <c r="H18" s="63"/>
      <c r="I18" s="63"/>
      <c r="J18" s="54"/>
    </row>
    <row r="19" spans="1:10" ht="15">
      <c r="A19" s="55">
        <v>2003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15">
      <c r="A20" s="55">
        <v>2004</v>
      </c>
      <c r="B20" s="63">
        <v>1.0351028521888381</v>
      </c>
      <c r="C20" s="63">
        <v>1.0231376975169302</v>
      </c>
      <c r="D20" s="63">
        <v>1.0582067968185105</v>
      </c>
      <c r="E20" s="63">
        <v>1.0316742081447963</v>
      </c>
      <c r="F20" s="63">
        <v>1</v>
      </c>
      <c r="G20" s="63">
        <v>1.0346634792203016</v>
      </c>
      <c r="H20" s="63">
        <v>0.9915730337078652</v>
      </c>
      <c r="I20" s="63">
        <v>1.023539421440726</v>
      </c>
      <c r="J20" s="63">
        <v>1.0343271356171195</v>
      </c>
    </row>
    <row r="21" spans="1:10" ht="15">
      <c r="A21" s="55">
        <v>2005</v>
      </c>
      <c r="B21" s="63">
        <v>1.032780886875378</v>
      </c>
      <c r="C21" s="63">
        <v>1.0295091009376722</v>
      </c>
      <c r="D21" s="63">
        <v>1.020157157499146</v>
      </c>
      <c r="E21" s="63">
        <v>1.0175438596491226</v>
      </c>
      <c r="F21" s="63">
        <v>1</v>
      </c>
      <c r="G21" s="63">
        <v>1.0519861370301253</v>
      </c>
      <c r="H21" s="63">
        <v>1.0538243626062322</v>
      </c>
      <c r="I21" s="63">
        <v>0.9894707675256303</v>
      </c>
      <c r="J21" s="63">
        <v>1.0359174013121601</v>
      </c>
    </row>
    <row r="22" spans="1:10" ht="15">
      <c r="A22" s="55">
        <v>2006</v>
      </c>
      <c r="B22" s="63">
        <v>1.0233563039493758</v>
      </c>
      <c r="C22" s="63">
        <v>1.0135888756301294</v>
      </c>
      <c r="D22" s="63">
        <v>1.024447421299397</v>
      </c>
      <c r="E22" s="63">
        <v>1.0344827586206897</v>
      </c>
      <c r="F22" s="63">
        <v>1</v>
      </c>
      <c r="G22" s="63">
        <v>1.033705017739483</v>
      </c>
      <c r="H22" s="63">
        <v>0.9865591397849462</v>
      </c>
      <c r="I22" s="63">
        <v>0.9759171100532065</v>
      </c>
      <c r="J22" s="63">
        <v>1.024417074444649</v>
      </c>
    </row>
    <row r="23" spans="1:10" ht="15">
      <c r="A23" s="55">
        <v>2007</v>
      </c>
      <c r="B23" s="63">
        <v>1.0260731224109985</v>
      </c>
      <c r="C23" s="63">
        <v>1.018884697628601</v>
      </c>
      <c r="D23" s="63">
        <v>1.0215756783262506</v>
      </c>
      <c r="E23" s="63">
        <v>1.0208333333333335</v>
      </c>
      <c r="F23" s="63">
        <v>1</v>
      </c>
      <c r="G23" s="63">
        <v>1.0275394295987579</v>
      </c>
      <c r="H23" s="63">
        <v>0.9482288828337875</v>
      </c>
      <c r="I23" s="63">
        <v>0.9974175035868006</v>
      </c>
      <c r="J23" s="63">
        <v>1.025583985370814</v>
      </c>
    </row>
    <row r="24" spans="1:10" ht="15">
      <c r="A24" s="55">
        <v>2008</v>
      </c>
      <c r="B24" s="63">
        <v>1.023840589461695</v>
      </c>
      <c r="C24" s="63">
        <v>1.0132761100761667</v>
      </c>
      <c r="D24" s="63">
        <v>1.03504</v>
      </c>
      <c r="E24" s="63">
        <v>1.0020408163265304</v>
      </c>
      <c r="F24" s="63">
        <v>1</v>
      </c>
      <c r="G24" s="63">
        <v>1.0164625417528232</v>
      </c>
      <c r="H24" s="63">
        <v>0.9597701149425287</v>
      </c>
      <c r="I24" s="63">
        <v>1.0014384349827385</v>
      </c>
      <c r="J24" s="63">
        <v>1.0215060781367602</v>
      </c>
    </row>
    <row r="25" spans="1:10" ht="15">
      <c r="A25" s="55">
        <v>2009</v>
      </c>
      <c r="B25" s="63">
        <v>1.01912325249589</v>
      </c>
      <c r="C25" s="63">
        <v>1.0119851058878286</v>
      </c>
      <c r="D25" s="63">
        <v>0.9970629154428814</v>
      </c>
      <c r="E25" s="63">
        <v>1.0020366598778006</v>
      </c>
      <c r="F25" s="63">
        <v>1</v>
      </c>
      <c r="G25" s="63">
        <v>1.006181049996088</v>
      </c>
      <c r="H25" s="63">
        <v>1.0089820359281436</v>
      </c>
      <c r="I25" s="63">
        <v>1.003590922148808</v>
      </c>
      <c r="J25" s="63">
        <v>1.0156496182074988</v>
      </c>
    </row>
    <row r="26" spans="1:10" ht="15">
      <c r="A26" s="55">
        <v>2010</v>
      </c>
      <c r="B26" s="63">
        <v>1.0200317008160718</v>
      </c>
      <c r="C26" s="63">
        <v>1.0102104173853053</v>
      </c>
      <c r="D26" s="63">
        <v>1.0105426356589147</v>
      </c>
      <c r="E26" s="63">
        <v>1.024390243902439</v>
      </c>
      <c r="F26" s="63">
        <v>1</v>
      </c>
      <c r="G26" s="63">
        <v>1.0068040435458787</v>
      </c>
      <c r="H26" s="63">
        <v>0.9465875370919882</v>
      </c>
      <c r="I26" s="63">
        <v>1.002862458852154</v>
      </c>
      <c r="J26" s="63">
        <v>1.0164538274255441</v>
      </c>
    </row>
    <row r="27" spans="1:10" ht="15">
      <c r="A27" s="51" t="s">
        <v>21</v>
      </c>
      <c r="B27" s="64">
        <v>1.0257428878227937</v>
      </c>
      <c r="C27" s="64">
        <v>1.0172068453051968</v>
      </c>
      <c r="D27" s="64">
        <v>1.0237078330910148</v>
      </c>
      <c r="E27" s="64">
        <v>1.0189292702161734</v>
      </c>
      <c r="F27" s="64">
        <v>1</v>
      </c>
      <c r="G27" s="64">
        <v>1.0252190665526981</v>
      </c>
      <c r="H27" s="64">
        <v>0.9844451561934535</v>
      </c>
      <c r="I27" s="64">
        <v>0.999085901593119</v>
      </c>
      <c r="J27" s="64">
        <v>1.0248100419247985</v>
      </c>
    </row>
    <row r="28" spans="1:10" ht="15">
      <c r="A28" s="51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5">
      <c r="A29" s="51" t="s">
        <v>22</v>
      </c>
      <c r="B29" s="64">
        <v>1.0257428878227937</v>
      </c>
      <c r="C29" s="64">
        <v>1.0172068453051968</v>
      </c>
      <c r="D29" s="64">
        <v>1.0237078330910148</v>
      </c>
      <c r="E29" s="64">
        <v>1.0189292702161734</v>
      </c>
      <c r="F29" s="64">
        <v>1</v>
      </c>
      <c r="G29" s="64">
        <v>1.0252190665526981</v>
      </c>
      <c r="H29" s="64">
        <v>0.9844451561934535</v>
      </c>
      <c r="I29" s="64">
        <v>0.999085901593119</v>
      </c>
      <c r="J29" s="64">
        <v>1.0248100419247985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birceanu</dc:creator>
  <cp:keywords/>
  <dc:description/>
  <cp:lastModifiedBy>Keith C. Ritchie</cp:lastModifiedBy>
  <cp:lastPrinted>2012-03-01T20:25:22Z</cp:lastPrinted>
  <dcterms:created xsi:type="dcterms:W3CDTF">2011-11-02T13:19:14Z</dcterms:created>
  <dcterms:modified xsi:type="dcterms:W3CDTF">2012-05-14T18:58:44Z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