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Cover" sheetId="1" r:id="rId1"/>
    <sheet name="Rates" sheetId="2" r:id="rId2"/>
    <sheet name="Residential" sheetId="3" r:id="rId3"/>
    <sheet name="Residential Non-RPP" sheetId="4" r:id="rId4"/>
    <sheet name="GS &lt; 50" sheetId="5" r:id="rId5"/>
    <sheet name="GS &lt; 50 Non-RPP" sheetId="6" r:id="rId6"/>
    <sheet name="GS&gt;50" sheetId="7" r:id="rId7"/>
    <sheet name="GS&gt;50 Non-RPP" sheetId="8" r:id="rId8"/>
    <sheet name="USL" sheetId="9" r:id="rId9"/>
    <sheet name="Sentinel" sheetId="10" r:id="rId10"/>
    <sheet name="Streetlighting" sheetId="11" r:id="rId11"/>
    <sheet name="Streetlighting Non-RPP" sheetId="12" r:id="rId12"/>
    <sheet name="Summary" sheetId="13" r:id="rId13"/>
  </sheets>
  <definedNames/>
  <calcPr fullCalcOnLoad="1"/>
</workbook>
</file>

<file path=xl/sharedStrings.xml><?xml version="1.0" encoding="utf-8"?>
<sst xmlns="http://schemas.openxmlformats.org/spreadsheetml/2006/main" count="732" uniqueCount="99">
  <si>
    <t>Monthly Rates and Charges</t>
  </si>
  <si>
    <t>Monthly Service Charge</t>
  </si>
  <si>
    <t>Distribution Volumetric Rate</t>
  </si>
  <si>
    <t>Retail Transmission Rate - Network Service Rate</t>
  </si>
  <si>
    <t>Retail Transmission Rate - Line and Transformation Connection Service Rate</t>
  </si>
  <si>
    <t>Wholesale Market Service Rate</t>
  </si>
  <si>
    <t>Rural Rate Protection Charge</t>
  </si>
  <si>
    <t>Street Lighting</t>
  </si>
  <si>
    <t>$</t>
  </si>
  <si>
    <t>$/kWh</t>
  </si>
  <si>
    <t>$/kW</t>
  </si>
  <si>
    <t>Debt Retirement Charge</t>
  </si>
  <si>
    <t>%</t>
  </si>
  <si>
    <t>Loss Factor</t>
  </si>
  <si>
    <t>Metric</t>
  </si>
  <si>
    <t>kWh</t>
  </si>
  <si>
    <t>kW</t>
  </si>
  <si>
    <t>RPP Tier One</t>
  </si>
  <si>
    <t>Total:    Retail Transmission</t>
  </si>
  <si>
    <t>Total Bill</t>
  </si>
  <si>
    <t>% of Total Bill</t>
  </si>
  <si>
    <t>Energy, First Tier (kWh)</t>
  </si>
  <si>
    <t>Energy, Second Tier (kWh)</t>
  </si>
  <si>
    <t>Rate</t>
  </si>
  <si>
    <t>Charge</t>
  </si>
  <si>
    <t>Sub-Total:    Energy</t>
  </si>
  <si>
    <t>Total:    Distribution</t>
  </si>
  <si>
    <t>Sub-Total:    Delivery (Distribution and Retail Transmission)</t>
  </si>
  <si>
    <t>Sub-Total:    Regulatory</t>
  </si>
  <si>
    <t>Total Bill Before Taxes</t>
  </si>
  <si>
    <t>Impacts</t>
  </si>
  <si>
    <t>Current Approved Rates</t>
  </si>
  <si>
    <t>2013 Distribution Rate Impact Module</t>
  </si>
  <si>
    <t>General Service Less Than 50kW</t>
  </si>
  <si>
    <t>Rate Rider for Tax Change - effective until April 30, 2013</t>
  </si>
  <si>
    <t>Standard Supply Service - Administrative Charge (if applicable)</t>
  </si>
  <si>
    <t>General Service 50kW to 4,999kW</t>
  </si>
  <si>
    <t xml:space="preserve">Unmetered Scattered Load </t>
  </si>
  <si>
    <t xml:space="preserve">Sentinel Lighting </t>
  </si>
  <si>
    <t>microFIT Generator</t>
  </si>
  <si>
    <t>Service Charge</t>
  </si>
  <si>
    <t>Transformer Allowance for Ownership - per kW of billing demand/month</t>
  </si>
  <si>
    <t>Primary Metering Allowance for transformer losses - applied to measured demand and energy</t>
  </si>
  <si>
    <t>Total Loss Factor - Secondary Metered Customer &lt;5,000 kW</t>
  </si>
  <si>
    <t>Total Loss Factor - Primary Metered Customer &lt;5,000 kW</t>
  </si>
  <si>
    <t>Rate Rider for Deferral/Variance Account Disposition (2012) - effective until April 30, 2013</t>
  </si>
  <si>
    <t>Residential</t>
  </si>
  <si>
    <t>EB-2012-0112</t>
  </si>
  <si>
    <t>Rate Rider for Deferral/Variance Account Disposition (2013) - effective until December 31, 2013</t>
  </si>
  <si>
    <t>Rate Rider for Tax Change - effective until December 31, 2013</t>
  </si>
  <si>
    <t>Rate Rider for Stranded Meters - effective until December 31, 2013</t>
  </si>
  <si>
    <t>Rate Rider for Smart Meter Disposition - effective until December 31, 2013</t>
  </si>
  <si>
    <t>Allowances</t>
  </si>
  <si>
    <t>Consumption - Up-lifted Portion</t>
  </si>
  <si>
    <t>Consumption - Total</t>
  </si>
  <si>
    <t>Volume / Demand</t>
  </si>
  <si>
    <t>Proposed Rates</t>
  </si>
  <si>
    <t>HST</t>
  </si>
  <si>
    <t>Total Bill Before Taxes and OCEB</t>
  </si>
  <si>
    <t>Total Bill Before OCEB</t>
  </si>
  <si>
    <t>OCEB</t>
  </si>
  <si>
    <t>OCEB Credit</t>
  </si>
  <si>
    <t>RPP Energy First Tier Price</t>
  </si>
  <si>
    <t>RPP Energy Second Tier Price</t>
  </si>
  <si>
    <t>RPP Energy First Tier Threshold</t>
  </si>
  <si>
    <t>Energy Non-RPP Price</t>
  </si>
  <si>
    <t>Energy Non-RPP Global Adjustment</t>
  </si>
  <si>
    <t>Global Adjustment</t>
  </si>
  <si>
    <t>Energy</t>
  </si>
  <si>
    <t>Customer Classification and Billing Type</t>
  </si>
  <si>
    <t>Demand</t>
  </si>
  <si>
    <t>Monthly Delivery Charge</t>
  </si>
  <si>
    <t>Current</t>
  </si>
  <si>
    <t>Per Application</t>
  </si>
  <si>
    <t>Change</t>
  </si>
  <si>
    <t xml:space="preserve">Residential  </t>
  </si>
  <si>
    <t>Residential Non-RPP</t>
  </si>
  <si>
    <t>GS&lt;50 kW</t>
  </si>
  <si>
    <t>GS&lt;50 kW Non-RPP</t>
  </si>
  <si>
    <t>GS&gt;50 kW</t>
  </si>
  <si>
    <t>GS&gt;50 kW Non-RPP</t>
  </si>
  <si>
    <t>Street Lighting Non-RPP</t>
  </si>
  <si>
    <t>2013 Electricity Distribution Rate Application</t>
  </si>
  <si>
    <t>Monthly Service Charge Rate Rider</t>
  </si>
  <si>
    <t>Distribution Volumetric Rate Rider</t>
  </si>
  <si>
    <t>Rate Rider for Global Adjustment Sub-Account Disposition (2012) - effective until April 30, 2013 Applicable only for Non-RPP Customers</t>
  </si>
  <si>
    <t>Rate Rider for Global Adjustment Sub-Account Disposition (2013) - effective until December 31, 2013 Applicable only for Non-RPP Customers</t>
  </si>
  <si>
    <t>Smart Meter Rate Rider</t>
  </si>
  <si>
    <t>Consumption</t>
  </si>
  <si>
    <t>Load Factor</t>
  </si>
  <si>
    <t>Proposed</t>
  </si>
  <si>
    <t>USL</t>
  </si>
  <si>
    <t>Low Voltage Service Rate</t>
  </si>
  <si>
    <t>Canadian Niagara Power Inc. - Gananoque</t>
  </si>
  <si>
    <t>CNPI - Gananoque Existing and Proposed Rates</t>
  </si>
  <si>
    <t>Rate Rider for PILS - effective until December 31, 2014</t>
  </si>
  <si>
    <t>Selected Delivery Charge and Bill Impacts Per Application                                                        Gananoque</t>
  </si>
  <si>
    <t>May11, 2012</t>
  </si>
  <si>
    <t>Based on Alternative Tariff of Rates &amp; Charges Exhibit 1 Tab 1 Schedule 3 Appendix 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</si>
</sst>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(* #,##0.0000_);_(* \(#,##0.0000\);_(* &quot;-&quot;??_);_(@_)"/>
    <numFmt numFmtId="166" formatCode="0.0%"/>
    <numFmt numFmtId="167" formatCode="0.0000"/>
    <numFmt numFmtId="168" formatCode="_(* #,##0_);_(* \(#,##0\);_(* &quot;-&quot;??_);_(@_)"/>
    <numFmt numFmtId="169" formatCode="_(* #,##0.0_);_(* \(#,##0.0\);_(* &quot;-&quot;??_);_(@_)"/>
    <numFmt numFmtId="170" formatCode="0.0"/>
  </numFmts>
  <fonts count="47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26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43" fontId="0" fillId="0" borderId="0" xfId="42" applyFont="1" applyAlignment="1">
      <alignment/>
    </xf>
    <xf numFmtId="165" fontId="0" fillId="0" borderId="0" xfId="42" applyNumberFormat="1" applyFont="1" applyAlignment="1">
      <alignment/>
    </xf>
    <xf numFmtId="166" fontId="0" fillId="0" borderId="0" xfId="57" applyNumberFormat="1" applyFont="1" applyAlignment="1">
      <alignment/>
    </xf>
    <xf numFmtId="166" fontId="0" fillId="0" borderId="0" xfId="0" applyNumberForma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7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10" fontId="5" fillId="0" borderId="10" xfId="57" applyNumberFormat="1" applyFont="1" applyBorder="1" applyAlignment="1">
      <alignment horizontal="center"/>
    </xf>
    <xf numFmtId="10" fontId="5" fillId="0" borderId="11" xfId="57" applyNumberFormat="1" applyFont="1" applyBorder="1" applyAlignment="1">
      <alignment horizontal="center"/>
    </xf>
    <xf numFmtId="10" fontId="0" fillId="0" borderId="0" xfId="57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3" fontId="0" fillId="0" borderId="0" xfId="42" applyFont="1" applyFill="1" applyAlignment="1">
      <alignment/>
    </xf>
    <xf numFmtId="165" fontId="0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9" fontId="0" fillId="0" borderId="0" xfId="57" applyFont="1" applyFill="1" applyAlignment="1">
      <alignment/>
    </xf>
    <xf numFmtId="0" fontId="0" fillId="0" borderId="0" xfId="0" applyFont="1" applyAlignment="1">
      <alignment wrapText="1"/>
    </xf>
    <xf numFmtId="0" fontId="5" fillId="0" borderId="12" xfId="0" applyFont="1" applyBorder="1" applyAlignment="1">
      <alignment horizontal="left" wrapText="1"/>
    </xf>
    <xf numFmtId="43" fontId="0" fillId="0" borderId="0" xfId="42" applyNumberFormat="1" applyFont="1" applyAlignment="1">
      <alignment/>
    </xf>
    <xf numFmtId="167" fontId="0" fillId="0" borderId="0" xfId="0" applyNumberForma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 indent="1"/>
    </xf>
    <xf numFmtId="0" fontId="5" fillId="33" borderId="13" xfId="0" applyFont="1" applyFill="1" applyBorder="1" applyAlignment="1">
      <alignment horizontal="center"/>
    </xf>
    <xf numFmtId="9" fontId="0" fillId="0" borderId="0" xfId="57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/>
    </xf>
    <xf numFmtId="1" fontId="0" fillId="0" borderId="0" xfId="0" applyNumberFormat="1" applyAlignment="1">
      <alignment/>
    </xf>
    <xf numFmtId="165" fontId="0" fillId="0" borderId="0" xfId="42" applyNumberFormat="1" applyFont="1" applyFill="1" applyAlignment="1">
      <alignment/>
    </xf>
    <xf numFmtId="0" fontId="10" fillId="0" borderId="0" xfId="0" applyFont="1" applyAlignment="1">
      <alignment/>
    </xf>
    <xf numFmtId="0" fontId="10" fillId="0" borderId="14" xfId="0" applyFont="1" applyBorder="1" applyAlignment="1">
      <alignment horizontal="center"/>
    </xf>
    <xf numFmtId="0" fontId="10" fillId="34" borderId="15" xfId="0" applyFont="1" applyFill="1" applyBorder="1" applyAlignment="1">
      <alignment/>
    </xf>
    <xf numFmtId="0" fontId="10" fillId="0" borderId="16" xfId="0" applyFont="1" applyBorder="1" applyAlignment="1">
      <alignment horizontal="center"/>
    </xf>
    <xf numFmtId="0" fontId="10" fillId="34" borderId="0" xfId="0" applyFont="1" applyFill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10" fillId="34" borderId="19" xfId="0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/>
    </xf>
    <xf numFmtId="164" fontId="10" fillId="0" borderId="10" xfId="0" applyNumberFormat="1" applyFont="1" applyBorder="1" applyAlignment="1">
      <alignment/>
    </xf>
    <xf numFmtId="166" fontId="10" fillId="0" borderId="11" xfId="0" applyNumberFormat="1" applyFont="1" applyBorder="1" applyAlignment="1">
      <alignment horizontal="center"/>
    </xf>
    <xf numFmtId="0" fontId="10" fillId="0" borderId="20" xfId="0" applyFont="1" applyBorder="1" applyAlignment="1">
      <alignment/>
    </xf>
    <xf numFmtId="0" fontId="10" fillId="34" borderId="21" xfId="0" applyFont="1" applyFill="1" applyBorder="1" applyAlignment="1">
      <alignment/>
    </xf>
    <xf numFmtId="164" fontId="10" fillId="0" borderId="22" xfId="0" applyNumberFormat="1" applyFont="1" applyBorder="1" applyAlignment="1">
      <alignment/>
    </xf>
    <xf numFmtId="166" fontId="10" fillId="0" borderId="23" xfId="0" applyNumberFormat="1" applyFont="1" applyBorder="1" applyAlignment="1">
      <alignment horizontal="center"/>
    </xf>
    <xf numFmtId="0" fontId="10" fillId="34" borderId="10" xfId="0" applyFont="1" applyFill="1" applyBorder="1" applyAlignment="1">
      <alignment/>
    </xf>
    <xf numFmtId="168" fontId="10" fillId="0" borderId="10" xfId="42" applyNumberFormat="1" applyFont="1" applyBorder="1" applyAlignment="1">
      <alignment/>
    </xf>
    <xf numFmtId="168" fontId="10" fillId="0" borderId="22" xfId="42" applyNumberFormat="1" applyFont="1" applyBorder="1" applyAlignment="1">
      <alignment/>
    </xf>
    <xf numFmtId="168" fontId="10" fillId="34" borderId="10" xfId="42" applyNumberFormat="1" applyFont="1" applyFill="1" applyBorder="1" applyAlignment="1">
      <alignment/>
    </xf>
    <xf numFmtId="0" fontId="0" fillId="0" borderId="0" xfId="0" applyAlignment="1">
      <alignment horizontal="center" vertical="center"/>
    </xf>
    <xf numFmtId="165" fontId="0" fillId="0" borderId="0" xfId="42" applyNumberFormat="1" applyFont="1" applyAlignment="1">
      <alignment vertical="center"/>
    </xf>
    <xf numFmtId="10" fontId="0" fillId="0" borderId="0" xfId="57" applyNumberFormat="1" applyFont="1" applyAlignment="1">
      <alignment vertical="center"/>
    </xf>
    <xf numFmtId="165" fontId="0" fillId="0" borderId="0" xfId="42" applyNumberFormat="1" applyFont="1" applyFill="1" applyAlignment="1">
      <alignment vertic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43" fontId="5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43" fontId="5" fillId="0" borderId="10" xfId="0" applyNumberFormat="1" applyFont="1" applyBorder="1" applyAlignment="1">
      <alignment/>
    </xf>
    <xf numFmtId="165" fontId="5" fillId="0" borderId="10" xfId="0" applyNumberFormat="1" applyFont="1" applyBorder="1" applyAlignment="1">
      <alignment/>
    </xf>
    <xf numFmtId="0" fontId="4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5" fillId="0" borderId="12" xfId="0" applyFont="1" applyBorder="1" applyAlignment="1">
      <alignment wrapText="1"/>
    </xf>
    <xf numFmtId="43" fontId="5" fillId="0" borderId="11" xfId="0" applyNumberFormat="1" applyFont="1" applyBorder="1" applyAlignment="1">
      <alignment/>
    </xf>
    <xf numFmtId="165" fontId="5" fillId="0" borderId="11" xfId="0" applyNumberFormat="1" applyFont="1" applyBorder="1" applyAlignment="1">
      <alignment/>
    </xf>
    <xf numFmtId="0" fontId="5" fillId="0" borderId="20" xfId="0" applyFont="1" applyBorder="1" applyAlignment="1">
      <alignment wrapText="1"/>
    </xf>
    <xf numFmtId="0" fontId="5" fillId="0" borderId="22" xfId="0" applyFont="1" applyBorder="1" applyAlignment="1">
      <alignment horizontal="center"/>
    </xf>
    <xf numFmtId="43" fontId="5" fillId="0" borderId="22" xfId="0" applyNumberFormat="1" applyFont="1" applyBorder="1" applyAlignment="1">
      <alignment/>
    </xf>
    <xf numFmtId="43" fontId="5" fillId="0" borderId="23" xfId="0" applyNumberFormat="1" applyFont="1" applyBorder="1" applyAlignment="1">
      <alignment/>
    </xf>
    <xf numFmtId="168" fontId="5" fillId="0" borderId="10" xfId="42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3" fillId="0" borderId="24" xfId="0" applyFont="1" applyBorder="1" applyAlignment="1">
      <alignment/>
    </xf>
    <xf numFmtId="168" fontId="5" fillId="35" borderId="25" xfId="42" applyNumberFormat="1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3" fillId="0" borderId="20" xfId="0" applyFont="1" applyBorder="1" applyAlignment="1">
      <alignment/>
    </xf>
    <xf numFmtId="168" fontId="5" fillId="0" borderId="22" xfId="42" applyNumberFormat="1" applyFont="1" applyFill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35" borderId="28" xfId="0" applyFont="1" applyFill="1" applyBorder="1" applyAlignment="1">
      <alignment/>
    </xf>
    <xf numFmtId="0" fontId="5" fillId="0" borderId="25" xfId="0" applyFont="1" applyBorder="1" applyAlignment="1">
      <alignment horizontal="left"/>
    </xf>
    <xf numFmtId="0" fontId="6" fillId="0" borderId="29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6" fillId="30" borderId="10" xfId="0" applyFont="1" applyFill="1" applyBorder="1" applyAlignment="1">
      <alignment/>
    </xf>
    <xf numFmtId="0" fontId="5" fillId="30" borderId="10" xfId="0" applyFont="1" applyFill="1" applyBorder="1" applyAlignment="1">
      <alignment horizontal="center"/>
    </xf>
    <xf numFmtId="0" fontId="5" fillId="30" borderId="10" xfId="0" applyFont="1" applyFill="1" applyBorder="1" applyAlignment="1">
      <alignment/>
    </xf>
    <xf numFmtId="2" fontId="5" fillId="30" borderId="10" xfId="0" applyNumberFormat="1" applyFont="1" applyFill="1" applyBorder="1" applyAlignment="1">
      <alignment horizontal="center"/>
    </xf>
    <xf numFmtId="10" fontId="5" fillId="30" borderId="10" xfId="57" applyNumberFormat="1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6" fillId="37" borderId="10" xfId="0" applyFont="1" applyFill="1" applyBorder="1" applyAlignment="1">
      <alignment wrapText="1"/>
    </xf>
    <xf numFmtId="0" fontId="5" fillId="37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/>
    </xf>
    <xf numFmtId="0" fontId="5" fillId="37" borderId="10" xfId="0" applyNumberFormat="1" applyFont="1" applyFill="1" applyBorder="1" applyAlignment="1">
      <alignment horizontal="center"/>
    </xf>
    <xf numFmtId="2" fontId="5" fillId="37" borderId="10" xfId="0" applyNumberFormat="1" applyFont="1" applyFill="1" applyBorder="1" applyAlignment="1">
      <alignment horizontal="center"/>
    </xf>
    <xf numFmtId="10" fontId="5" fillId="37" borderId="10" xfId="57" applyNumberFormat="1" applyFont="1" applyFill="1" applyBorder="1" applyAlignment="1">
      <alignment horizontal="center"/>
    </xf>
    <xf numFmtId="0" fontId="6" fillId="30" borderId="10" xfId="0" applyFont="1" applyFill="1" applyBorder="1" applyAlignment="1">
      <alignment wrapText="1"/>
    </xf>
    <xf numFmtId="0" fontId="6" fillId="38" borderId="10" xfId="0" applyFont="1" applyFill="1" applyBorder="1" applyAlignment="1">
      <alignment wrapText="1"/>
    </xf>
    <xf numFmtId="0" fontId="5" fillId="38" borderId="10" xfId="0" applyFont="1" applyFill="1" applyBorder="1" applyAlignment="1">
      <alignment horizontal="center"/>
    </xf>
    <xf numFmtId="0" fontId="5" fillId="38" borderId="10" xfId="0" applyFont="1" applyFill="1" applyBorder="1" applyAlignment="1">
      <alignment/>
    </xf>
    <xf numFmtId="2" fontId="5" fillId="38" borderId="10" xfId="0" applyNumberFormat="1" applyFont="1" applyFill="1" applyBorder="1" applyAlignment="1">
      <alignment horizontal="center"/>
    </xf>
    <xf numFmtId="10" fontId="5" fillId="38" borderId="10" xfId="57" applyNumberFormat="1" applyFont="1" applyFill="1" applyBorder="1" applyAlignment="1">
      <alignment horizontal="center"/>
    </xf>
    <xf numFmtId="1" fontId="5" fillId="30" borderId="10" xfId="0" applyNumberFormat="1" applyFont="1" applyFill="1" applyBorder="1" applyAlignment="1">
      <alignment horizontal="center"/>
    </xf>
    <xf numFmtId="167" fontId="5" fillId="30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2" fontId="5" fillId="33" borderId="10" xfId="0" applyNumberFormat="1" applyFont="1" applyFill="1" applyBorder="1" applyAlignment="1">
      <alignment horizontal="center"/>
    </xf>
    <xf numFmtId="10" fontId="5" fillId="33" borderId="10" xfId="57" applyNumberFormat="1" applyFont="1" applyFill="1" applyBorder="1" applyAlignment="1">
      <alignment horizontal="center"/>
    </xf>
    <xf numFmtId="0" fontId="6" fillId="30" borderId="10" xfId="0" applyFont="1" applyFill="1" applyBorder="1" applyAlignment="1">
      <alignment horizontal="left" indent="1"/>
    </xf>
    <xf numFmtId="9" fontId="5" fillId="30" borderId="10" xfId="57" applyFont="1" applyFill="1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left" indent="1"/>
    </xf>
    <xf numFmtId="0" fontId="6" fillId="30" borderId="12" xfId="0" applyFont="1" applyFill="1" applyBorder="1" applyAlignment="1">
      <alignment/>
    </xf>
    <xf numFmtId="10" fontId="5" fillId="30" borderId="11" xfId="57" applyNumberFormat="1" applyFont="1" applyFill="1" applyBorder="1" applyAlignment="1">
      <alignment horizontal="center"/>
    </xf>
    <xf numFmtId="0" fontId="6" fillId="37" borderId="12" xfId="0" applyFont="1" applyFill="1" applyBorder="1" applyAlignment="1">
      <alignment wrapText="1"/>
    </xf>
    <xf numFmtId="10" fontId="5" fillId="37" borderId="11" xfId="57" applyNumberFormat="1" applyFont="1" applyFill="1" applyBorder="1" applyAlignment="1">
      <alignment horizontal="center"/>
    </xf>
    <xf numFmtId="0" fontId="6" fillId="30" borderId="12" xfId="0" applyFont="1" applyFill="1" applyBorder="1" applyAlignment="1">
      <alignment wrapText="1"/>
    </xf>
    <xf numFmtId="10" fontId="5" fillId="38" borderId="11" xfId="57" applyNumberFormat="1" applyFont="1" applyFill="1" applyBorder="1" applyAlignment="1">
      <alignment horizontal="center"/>
    </xf>
    <xf numFmtId="0" fontId="6" fillId="30" borderId="12" xfId="0" applyFont="1" applyFill="1" applyBorder="1" applyAlignment="1">
      <alignment horizontal="left" wrapText="1"/>
    </xf>
    <xf numFmtId="0" fontId="6" fillId="33" borderId="12" xfId="0" applyFont="1" applyFill="1" applyBorder="1" applyAlignment="1">
      <alignment wrapText="1"/>
    </xf>
    <xf numFmtId="10" fontId="5" fillId="33" borderId="11" xfId="57" applyNumberFormat="1" applyFont="1" applyFill="1" applyBorder="1" applyAlignment="1">
      <alignment horizontal="center"/>
    </xf>
    <xf numFmtId="0" fontId="6" fillId="33" borderId="20" xfId="0" applyFont="1" applyFill="1" applyBorder="1" applyAlignment="1">
      <alignment wrapText="1"/>
    </xf>
    <xf numFmtId="0" fontId="6" fillId="33" borderId="22" xfId="0" applyFont="1" applyFill="1" applyBorder="1" applyAlignment="1">
      <alignment wrapText="1"/>
    </xf>
    <xf numFmtId="0" fontId="5" fillId="33" borderId="22" xfId="0" applyFont="1" applyFill="1" applyBorder="1" applyAlignment="1">
      <alignment horizontal="center"/>
    </xf>
    <xf numFmtId="0" fontId="5" fillId="33" borderId="22" xfId="0" applyFont="1" applyFill="1" applyBorder="1" applyAlignment="1">
      <alignment/>
    </xf>
    <xf numFmtId="2" fontId="5" fillId="33" borderId="22" xfId="0" applyNumberFormat="1" applyFont="1" applyFill="1" applyBorder="1" applyAlignment="1">
      <alignment horizontal="center"/>
    </xf>
    <xf numFmtId="10" fontId="5" fillId="33" borderId="22" xfId="57" applyNumberFormat="1" applyFont="1" applyFill="1" applyBorder="1" applyAlignment="1">
      <alignment horizontal="center"/>
    </xf>
    <xf numFmtId="10" fontId="5" fillId="33" borderId="23" xfId="57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30" borderId="10" xfId="0" applyFont="1" applyFill="1" applyBorder="1" applyAlignment="1">
      <alignment horizontal="left" indent="1"/>
    </xf>
    <xf numFmtId="0" fontId="5" fillId="30" borderId="10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6" fillId="30" borderId="12" xfId="0" applyFont="1" applyFill="1" applyBorder="1" applyAlignment="1">
      <alignment/>
    </xf>
    <xf numFmtId="0" fontId="5" fillId="0" borderId="30" xfId="0" applyFont="1" applyBorder="1" applyAlignment="1">
      <alignment horizontal="left"/>
    </xf>
    <xf numFmtId="0" fontId="5" fillId="35" borderId="13" xfId="0" applyFont="1" applyFill="1" applyBorder="1" applyAlignment="1">
      <alignment/>
    </xf>
    <xf numFmtId="0" fontId="6" fillId="0" borderId="20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68" fontId="5" fillId="0" borderId="0" xfId="42" applyNumberFormat="1" applyFont="1" applyFill="1" applyBorder="1" applyAlignment="1">
      <alignment horizontal="center"/>
    </xf>
    <xf numFmtId="169" fontId="5" fillId="0" borderId="0" xfId="42" applyNumberFormat="1" applyFont="1" applyFill="1" applyBorder="1" applyAlignment="1">
      <alignment horizontal="center"/>
    </xf>
    <xf numFmtId="43" fontId="5" fillId="0" borderId="0" xfId="42" applyNumberFormat="1" applyFont="1" applyFill="1" applyBorder="1" applyAlignment="1">
      <alignment horizontal="center"/>
    </xf>
    <xf numFmtId="170" fontId="5" fillId="0" borderId="10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24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5" fillId="33" borderId="23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5" fillId="33" borderId="11" xfId="0" applyFont="1" applyFill="1" applyBorder="1" applyAlignment="1">
      <alignment horizontal="center"/>
    </xf>
    <xf numFmtId="9" fontId="5" fillId="0" borderId="22" xfId="57" applyFont="1" applyBorder="1" applyAlignment="1">
      <alignment horizontal="center"/>
    </xf>
    <xf numFmtId="0" fontId="5" fillId="39" borderId="23" xfId="0" applyFont="1" applyFill="1" applyBorder="1" applyAlignment="1">
      <alignment/>
    </xf>
    <xf numFmtId="168" fontId="5" fillId="0" borderId="25" xfId="42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168" fontId="10" fillId="34" borderId="0" xfId="42" applyNumberFormat="1" applyFont="1" applyFill="1" applyBorder="1" applyAlignment="1">
      <alignment/>
    </xf>
    <xf numFmtId="164" fontId="10" fillId="34" borderId="0" xfId="0" applyNumberFormat="1" applyFont="1" applyFill="1" applyBorder="1" applyAlignment="1">
      <alignment/>
    </xf>
    <xf numFmtId="0" fontId="10" fillId="34" borderId="31" xfId="0" applyFont="1" applyFill="1" applyBorder="1" applyAlignment="1">
      <alignment/>
    </xf>
    <xf numFmtId="166" fontId="10" fillId="34" borderId="32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wrapText="1"/>
    </xf>
    <xf numFmtId="165" fontId="5" fillId="33" borderId="10" xfId="0" applyNumberFormat="1" applyFont="1" applyFill="1" applyBorder="1" applyAlignment="1">
      <alignment/>
    </xf>
    <xf numFmtId="165" fontId="5" fillId="33" borderId="11" xfId="0" applyNumberFormat="1" applyFont="1" applyFill="1" applyBorder="1" applyAlignment="1">
      <alignment/>
    </xf>
    <xf numFmtId="0" fontId="5" fillId="30" borderId="10" xfId="0" applyFont="1" applyFill="1" applyBorder="1" applyAlignment="1">
      <alignment horizontal="center" wrapText="1"/>
    </xf>
    <xf numFmtId="0" fontId="7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6" fillId="0" borderId="25" xfId="0" applyFont="1" applyBorder="1" applyAlignment="1">
      <alignment horizontal="center"/>
    </xf>
    <xf numFmtId="0" fontId="45" fillId="0" borderId="25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wrapText="1"/>
    </xf>
    <xf numFmtId="0" fontId="10" fillId="0" borderId="34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9</xdr:row>
      <xdr:rowOff>142875</xdr:rowOff>
    </xdr:from>
    <xdr:to>
      <xdr:col>8</xdr:col>
      <xdr:colOff>1085850</xdr:colOff>
      <xdr:row>15</xdr:row>
      <xdr:rowOff>123825</xdr:rowOff>
    </xdr:to>
    <xdr:pic>
      <xdr:nvPicPr>
        <xdr:cNvPr id="1" name="Picture 2" descr="CNP FORTI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1600200"/>
          <a:ext cx="35433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0:I27"/>
  <sheetViews>
    <sheetView showGridLines="0" tabSelected="1" zoomScalePageLayoutView="0" workbookViewId="0" topLeftCell="A1">
      <selection activeCell="I28" sqref="I28"/>
    </sheetView>
  </sheetViews>
  <sheetFormatPr defaultColWidth="9.140625" defaultRowHeight="12.75"/>
  <cols>
    <col min="1" max="1" width="5.00390625" style="0" customWidth="1"/>
    <col min="9" max="9" width="47.00390625" style="0" customWidth="1"/>
  </cols>
  <sheetData>
    <row r="20" spans="2:9" ht="33.75">
      <c r="B20" s="182" t="s">
        <v>93</v>
      </c>
      <c r="C20" s="182"/>
      <c r="D20" s="182"/>
      <c r="E20" s="182"/>
      <c r="F20" s="182"/>
      <c r="G20" s="182"/>
      <c r="H20" s="182"/>
      <c r="I20" s="182"/>
    </row>
    <row r="21" spans="2:9" ht="33.75">
      <c r="B21" s="182" t="s">
        <v>32</v>
      </c>
      <c r="C21" s="182"/>
      <c r="D21" s="182"/>
      <c r="E21" s="182"/>
      <c r="F21" s="182"/>
      <c r="G21" s="182"/>
      <c r="H21" s="182"/>
      <c r="I21" s="182"/>
    </row>
    <row r="22" spans="2:9" ht="33.75">
      <c r="B22" s="182" t="s">
        <v>82</v>
      </c>
      <c r="C22" s="182"/>
      <c r="D22" s="182"/>
      <c r="E22" s="182"/>
      <c r="F22" s="182"/>
      <c r="G22" s="182"/>
      <c r="H22" s="182"/>
      <c r="I22" s="182"/>
    </row>
    <row r="23" spans="2:9" ht="15.75">
      <c r="B23" s="183" t="s">
        <v>98</v>
      </c>
      <c r="C23" s="183"/>
      <c r="D23" s="183"/>
      <c r="E23" s="183"/>
      <c r="F23" s="183"/>
      <c r="G23" s="183"/>
      <c r="H23" s="183"/>
      <c r="I23" s="183"/>
    </row>
    <row r="25" spans="2:9" ht="33.75">
      <c r="B25" s="182" t="s">
        <v>47</v>
      </c>
      <c r="C25" s="182"/>
      <c r="D25" s="182"/>
      <c r="E25" s="182"/>
      <c r="F25" s="182"/>
      <c r="G25" s="182"/>
      <c r="H25" s="182"/>
      <c r="I25" s="182"/>
    </row>
    <row r="26" spans="2:9" ht="33.75">
      <c r="B26" s="182"/>
      <c r="C26" s="181"/>
      <c r="D26" s="181"/>
      <c r="E26" s="181"/>
      <c r="F26" s="181"/>
      <c r="G26" s="181"/>
      <c r="H26" s="181"/>
      <c r="I26" s="181"/>
    </row>
    <row r="27" spans="2:9" ht="33.75">
      <c r="B27" s="181" t="s">
        <v>97</v>
      </c>
      <c r="C27" s="181"/>
      <c r="D27" s="181"/>
      <c r="E27" s="181"/>
      <c r="F27" s="181"/>
      <c r="G27" s="181"/>
      <c r="H27" s="181"/>
      <c r="I27" s="181"/>
    </row>
  </sheetData>
  <sheetProtection/>
  <mergeCells count="7">
    <mergeCell ref="B27:I27"/>
    <mergeCell ref="B26:I26"/>
    <mergeCell ref="B20:I20"/>
    <mergeCell ref="B21:I21"/>
    <mergeCell ref="B22:I22"/>
    <mergeCell ref="B25:I25"/>
    <mergeCell ref="B23:I23"/>
  </mergeCells>
  <printOptions/>
  <pageMargins left="0.75" right="0.75" top="1" bottom="1" header="0.5" footer="0.5"/>
  <pageSetup fitToHeight="1" fitToWidth="1" horizontalDpi="600" verticalDpi="600" orientation="portrait" scale="7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3:L60"/>
  <sheetViews>
    <sheetView showGridLines="0" zoomScalePageLayoutView="0" workbookViewId="0" topLeftCell="A16">
      <selection activeCell="H56" sqref="H56"/>
    </sheetView>
  </sheetViews>
  <sheetFormatPr defaultColWidth="9.140625" defaultRowHeight="12.75"/>
  <cols>
    <col min="1" max="1" width="4.140625" style="7" customWidth="1"/>
    <col min="2" max="2" width="78.421875" style="7" customWidth="1"/>
    <col min="3" max="3" width="10.140625" style="7" customWidth="1"/>
    <col min="4" max="4" width="10.421875" style="10" bestFit="1" customWidth="1"/>
    <col min="5" max="5" width="10.00390625" style="7" bestFit="1" customWidth="1"/>
    <col min="6" max="6" width="11.8515625" style="7" bestFit="1" customWidth="1"/>
    <col min="7" max="7" width="9.28125" style="7" bestFit="1" customWidth="1"/>
    <col min="8" max="8" width="11.00390625" style="7" customWidth="1"/>
    <col min="9" max="9" width="11.57421875" style="7" bestFit="1" customWidth="1"/>
    <col min="10" max="10" width="10.57421875" style="7" bestFit="1" customWidth="1"/>
    <col min="11" max="11" width="9.28125" style="7" bestFit="1" customWidth="1"/>
    <col min="12" max="12" width="11.7109375" style="7" bestFit="1" customWidth="1"/>
    <col min="13" max="16384" width="9.140625" style="7" customWidth="1"/>
  </cols>
  <sheetData>
    <row r="2" ht="12.75" thickBot="1"/>
    <row r="3" spans="2:5" ht="36">
      <c r="B3" s="67" t="str">
        <f>+Rates!A88</f>
        <v>Sentinel Lighting </v>
      </c>
      <c r="C3" s="68" t="str">
        <f>Rates!B4</f>
        <v>Metric</v>
      </c>
      <c r="D3" s="69" t="str">
        <f>Rates!D4</f>
        <v>Current Approved Rates</v>
      </c>
      <c r="E3" s="70" t="str">
        <f>Rates!F4</f>
        <v>Proposed Rates</v>
      </c>
    </row>
    <row r="4" spans="2:5" ht="12">
      <c r="B4" s="71" t="str">
        <f>+Rates!A89</f>
        <v>Monthly Service Charge</v>
      </c>
      <c r="C4" s="64" t="str">
        <f>Rates!B89</f>
        <v>$</v>
      </c>
      <c r="D4" s="65">
        <f>Rates!D89</f>
        <v>3.79</v>
      </c>
      <c r="E4" s="72">
        <f>Rates!F89</f>
        <v>4.27</v>
      </c>
    </row>
    <row r="5" spans="2:5" ht="12">
      <c r="B5" s="71" t="str">
        <f>+Rates!A90</f>
        <v>Monthly Service Charge Rate Rider</v>
      </c>
      <c r="C5" s="64" t="str">
        <f>Rates!B90</f>
        <v>$</v>
      </c>
      <c r="D5" s="65">
        <f>Rates!D90</f>
        <v>0</v>
      </c>
      <c r="E5" s="72">
        <f>Rates!F90</f>
        <v>0</v>
      </c>
    </row>
    <row r="6" spans="2:5" ht="12">
      <c r="B6" s="71" t="str">
        <f>+Rates!A91</f>
        <v>Distribution Volumetric Rate</v>
      </c>
      <c r="C6" s="64" t="str">
        <f>Rates!B91</f>
        <v>$/kW</v>
      </c>
      <c r="D6" s="66">
        <f>Rates!D91</f>
        <v>4.2722</v>
      </c>
      <c r="E6" s="73">
        <f>Rates!F91</f>
        <v>4.8183</v>
      </c>
    </row>
    <row r="7" spans="2:5" ht="12">
      <c r="B7" s="71" t="str">
        <f>+Rates!A92</f>
        <v>Distribution Volumetric Rate Rider</v>
      </c>
      <c r="C7" s="64" t="str">
        <f>Rates!B92</f>
        <v>$/kW</v>
      </c>
      <c r="D7" s="66">
        <f>Rates!D92</f>
        <v>0</v>
      </c>
      <c r="E7" s="73">
        <f>Rates!F92</f>
        <v>0</v>
      </c>
    </row>
    <row r="8" spans="2:5" ht="12">
      <c r="B8" s="71" t="str">
        <f>+Rates!A93</f>
        <v>Low Voltage Service Rate</v>
      </c>
      <c r="C8" s="64" t="str">
        <f>Rates!B93</f>
        <v>$/kW</v>
      </c>
      <c r="D8" s="66">
        <f>Rates!D93</f>
        <v>0.4311</v>
      </c>
      <c r="E8" s="73">
        <f>Rates!F93</f>
        <v>0.4376</v>
      </c>
    </row>
    <row r="9" spans="2:5" ht="12">
      <c r="B9" s="71" t="str">
        <f>+Rates!A94</f>
        <v>Rate Rider for Deferral/Variance Account Disposition (2012) - effective until April 30, 2013</v>
      </c>
      <c r="C9" s="64" t="str">
        <f>Rates!B94</f>
        <v>$/kW</v>
      </c>
      <c r="D9" s="66">
        <f>Rates!D94</f>
        <v>0</v>
      </c>
      <c r="E9" s="73">
        <f>Rates!F94</f>
        <v>0</v>
      </c>
    </row>
    <row r="10" spans="2:5" ht="12">
      <c r="B10" s="71" t="str">
        <f>+Rates!A95</f>
        <v>Rate Rider for Deferral/Variance Account Disposition (2013) - effective until December 31, 2013</v>
      </c>
      <c r="C10" s="64" t="str">
        <f>Rates!B95</f>
        <v>$/kW</v>
      </c>
      <c r="D10" s="66">
        <f>Rates!D95</f>
        <v>0</v>
      </c>
      <c r="E10" s="73">
        <f>Rates!F95</f>
        <v>-0.8028</v>
      </c>
    </row>
    <row r="11" spans="2:5" ht="24">
      <c r="B11" s="71" t="str">
        <f>+Rates!A96</f>
        <v>Rate Rider for Global Adjustment Sub-Account Disposition (2012) - effective until April 30, 2013 Applicable only for Non-RPP Customers</v>
      </c>
      <c r="C11" s="64" t="str">
        <f>Rates!B96</f>
        <v>$/kW</v>
      </c>
      <c r="D11" s="66">
        <f>Rates!D96</f>
        <v>0</v>
      </c>
      <c r="E11" s="73">
        <f>Rates!F96</f>
        <v>0</v>
      </c>
    </row>
    <row r="12" spans="2:5" ht="24">
      <c r="B12" s="71" t="str">
        <f>+Rates!A97</f>
        <v>Rate Rider for Global Adjustment Sub-Account Disposition (2013) - effective until December 31, 2013 Applicable only for Non-RPP Customers</v>
      </c>
      <c r="C12" s="64" t="str">
        <f>Rates!B97</f>
        <v>$/kW</v>
      </c>
      <c r="D12" s="66">
        <f>Rates!D97</f>
        <v>0</v>
      </c>
      <c r="E12" s="73">
        <f>Rates!F97</f>
        <v>0</v>
      </c>
    </row>
    <row r="13" spans="2:5" ht="12">
      <c r="B13" s="71" t="str">
        <f>+Rates!A98</f>
        <v>Rate Rider for Tax Change - effective until April 30, 2013</v>
      </c>
      <c r="C13" s="64" t="str">
        <f>Rates!B98</f>
        <v>$/kW</v>
      </c>
      <c r="D13" s="66">
        <f>Rates!D98</f>
        <v>-0.2651</v>
      </c>
      <c r="E13" s="73">
        <f>Rates!F98</f>
        <v>-0.2651</v>
      </c>
    </row>
    <row r="14" spans="2:5" ht="12">
      <c r="B14" s="71" t="str">
        <f>+Rates!A99</f>
        <v>Rate Rider for Tax Change - effective until December 31, 2013</v>
      </c>
      <c r="C14" s="64" t="str">
        <f>Rates!B99</f>
        <v>$/kW</v>
      </c>
      <c r="D14" s="66">
        <f>Rates!D99</f>
        <v>0</v>
      </c>
      <c r="E14" s="73">
        <f>Rates!F99</f>
        <v>0</v>
      </c>
    </row>
    <row r="15" spans="2:5" ht="12">
      <c r="B15" s="71" t="str">
        <f>+Rates!A100</f>
        <v>Rate Rider for PILS - effective until December 31, 2014</v>
      </c>
      <c r="C15" s="64" t="str">
        <f>Rates!B100</f>
        <v>$/kW</v>
      </c>
      <c r="D15" s="66">
        <f>Rates!D100</f>
        <v>0</v>
      </c>
      <c r="E15" s="73">
        <f>Rates!F100</f>
        <v>-1.15517</v>
      </c>
    </row>
    <row r="16" spans="2:5" ht="12">
      <c r="B16" s="71" t="str">
        <f>+Rates!A101</f>
        <v>Retail Transmission Rate - Network Service Rate</v>
      </c>
      <c r="C16" s="64" t="str">
        <f>Rates!B101</f>
        <v>$/kW</v>
      </c>
      <c r="D16" s="66">
        <f>Rates!D101</f>
        <v>1.226</v>
      </c>
      <c r="E16" s="73">
        <f>Rates!F101</f>
        <v>1.3145</v>
      </c>
    </row>
    <row r="17" spans="2:5" ht="12">
      <c r="B17" s="71" t="str">
        <f>+Rates!A102</f>
        <v>Retail Transmission Rate - Line and Transformation Connection Service Rate</v>
      </c>
      <c r="C17" s="64" t="str">
        <f>Rates!B102</f>
        <v>$/kW</v>
      </c>
      <c r="D17" s="66">
        <f>Rates!D102</f>
        <v>1.0168</v>
      </c>
      <c r="E17" s="73">
        <f>Rates!F102</f>
        <v>1.0334</v>
      </c>
    </row>
    <row r="18" spans="2:5" ht="12.75" thickBot="1">
      <c r="B18" s="71" t="str">
        <f>+Rates!A103</f>
        <v>Wholesale Market Service Rate</v>
      </c>
      <c r="C18" s="64" t="str">
        <f>Rates!B103</f>
        <v>$/kWh</v>
      </c>
      <c r="D18" s="66">
        <f>Rates!D103</f>
        <v>0.0052</v>
      </c>
      <c r="E18" s="73">
        <f>Rates!F103</f>
        <v>0.0052</v>
      </c>
    </row>
    <row r="19" spans="2:10" ht="12">
      <c r="B19" s="71" t="str">
        <f>+Rates!A104</f>
        <v>Rural Rate Protection Charge</v>
      </c>
      <c r="C19" s="64" t="str">
        <f>Rates!B104</f>
        <v>$/kWh</v>
      </c>
      <c r="D19" s="66">
        <f>Rates!D104</f>
        <v>0.0011</v>
      </c>
      <c r="E19" s="73">
        <f>Rates!F104</f>
        <v>0.0011</v>
      </c>
      <c r="H19" s="160"/>
      <c r="I19" s="152" t="s">
        <v>72</v>
      </c>
      <c r="J19" s="161" t="s">
        <v>90</v>
      </c>
    </row>
    <row r="20" spans="2:10" ht="12.75" thickBot="1">
      <c r="B20" s="74" t="str">
        <f>+Rates!A105</f>
        <v>Standard Supply Service - Administrative Charge (if applicable)</v>
      </c>
      <c r="C20" s="75" t="str">
        <f>Rates!B105</f>
        <v>$</v>
      </c>
      <c r="D20" s="76">
        <f>Rates!D105</f>
        <v>0.25</v>
      </c>
      <c r="E20" s="77">
        <f>Rates!F105</f>
        <v>0.25</v>
      </c>
      <c r="H20" s="166" t="s">
        <v>13</v>
      </c>
      <c r="I20" s="79">
        <f>Rates!$D$134</f>
        <v>1.0719</v>
      </c>
      <c r="J20" s="167">
        <f>Rates!$F$134</f>
        <v>1.1113</v>
      </c>
    </row>
    <row r="21" spans="2:10" ht="12.75" thickBot="1">
      <c r="B21" s="60"/>
      <c r="C21" s="61"/>
      <c r="D21" s="62"/>
      <c r="E21" s="62"/>
      <c r="H21" s="148" t="s">
        <v>89</v>
      </c>
      <c r="I21" s="168">
        <f>C23/(E23*24*365/12)</f>
        <v>0.0821917808219178</v>
      </c>
      <c r="J21" s="169"/>
    </row>
    <row r="22" spans="3:4" ht="12.75" thickBot="1">
      <c r="C22" s="10"/>
      <c r="D22" s="7"/>
    </row>
    <row r="23" spans="2:11" ht="13.5" thickBot="1">
      <c r="B23" s="80" t="s">
        <v>88</v>
      </c>
      <c r="C23" s="81">
        <v>300</v>
      </c>
      <c r="D23" s="146" t="s">
        <v>15</v>
      </c>
      <c r="E23" s="147">
        <v>5</v>
      </c>
      <c r="F23" s="87" t="s">
        <v>16</v>
      </c>
      <c r="G23" s="31"/>
      <c r="H23" s="170">
        <f>C23</f>
        <v>300</v>
      </c>
      <c r="I23" s="146" t="s">
        <v>15</v>
      </c>
      <c r="J23" s="171">
        <f>E23</f>
        <v>5</v>
      </c>
      <c r="K23" s="87" t="s">
        <v>16</v>
      </c>
    </row>
    <row r="24" spans="2:11" ht="12.75">
      <c r="B24" s="82" t="s">
        <v>53</v>
      </c>
      <c r="C24" s="78">
        <f>ROUND(C23*I20-C23,0)</f>
        <v>22</v>
      </c>
      <c r="D24" s="83" t="s">
        <v>15</v>
      </c>
      <c r="E24" s="155"/>
      <c r="F24" s="32"/>
      <c r="G24" s="31"/>
      <c r="H24" s="78">
        <f>ROUND(H23*J20-H23,0)</f>
        <v>33</v>
      </c>
      <c r="I24" s="83" t="s">
        <v>15</v>
      </c>
      <c r="J24" s="155"/>
      <c r="K24" s="32"/>
    </row>
    <row r="25" spans="2:11" ht="12.75">
      <c r="B25" s="82" t="s">
        <v>54</v>
      </c>
      <c r="C25" s="78">
        <f>+C23+C24</f>
        <v>322</v>
      </c>
      <c r="D25" s="83" t="s">
        <v>15</v>
      </c>
      <c r="E25" s="156"/>
      <c r="F25" s="32"/>
      <c r="G25" s="31"/>
      <c r="H25" s="78">
        <f>+H23+H24</f>
        <v>333</v>
      </c>
      <c r="I25" s="83" t="s">
        <v>15</v>
      </c>
      <c r="J25" s="156"/>
      <c r="K25" s="32"/>
    </row>
    <row r="26" spans="2:11" ht="13.5" thickBot="1">
      <c r="B26" s="84" t="s">
        <v>17</v>
      </c>
      <c r="C26" s="85">
        <f>+Rates!$D$140</f>
        <v>750</v>
      </c>
      <c r="D26" s="86" t="s">
        <v>15</v>
      </c>
      <c r="E26" s="31"/>
      <c r="F26" s="31"/>
      <c r="G26" s="31"/>
      <c r="H26" s="85">
        <f>+Rates!$D$140</f>
        <v>750</v>
      </c>
      <c r="I26" s="86" t="s">
        <v>15</v>
      </c>
      <c r="J26" s="31"/>
      <c r="K26" s="31"/>
    </row>
    <row r="27" ht="12.75" thickBot="1"/>
    <row r="28" spans="2:12" ht="13.5" customHeight="1">
      <c r="B28" s="188" t="str">
        <f>B3</f>
        <v>Sentinel Lighting </v>
      </c>
      <c r="C28" s="120"/>
      <c r="D28" s="190" t="str">
        <f>+D3</f>
        <v>Current Approved Rates</v>
      </c>
      <c r="E28" s="190"/>
      <c r="F28" s="190"/>
      <c r="G28" s="190" t="str">
        <f>+E3</f>
        <v>Proposed Rates</v>
      </c>
      <c r="H28" s="190"/>
      <c r="I28" s="190"/>
      <c r="J28" s="120"/>
      <c r="K28" s="120"/>
      <c r="L28" s="121"/>
    </row>
    <row r="29" spans="2:12" ht="12.75" customHeight="1">
      <c r="B29" s="189"/>
      <c r="C29" s="186" t="str">
        <f>+C3</f>
        <v>Metric</v>
      </c>
      <c r="D29" s="186" t="s">
        <v>55</v>
      </c>
      <c r="E29" s="150" t="s">
        <v>23</v>
      </c>
      <c r="F29" s="150" t="s">
        <v>24</v>
      </c>
      <c r="G29" s="186" t="s">
        <v>55</v>
      </c>
      <c r="H29" s="150" t="s">
        <v>23</v>
      </c>
      <c r="I29" s="150" t="s">
        <v>24</v>
      </c>
      <c r="J29" s="184" t="s">
        <v>30</v>
      </c>
      <c r="K29" s="184"/>
      <c r="L29" s="185"/>
    </row>
    <row r="30" spans="2:12" ht="12" customHeight="1">
      <c r="B30" s="189"/>
      <c r="C30" s="187"/>
      <c r="D30" s="187"/>
      <c r="E30" s="150" t="s">
        <v>8</v>
      </c>
      <c r="F30" s="150" t="s">
        <v>8</v>
      </c>
      <c r="G30" s="187"/>
      <c r="H30" s="150" t="s">
        <v>8</v>
      </c>
      <c r="I30" s="150" t="s">
        <v>8</v>
      </c>
      <c r="J30" s="150" t="s">
        <v>8</v>
      </c>
      <c r="K30" s="141" t="s">
        <v>12</v>
      </c>
      <c r="L30" s="151" t="s">
        <v>20</v>
      </c>
    </row>
    <row r="31" spans="2:12" ht="12">
      <c r="B31" s="123" t="s">
        <v>21</v>
      </c>
      <c r="C31" s="28" t="str">
        <f>+Rates!B137</f>
        <v>$/kWh</v>
      </c>
      <c r="D31" s="11">
        <f>IF(C25&gt;C26,C26,C25)</f>
        <v>322</v>
      </c>
      <c r="E31" s="12">
        <f>Rates!D137</f>
        <v>0.075</v>
      </c>
      <c r="F31" s="93">
        <f>D31*E31</f>
        <v>24.15</v>
      </c>
      <c r="G31" s="11">
        <f>IF(H25&gt;H26,H26,H25)</f>
        <v>333</v>
      </c>
      <c r="H31" s="12">
        <f>+E31</f>
        <v>0.075</v>
      </c>
      <c r="I31" s="93">
        <f>G31*H31</f>
        <v>24.974999999999998</v>
      </c>
      <c r="J31" s="13">
        <f>I31-F31</f>
        <v>0.8249999999999993</v>
      </c>
      <c r="K31" s="14">
        <f>IF(ISERROR(J31/F31),1,J31/F31)</f>
        <v>0.03416149068322979</v>
      </c>
      <c r="L31" s="15">
        <f>IF(ISERROR(I31/I$60),0,I31/I$60)</f>
        <v>0.3144105343776393</v>
      </c>
    </row>
    <row r="32" spans="2:12" ht="12">
      <c r="B32" s="123" t="s">
        <v>22</v>
      </c>
      <c r="C32" s="28" t="str">
        <f>+Rates!B138</f>
        <v>$/kWh</v>
      </c>
      <c r="D32" s="11">
        <f>IF(C25&gt;=C26,C25-C26,0)</f>
        <v>0</v>
      </c>
      <c r="E32" s="12">
        <f>Rates!D138</f>
        <v>0.088</v>
      </c>
      <c r="F32" s="13">
        <f>D32*E32</f>
        <v>0</v>
      </c>
      <c r="G32" s="11">
        <f>IF(H25&gt;=H26,H25-H26,0)</f>
        <v>0</v>
      </c>
      <c r="H32" s="12">
        <f>+E32</f>
        <v>0.088</v>
      </c>
      <c r="I32" s="13">
        <f>G32*H32</f>
        <v>0</v>
      </c>
      <c r="J32" s="13">
        <f>I32-F32</f>
        <v>0</v>
      </c>
      <c r="K32" s="14">
        <f aca="true" t="shared" si="0" ref="K32:K60">IF(ISERROR(J32/F32),0,J32/F32)</f>
        <v>0</v>
      </c>
      <c r="L32" s="15">
        <f>IF(ISERROR(I32/I$60),0,I32/I$60)</f>
        <v>0</v>
      </c>
    </row>
    <row r="33" spans="2:12" ht="12">
      <c r="B33" s="124" t="s">
        <v>25</v>
      </c>
      <c r="C33" s="94"/>
      <c r="D33" s="95"/>
      <c r="E33" s="96"/>
      <c r="F33" s="97">
        <f>SUM(F31:F32)</f>
        <v>24.15</v>
      </c>
      <c r="G33" s="96"/>
      <c r="H33" s="96"/>
      <c r="I33" s="97">
        <f>SUM(I31:I32)</f>
        <v>24.974999999999998</v>
      </c>
      <c r="J33" s="97">
        <f aca="true" t="shared" si="1" ref="J33:J60">I33-F33</f>
        <v>0.8249999999999993</v>
      </c>
      <c r="K33" s="98">
        <f t="shared" si="0"/>
        <v>0.03416149068322979</v>
      </c>
      <c r="L33" s="125">
        <f>IF(ISERROR(I33/I$60),0,I33/I$60)</f>
        <v>0.3144105343776393</v>
      </c>
    </row>
    <row r="34" spans="2:12" ht="12">
      <c r="B34" s="24" t="str">
        <f>B4</f>
        <v>Monthly Service Charge</v>
      </c>
      <c r="C34" s="27" t="str">
        <f>+C4</f>
        <v>$</v>
      </c>
      <c r="D34" s="144">
        <v>5</v>
      </c>
      <c r="E34" s="93">
        <f>D4</f>
        <v>3.79</v>
      </c>
      <c r="F34" s="13">
        <f>D34*E34</f>
        <v>18.95</v>
      </c>
      <c r="G34" s="64">
        <f aca="true" t="shared" si="2" ref="G34:G45">+D34</f>
        <v>5</v>
      </c>
      <c r="H34" s="93">
        <f>E4</f>
        <v>4.27</v>
      </c>
      <c r="I34" s="13">
        <f>G34*H34</f>
        <v>21.349999999999998</v>
      </c>
      <c r="J34" s="13">
        <f t="shared" si="1"/>
        <v>2.3999999999999986</v>
      </c>
      <c r="K34" s="14">
        <f t="shared" si="0"/>
        <v>0.12664907651715032</v>
      </c>
      <c r="L34" s="15">
        <f>IF(ISERROR(I34/I$60),0,I34/I$60)</f>
        <v>0.2687753717302342</v>
      </c>
    </row>
    <row r="35" spans="2:12" ht="12">
      <c r="B35" s="24" t="str">
        <f>B5</f>
        <v>Monthly Service Charge Rate Rider</v>
      </c>
      <c r="C35" s="27" t="str">
        <f>+C5</f>
        <v>$</v>
      </c>
      <c r="D35" s="149">
        <f>D34</f>
        <v>5</v>
      </c>
      <c r="E35" s="93">
        <f>D5</f>
        <v>0</v>
      </c>
      <c r="F35" s="13">
        <f aca="true" t="shared" si="3" ref="F35:F45">D35*E35</f>
        <v>0</v>
      </c>
      <c r="G35" s="64">
        <f>D35</f>
        <v>5</v>
      </c>
      <c r="H35" s="93">
        <f>E5</f>
        <v>0</v>
      </c>
      <c r="I35" s="13">
        <f aca="true" t="shared" si="4" ref="I35:I45">G35*H35</f>
        <v>0</v>
      </c>
      <c r="J35" s="13">
        <f aca="true" t="shared" si="5" ref="J35:J40">I35-F35</f>
        <v>0</v>
      </c>
      <c r="K35" s="14">
        <f aca="true" t="shared" si="6" ref="K35:K40">IF(ISERROR(J35/F35),0,J35/F35)</f>
        <v>0</v>
      </c>
      <c r="L35" s="15">
        <f aca="true" t="shared" si="7" ref="L35:L40">IF(ISERROR(I35/I$60),0,I35/I$60)</f>
        <v>0</v>
      </c>
    </row>
    <row r="36" spans="2:12" ht="12">
      <c r="B36" s="24" t="str">
        <f>B6</f>
        <v>Distribution Volumetric Rate</v>
      </c>
      <c r="C36" s="27" t="str">
        <f>+C6</f>
        <v>$/kW</v>
      </c>
      <c r="D36" s="11">
        <f>+$E$23</f>
        <v>5</v>
      </c>
      <c r="E36" s="93">
        <f>D6</f>
        <v>4.2722</v>
      </c>
      <c r="F36" s="13">
        <f t="shared" si="3"/>
        <v>21.360999999999997</v>
      </c>
      <c r="G36" s="64">
        <f t="shared" si="2"/>
        <v>5</v>
      </c>
      <c r="H36" s="93">
        <f>E6</f>
        <v>4.8183</v>
      </c>
      <c r="I36" s="13">
        <f t="shared" si="4"/>
        <v>24.0915</v>
      </c>
      <c r="J36" s="13">
        <f t="shared" si="5"/>
        <v>2.730500000000003</v>
      </c>
      <c r="K36" s="14">
        <f t="shared" si="6"/>
        <v>0.12782641262113212</v>
      </c>
      <c r="L36" s="15">
        <f t="shared" si="7"/>
        <v>0.303288143702058</v>
      </c>
    </row>
    <row r="37" spans="2:12" ht="12">
      <c r="B37" s="24" t="str">
        <f>B7</f>
        <v>Distribution Volumetric Rate Rider</v>
      </c>
      <c r="C37" s="27" t="str">
        <f>+C7</f>
        <v>$/kW</v>
      </c>
      <c r="D37" s="11">
        <f>+$E$23</f>
        <v>5</v>
      </c>
      <c r="E37" s="93">
        <f>D7</f>
        <v>0</v>
      </c>
      <c r="F37" s="13">
        <f t="shared" si="3"/>
        <v>0</v>
      </c>
      <c r="G37" s="64">
        <f t="shared" si="2"/>
        <v>5</v>
      </c>
      <c r="H37" s="93">
        <f>E7</f>
        <v>0</v>
      </c>
      <c r="I37" s="13">
        <f t="shared" si="4"/>
        <v>0</v>
      </c>
      <c r="J37" s="13">
        <f t="shared" si="5"/>
        <v>0</v>
      </c>
      <c r="K37" s="14">
        <f t="shared" si="6"/>
        <v>0</v>
      </c>
      <c r="L37" s="15">
        <f t="shared" si="7"/>
        <v>0</v>
      </c>
    </row>
    <row r="38" spans="2:12" ht="12">
      <c r="B38" s="24" t="str">
        <f>B8</f>
        <v>Low Voltage Service Rate</v>
      </c>
      <c r="C38" s="27" t="str">
        <f>+C8</f>
        <v>$/kW</v>
      </c>
      <c r="D38" s="11">
        <f>+$E$23</f>
        <v>5</v>
      </c>
      <c r="E38" s="93">
        <f>D8</f>
        <v>0.4311</v>
      </c>
      <c r="F38" s="13">
        <f>D38*E38</f>
        <v>2.1555</v>
      </c>
      <c r="G38" s="64">
        <f>+D38</f>
        <v>5</v>
      </c>
      <c r="H38" s="93">
        <f>E8</f>
        <v>0.4376</v>
      </c>
      <c r="I38" s="13">
        <f>G38*H38</f>
        <v>2.1879999999999997</v>
      </c>
      <c r="J38" s="13">
        <f>I38-F38</f>
        <v>0.03249999999999975</v>
      </c>
      <c r="K38" s="14">
        <f>IF(ISERROR(J38/F38),0,J38/F38)</f>
        <v>0.015077708188355255</v>
      </c>
      <c r="L38" s="15">
        <f>IF(ISERROR(I38/I$60),0,I38/I$60)</f>
        <v>0.027544754723454443</v>
      </c>
    </row>
    <row r="39" spans="2:12" ht="12">
      <c r="B39" s="24" t="str">
        <f aca="true" t="shared" si="8" ref="B39:B45">B9</f>
        <v>Rate Rider for Deferral/Variance Account Disposition (2012) - effective until April 30, 2013</v>
      </c>
      <c r="C39" s="27" t="str">
        <f aca="true" t="shared" si="9" ref="C39:C45">+C9</f>
        <v>$/kW</v>
      </c>
      <c r="D39" s="11">
        <f>+$E$23</f>
        <v>5</v>
      </c>
      <c r="E39" s="93">
        <f aca="true" t="shared" si="10" ref="E39:E45">D9</f>
        <v>0</v>
      </c>
      <c r="F39" s="13">
        <f t="shared" si="3"/>
        <v>0</v>
      </c>
      <c r="G39" s="64">
        <f t="shared" si="2"/>
        <v>5</v>
      </c>
      <c r="H39" s="93">
        <f aca="true" t="shared" si="11" ref="H39:H45">E9</f>
        <v>0</v>
      </c>
      <c r="I39" s="13">
        <f t="shared" si="4"/>
        <v>0</v>
      </c>
      <c r="J39" s="13">
        <f t="shared" si="5"/>
        <v>0</v>
      </c>
      <c r="K39" s="14">
        <f t="shared" si="6"/>
        <v>0</v>
      </c>
      <c r="L39" s="15">
        <f t="shared" si="7"/>
        <v>0</v>
      </c>
    </row>
    <row r="40" spans="2:12" ht="12">
      <c r="B40" s="24" t="str">
        <f t="shared" si="8"/>
        <v>Rate Rider for Deferral/Variance Account Disposition (2013) - effective until December 31, 2013</v>
      </c>
      <c r="C40" s="27" t="str">
        <f t="shared" si="9"/>
        <v>$/kW</v>
      </c>
      <c r="D40" s="11">
        <f>+$E$23</f>
        <v>5</v>
      </c>
      <c r="E40" s="93">
        <f t="shared" si="10"/>
        <v>0</v>
      </c>
      <c r="F40" s="13">
        <f t="shared" si="3"/>
        <v>0</v>
      </c>
      <c r="G40" s="64">
        <f t="shared" si="2"/>
        <v>5</v>
      </c>
      <c r="H40" s="93">
        <f t="shared" si="11"/>
        <v>-0.8028</v>
      </c>
      <c r="I40" s="13">
        <f t="shared" si="4"/>
        <v>-4.013999999999999</v>
      </c>
      <c r="J40" s="13">
        <f t="shared" si="5"/>
        <v>-4.013999999999999</v>
      </c>
      <c r="K40" s="14">
        <f t="shared" si="6"/>
        <v>0</v>
      </c>
      <c r="L40" s="15">
        <f t="shared" si="7"/>
        <v>-0.05053228768736112</v>
      </c>
    </row>
    <row r="41" spans="2:12" ht="24">
      <c r="B41" s="24" t="str">
        <f t="shared" si="8"/>
        <v>Rate Rider for Global Adjustment Sub-Account Disposition (2012) - effective until April 30, 2013 Applicable only for Non-RPP Customers</v>
      </c>
      <c r="C41" s="27" t="str">
        <f t="shared" si="9"/>
        <v>$/kW</v>
      </c>
      <c r="D41" s="11">
        <f>+$E$23</f>
        <v>5</v>
      </c>
      <c r="E41" s="93">
        <f t="shared" si="10"/>
        <v>0</v>
      </c>
      <c r="F41" s="13">
        <f t="shared" si="3"/>
        <v>0</v>
      </c>
      <c r="G41" s="64">
        <f t="shared" si="2"/>
        <v>5</v>
      </c>
      <c r="H41" s="93">
        <f t="shared" si="11"/>
        <v>0</v>
      </c>
      <c r="I41" s="13">
        <f t="shared" si="4"/>
        <v>0</v>
      </c>
      <c r="J41" s="13">
        <f t="shared" si="1"/>
        <v>0</v>
      </c>
      <c r="K41" s="14">
        <f>IF(ISERROR(J41/F41),1,J41/F41)</f>
        <v>1</v>
      </c>
      <c r="L41" s="15">
        <f aca="true" t="shared" si="12" ref="L41:L60">IF(ISERROR(I41/I$60),0,I41/I$60)</f>
        <v>0</v>
      </c>
    </row>
    <row r="42" spans="2:12" ht="24">
      <c r="B42" s="24" t="str">
        <f t="shared" si="8"/>
        <v>Rate Rider for Global Adjustment Sub-Account Disposition (2013) - effective until December 31, 2013 Applicable only for Non-RPP Customers</v>
      </c>
      <c r="C42" s="27" t="str">
        <f t="shared" si="9"/>
        <v>$/kW</v>
      </c>
      <c r="D42" s="11">
        <f>+$E$23</f>
        <v>5</v>
      </c>
      <c r="E42" s="93">
        <f t="shared" si="10"/>
        <v>0</v>
      </c>
      <c r="F42" s="13">
        <f t="shared" si="3"/>
        <v>0</v>
      </c>
      <c r="G42" s="64">
        <f t="shared" si="2"/>
        <v>5</v>
      </c>
      <c r="H42" s="93">
        <f t="shared" si="11"/>
        <v>0</v>
      </c>
      <c r="I42" s="13">
        <f t="shared" si="4"/>
        <v>0</v>
      </c>
      <c r="J42" s="13">
        <f t="shared" si="1"/>
        <v>0</v>
      </c>
      <c r="K42" s="14">
        <f t="shared" si="0"/>
        <v>0</v>
      </c>
      <c r="L42" s="15">
        <f t="shared" si="12"/>
        <v>0</v>
      </c>
    </row>
    <row r="43" spans="2:12" ht="12">
      <c r="B43" s="24" t="str">
        <f t="shared" si="8"/>
        <v>Rate Rider for Tax Change - effective until April 30, 2013</v>
      </c>
      <c r="C43" s="27" t="str">
        <f t="shared" si="9"/>
        <v>$/kW</v>
      </c>
      <c r="D43" s="11">
        <f>+$E$23</f>
        <v>5</v>
      </c>
      <c r="E43" s="93">
        <f t="shared" si="10"/>
        <v>-0.2651</v>
      </c>
      <c r="F43" s="13">
        <f t="shared" si="3"/>
        <v>-1.3255</v>
      </c>
      <c r="G43" s="64">
        <f t="shared" si="2"/>
        <v>5</v>
      </c>
      <c r="H43" s="93">
        <f t="shared" si="11"/>
        <v>-0.2651</v>
      </c>
      <c r="I43" s="13">
        <f t="shared" si="4"/>
        <v>-1.3255</v>
      </c>
      <c r="J43" s="13">
        <f t="shared" si="1"/>
        <v>0</v>
      </c>
      <c r="K43" s="14">
        <f t="shared" si="0"/>
        <v>0</v>
      </c>
      <c r="L43" s="15">
        <f t="shared" si="12"/>
        <v>-0.016686733265968402</v>
      </c>
    </row>
    <row r="44" spans="2:12" ht="12">
      <c r="B44" s="24" t="str">
        <f t="shared" si="8"/>
        <v>Rate Rider for Tax Change - effective until December 31, 2013</v>
      </c>
      <c r="C44" s="27" t="str">
        <f t="shared" si="9"/>
        <v>$/kW</v>
      </c>
      <c r="D44" s="11">
        <f>+$E$23</f>
        <v>5</v>
      </c>
      <c r="E44" s="93">
        <f t="shared" si="10"/>
        <v>0</v>
      </c>
      <c r="F44" s="13">
        <f t="shared" si="3"/>
        <v>0</v>
      </c>
      <c r="G44" s="64">
        <f t="shared" si="2"/>
        <v>5</v>
      </c>
      <c r="H44" s="93">
        <f t="shared" si="11"/>
        <v>0</v>
      </c>
      <c r="I44" s="13">
        <f t="shared" si="4"/>
        <v>0</v>
      </c>
      <c r="J44" s="13">
        <f>I44-F44</f>
        <v>0</v>
      </c>
      <c r="K44" s="14">
        <f>IF(ISERROR(J44/F44),0,J44/F44)</f>
        <v>0</v>
      </c>
      <c r="L44" s="15">
        <f t="shared" si="12"/>
        <v>0</v>
      </c>
    </row>
    <row r="45" spans="2:12" ht="12">
      <c r="B45" s="24" t="str">
        <f t="shared" si="8"/>
        <v>Rate Rider for PILS - effective until December 31, 2014</v>
      </c>
      <c r="C45" s="27" t="str">
        <f t="shared" si="9"/>
        <v>$/kW</v>
      </c>
      <c r="D45" s="11">
        <f>+$E$23</f>
        <v>5</v>
      </c>
      <c r="E45" s="93">
        <f t="shared" si="10"/>
        <v>0</v>
      </c>
      <c r="F45" s="13">
        <f t="shared" si="3"/>
        <v>0</v>
      </c>
      <c r="G45" s="64">
        <f t="shared" si="2"/>
        <v>5</v>
      </c>
      <c r="H45" s="93">
        <f t="shared" si="11"/>
        <v>-1.15517</v>
      </c>
      <c r="I45" s="13">
        <f t="shared" si="4"/>
        <v>-5.77585</v>
      </c>
      <c r="J45" s="13">
        <f>I45-F45</f>
        <v>-5.77585</v>
      </c>
      <c r="K45" s="14">
        <f>IF(ISERROR(J45/F45),0,J45/F45)</f>
        <v>0</v>
      </c>
      <c r="L45" s="15">
        <f t="shared" si="12"/>
        <v>-0.07271223563503856</v>
      </c>
    </row>
    <row r="46" spans="2:12" ht="12">
      <c r="B46" s="126" t="s">
        <v>26</v>
      </c>
      <c r="C46" s="100"/>
      <c r="D46" s="101"/>
      <c r="E46" s="102"/>
      <c r="F46" s="104">
        <f>SUM(F34:F45)</f>
        <v>41.141</v>
      </c>
      <c r="G46" s="102"/>
      <c r="H46" s="102"/>
      <c r="I46" s="104">
        <f>SUM(I34:I45)</f>
        <v>36.51415</v>
      </c>
      <c r="J46" s="104">
        <f>I46-F46</f>
        <v>-4.6268499999999975</v>
      </c>
      <c r="K46" s="105">
        <f>IF(ISERROR(J46/F46),0,J46/F46)</f>
        <v>-0.11246323618774452</v>
      </c>
      <c r="L46" s="127">
        <f t="shared" si="12"/>
        <v>0.45967701356737856</v>
      </c>
    </row>
    <row r="47" spans="2:12" ht="12">
      <c r="B47" s="24" t="str">
        <f>B16</f>
        <v>Retail Transmission Rate - Network Service Rate</v>
      </c>
      <c r="C47" s="27" t="str">
        <f>+C16</f>
        <v>$/kW</v>
      </c>
      <c r="D47" s="157">
        <f>+$E$23</f>
        <v>5</v>
      </c>
      <c r="E47" s="12">
        <f>D16</f>
        <v>1.226</v>
      </c>
      <c r="F47" s="13">
        <f>D47*E47</f>
        <v>6.13</v>
      </c>
      <c r="G47" s="157">
        <f>+D47</f>
        <v>5</v>
      </c>
      <c r="H47" s="12">
        <f>E16</f>
        <v>1.3145</v>
      </c>
      <c r="I47" s="13">
        <f>G47*H47</f>
        <v>6.5725</v>
      </c>
      <c r="J47" s="13">
        <f t="shared" si="1"/>
        <v>0.4424999999999999</v>
      </c>
      <c r="K47" s="14">
        <f t="shared" si="0"/>
        <v>0.07218597063621532</v>
      </c>
      <c r="L47" s="15">
        <f t="shared" si="12"/>
        <v>0.08274127075864002</v>
      </c>
    </row>
    <row r="48" spans="2:12" ht="12">
      <c r="B48" s="24" t="str">
        <f>B17</f>
        <v>Retail Transmission Rate - Line and Transformation Connection Service Rate</v>
      </c>
      <c r="C48" s="27" t="str">
        <f>+C17</f>
        <v>$/kW</v>
      </c>
      <c r="D48" s="157">
        <f>+$E$23</f>
        <v>5</v>
      </c>
      <c r="E48" s="12">
        <f>D17</f>
        <v>1.0168</v>
      </c>
      <c r="F48" s="13">
        <f>D48*E48</f>
        <v>5.084</v>
      </c>
      <c r="G48" s="157">
        <f>+D48</f>
        <v>5</v>
      </c>
      <c r="H48" s="12">
        <f>E17</f>
        <v>1.0334</v>
      </c>
      <c r="I48" s="13">
        <f>G48*H48</f>
        <v>5.167000000000001</v>
      </c>
      <c r="J48" s="13">
        <f>I48-F48</f>
        <v>0.08300000000000107</v>
      </c>
      <c r="K48" s="14">
        <f>IF(ISERROR(J48/F48),0,J48/F48)</f>
        <v>0.01632572777340698</v>
      </c>
      <c r="L48" s="15">
        <f t="shared" si="12"/>
        <v>0.06504741666183234</v>
      </c>
    </row>
    <row r="49" spans="2:12" ht="12">
      <c r="B49" s="126" t="s">
        <v>18</v>
      </c>
      <c r="C49" s="100"/>
      <c r="D49" s="101"/>
      <c r="E49" s="102"/>
      <c r="F49" s="104">
        <f>+SUM(F47:F48)</f>
        <v>11.213999999999999</v>
      </c>
      <c r="G49" s="102"/>
      <c r="H49" s="102"/>
      <c r="I49" s="104">
        <f>+SUM(I47:I48)</f>
        <v>11.7395</v>
      </c>
      <c r="J49" s="104">
        <f>I49-F49</f>
        <v>0.525500000000001</v>
      </c>
      <c r="K49" s="105">
        <f>IF(ISERROR(J49/F49),0,J49/F49)</f>
        <v>0.046861066523987964</v>
      </c>
      <c r="L49" s="127">
        <f t="shared" si="12"/>
        <v>0.14778868742047233</v>
      </c>
    </row>
    <row r="50" spans="2:12" ht="12">
      <c r="B50" s="128" t="s">
        <v>27</v>
      </c>
      <c r="C50" s="107"/>
      <c r="D50" s="108"/>
      <c r="E50" s="109"/>
      <c r="F50" s="110">
        <f>F46+F49</f>
        <v>52.355</v>
      </c>
      <c r="G50" s="109"/>
      <c r="H50" s="109"/>
      <c r="I50" s="110">
        <f>I46+I49</f>
        <v>48.25365</v>
      </c>
      <c r="J50" s="110">
        <f t="shared" si="1"/>
        <v>-4.1013499999999965</v>
      </c>
      <c r="K50" s="111">
        <f t="shared" si="0"/>
        <v>-0.0783373125775952</v>
      </c>
      <c r="L50" s="129">
        <f t="shared" si="12"/>
        <v>0.6074657009878509</v>
      </c>
    </row>
    <row r="51" spans="2:12" ht="12">
      <c r="B51" s="24" t="str">
        <f>B18</f>
        <v>Wholesale Market Service Rate</v>
      </c>
      <c r="C51" s="158" t="str">
        <f>C18</f>
        <v>$/kWh</v>
      </c>
      <c r="D51" s="11">
        <f>+$C$25</f>
        <v>322</v>
      </c>
      <c r="E51" s="12">
        <f>D18</f>
        <v>0.0052</v>
      </c>
      <c r="F51" s="13">
        <f>D51*E51</f>
        <v>1.6743999999999999</v>
      </c>
      <c r="G51" s="11">
        <f>+$H$25</f>
        <v>333</v>
      </c>
      <c r="H51" s="12">
        <f>E18</f>
        <v>0.0052</v>
      </c>
      <c r="I51" s="13">
        <f>G51*H51</f>
        <v>1.7316</v>
      </c>
      <c r="J51" s="13">
        <f t="shared" si="1"/>
        <v>0.05720000000000014</v>
      </c>
      <c r="K51" s="14">
        <f t="shared" si="0"/>
        <v>0.0341614906832299</v>
      </c>
      <c r="L51" s="15">
        <f t="shared" si="12"/>
        <v>0.021799130383516326</v>
      </c>
    </row>
    <row r="52" spans="2:12" ht="12">
      <c r="B52" s="24" t="str">
        <f>B19</f>
        <v>Rural Rate Protection Charge</v>
      </c>
      <c r="C52" s="158" t="str">
        <f>C19</f>
        <v>$/kWh</v>
      </c>
      <c r="D52" s="11">
        <f>+$C$25</f>
        <v>322</v>
      </c>
      <c r="E52" s="12">
        <f>D19</f>
        <v>0.0011</v>
      </c>
      <c r="F52" s="13">
        <f>D52*E52</f>
        <v>0.3542</v>
      </c>
      <c r="G52" s="11">
        <f>+$H$25</f>
        <v>333</v>
      </c>
      <c r="H52" s="12">
        <f>E19</f>
        <v>0.0011</v>
      </c>
      <c r="I52" s="13">
        <f>G52*H52</f>
        <v>0.3663</v>
      </c>
      <c r="J52" s="13">
        <f t="shared" si="1"/>
        <v>0.0121</v>
      </c>
      <c r="K52" s="14">
        <f t="shared" si="0"/>
        <v>0.03416149068322981</v>
      </c>
      <c r="L52" s="15">
        <f t="shared" si="12"/>
        <v>0.004611354504205377</v>
      </c>
    </row>
    <row r="53" spans="2:12" ht="12">
      <c r="B53" s="24" t="str">
        <f>B20</f>
        <v>Standard Supply Service - Administrative Charge (if applicable)</v>
      </c>
      <c r="C53" s="158" t="str">
        <f>C20</f>
        <v>$</v>
      </c>
      <c r="D53" s="11">
        <f>+$D$34</f>
        <v>5</v>
      </c>
      <c r="E53" s="13">
        <f>D20</f>
        <v>0.25</v>
      </c>
      <c r="F53" s="13">
        <f>D53*E53</f>
        <v>1.25</v>
      </c>
      <c r="G53" s="11">
        <f>+D53</f>
        <v>5</v>
      </c>
      <c r="H53" s="13">
        <f>E20</f>
        <v>0.25</v>
      </c>
      <c r="I53" s="13">
        <f>G53*H53</f>
        <v>1.25</v>
      </c>
      <c r="J53" s="13">
        <f t="shared" si="1"/>
        <v>0</v>
      </c>
      <c r="K53" s="14">
        <f t="shared" si="0"/>
        <v>0</v>
      </c>
      <c r="L53" s="15">
        <f t="shared" si="12"/>
        <v>0.01573626298186383</v>
      </c>
    </row>
    <row r="54" spans="2:12" ht="12">
      <c r="B54" s="128" t="s">
        <v>28</v>
      </c>
      <c r="C54" s="106"/>
      <c r="D54" s="95"/>
      <c r="E54" s="96"/>
      <c r="F54" s="97">
        <f>SUM(F51:F53)</f>
        <v>3.2786</v>
      </c>
      <c r="G54" s="96"/>
      <c r="H54" s="96"/>
      <c r="I54" s="97">
        <f>SUM(I51:I53)</f>
        <v>3.3479</v>
      </c>
      <c r="J54" s="97">
        <f t="shared" si="1"/>
        <v>0.06930000000000014</v>
      </c>
      <c r="K54" s="98">
        <f t="shared" si="0"/>
        <v>0.021137070700908967</v>
      </c>
      <c r="L54" s="125">
        <f t="shared" si="12"/>
        <v>0.042146747869585534</v>
      </c>
    </row>
    <row r="55" spans="2:12" ht="12">
      <c r="B55" s="130" t="s">
        <v>11</v>
      </c>
      <c r="C55" s="180" t="s">
        <v>9</v>
      </c>
      <c r="D55" s="112">
        <f>C23</f>
        <v>300</v>
      </c>
      <c r="E55" s="113">
        <v>0.0051</v>
      </c>
      <c r="F55" s="97">
        <f>D55*E55</f>
        <v>1.53</v>
      </c>
      <c r="G55" s="112">
        <f>D55</f>
        <v>300</v>
      </c>
      <c r="H55" s="113">
        <f>E55</f>
        <v>0.0051</v>
      </c>
      <c r="I55" s="97">
        <f>G55*H55</f>
        <v>1.53</v>
      </c>
      <c r="J55" s="97">
        <f t="shared" si="1"/>
        <v>0</v>
      </c>
      <c r="K55" s="98">
        <f t="shared" si="0"/>
        <v>0</v>
      </c>
      <c r="L55" s="125">
        <f t="shared" si="12"/>
        <v>0.019261185889801326</v>
      </c>
    </row>
    <row r="56" spans="2:12" ht="12">
      <c r="B56" s="131" t="s">
        <v>58</v>
      </c>
      <c r="C56" s="114"/>
      <c r="D56" s="79"/>
      <c r="E56" s="115"/>
      <c r="F56" s="116">
        <f>F33+F50+F54+F55</f>
        <v>81.3136</v>
      </c>
      <c r="G56" s="115"/>
      <c r="H56" s="115"/>
      <c r="I56" s="116">
        <f>I33+I50+I54+I55</f>
        <v>78.10655</v>
      </c>
      <c r="J56" s="116">
        <f t="shared" si="1"/>
        <v>-3.2070499999999953</v>
      </c>
      <c r="K56" s="117">
        <f t="shared" si="0"/>
        <v>-0.039440511796304624</v>
      </c>
      <c r="L56" s="132">
        <f t="shared" si="12"/>
        <v>0.983284169124877</v>
      </c>
    </row>
    <row r="57" spans="2:12" ht="12">
      <c r="B57" s="130" t="s">
        <v>57</v>
      </c>
      <c r="C57" s="118"/>
      <c r="D57" s="95"/>
      <c r="E57" s="119">
        <f>+Rates!$D$145</f>
        <v>0.13</v>
      </c>
      <c r="F57" s="97">
        <f>E57*F56</f>
        <v>10.570768</v>
      </c>
      <c r="G57" s="96"/>
      <c r="H57" s="119">
        <f>+E57</f>
        <v>0.13</v>
      </c>
      <c r="I57" s="97">
        <f>H57*I56</f>
        <v>10.1538515</v>
      </c>
      <c r="J57" s="97">
        <f t="shared" si="1"/>
        <v>-0.41691649999999925</v>
      </c>
      <c r="K57" s="98">
        <f t="shared" si="0"/>
        <v>-0.03944051179630461</v>
      </c>
      <c r="L57" s="125">
        <f t="shared" si="12"/>
        <v>0.127826941986234</v>
      </c>
    </row>
    <row r="58" spans="2:12" ht="12">
      <c r="B58" s="131" t="s">
        <v>59</v>
      </c>
      <c r="C58" s="114"/>
      <c r="D58" s="79"/>
      <c r="E58" s="115"/>
      <c r="F58" s="116">
        <f>+F56+F57</f>
        <v>91.884368</v>
      </c>
      <c r="G58" s="115"/>
      <c r="H58" s="115"/>
      <c r="I58" s="116">
        <f>+I56+I57</f>
        <v>88.2604015</v>
      </c>
      <c r="J58" s="116">
        <f t="shared" si="1"/>
        <v>-3.6239664999999945</v>
      </c>
      <c r="K58" s="117">
        <f t="shared" si="0"/>
        <v>-0.03944051179630462</v>
      </c>
      <c r="L58" s="132">
        <f t="shared" si="12"/>
        <v>1.1111111111111112</v>
      </c>
    </row>
    <row r="59" spans="2:12" ht="12">
      <c r="B59" s="130" t="s">
        <v>61</v>
      </c>
      <c r="C59" s="118"/>
      <c r="D59" s="95"/>
      <c r="E59" s="119">
        <f>+Rates!$D$147</f>
        <v>-0.1</v>
      </c>
      <c r="F59" s="97">
        <f>E59*F58</f>
        <v>-9.1884368</v>
      </c>
      <c r="G59" s="96"/>
      <c r="H59" s="119">
        <f>+E59</f>
        <v>-0.1</v>
      </c>
      <c r="I59" s="97">
        <f>H59*I58</f>
        <v>-8.82604015</v>
      </c>
      <c r="J59" s="97">
        <f t="shared" si="1"/>
        <v>0.3623966499999991</v>
      </c>
      <c r="K59" s="98">
        <f t="shared" si="0"/>
        <v>-0.03944051179630458</v>
      </c>
      <c r="L59" s="125">
        <f t="shared" si="12"/>
        <v>-0.11111111111111112</v>
      </c>
    </row>
    <row r="60" spans="2:12" ht="12.75" thickBot="1">
      <c r="B60" s="133" t="s">
        <v>19</v>
      </c>
      <c r="C60" s="134"/>
      <c r="D60" s="135"/>
      <c r="E60" s="136"/>
      <c r="F60" s="137">
        <f>+F58+F59</f>
        <v>82.69593119999999</v>
      </c>
      <c r="G60" s="136"/>
      <c r="H60" s="136"/>
      <c r="I60" s="137">
        <f>+I58+I59</f>
        <v>79.43436135</v>
      </c>
      <c r="J60" s="137">
        <f t="shared" si="1"/>
        <v>-3.2615698499999866</v>
      </c>
      <c r="K60" s="138">
        <f t="shared" si="0"/>
        <v>-0.03944051179630452</v>
      </c>
      <c r="L60" s="139">
        <f t="shared" si="12"/>
        <v>1</v>
      </c>
    </row>
  </sheetData>
  <sheetProtection/>
  <mergeCells count="7">
    <mergeCell ref="J29:L29"/>
    <mergeCell ref="B28:B30"/>
    <mergeCell ref="D28:F28"/>
    <mergeCell ref="G28:I28"/>
    <mergeCell ref="C29:C30"/>
    <mergeCell ref="D29:D30"/>
    <mergeCell ref="G29:G30"/>
  </mergeCells>
  <printOptions/>
  <pageMargins left="0.75" right="0.75" top="1" bottom="1" header="0.5" footer="0.5"/>
  <pageSetup fitToHeight="1" fitToWidth="1" horizontalDpi="600" verticalDpi="600" orientation="landscape" scale="61" r:id="rId1"/>
  <headerFooter alignWithMargins="0">
    <oddHeader>&amp;C&amp;"Arial,Bold"&amp;16Electricity Distribution Impacts
Sentinel Lighting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3:L60"/>
  <sheetViews>
    <sheetView showGridLines="0" zoomScalePageLayoutView="0" workbookViewId="0" topLeftCell="A19">
      <selection activeCell="H56" sqref="H56"/>
    </sheetView>
  </sheetViews>
  <sheetFormatPr defaultColWidth="9.140625" defaultRowHeight="12.75"/>
  <cols>
    <col min="1" max="1" width="4.140625" style="7" customWidth="1"/>
    <col min="2" max="2" width="78.421875" style="7" customWidth="1"/>
    <col min="3" max="3" width="10.140625" style="7" customWidth="1"/>
    <col min="4" max="4" width="10.421875" style="10" bestFit="1" customWidth="1"/>
    <col min="5" max="5" width="10.00390625" style="7" bestFit="1" customWidth="1"/>
    <col min="6" max="6" width="11.8515625" style="7" bestFit="1" customWidth="1"/>
    <col min="7" max="7" width="9.28125" style="7" bestFit="1" customWidth="1"/>
    <col min="8" max="8" width="11.00390625" style="7" customWidth="1"/>
    <col min="9" max="9" width="11.57421875" style="7" bestFit="1" customWidth="1"/>
    <col min="10" max="10" width="10.57421875" style="7" bestFit="1" customWidth="1"/>
    <col min="11" max="11" width="9.28125" style="7" bestFit="1" customWidth="1"/>
    <col min="12" max="12" width="11.7109375" style="7" bestFit="1" customWidth="1"/>
    <col min="13" max="16384" width="9.140625" style="7" customWidth="1"/>
  </cols>
  <sheetData>
    <row r="2" ht="12.75" thickBot="1"/>
    <row r="3" spans="2:5" ht="36">
      <c r="B3" s="67" t="str">
        <f>Rates!A107</f>
        <v>Street Lighting</v>
      </c>
      <c r="C3" s="68" t="str">
        <f>Rates!B4</f>
        <v>Metric</v>
      </c>
      <c r="D3" s="69" t="str">
        <f>Rates!D4</f>
        <v>Current Approved Rates</v>
      </c>
      <c r="E3" s="70" t="str">
        <f>Rates!F4</f>
        <v>Proposed Rates</v>
      </c>
    </row>
    <row r="4" spans="2:5" ht="12">
      <c r="B4" s="71" t="str">
        <f>+Rates!A108</f>
        <v>Monthly Service Charge</v>
      </c>
      <c r="C4" s="64" t="str">
        <f>Rates!B108</f>
        <v>$</v>
      </c>
      <c r="D4" s="65">
        <f>Rates!D108</f>
        <v>4.95</v>
      </c>
      <c r="E4" s="72">
        <f>Rates!F108</f>
        <v>5.53</v>
      </c>
    </row>
    <row r="5" spans="2:5" ht="12">
      <c r="B5" s="71" t="str">
        <f>+Rates!A109</f>
        <v>Monthly Service Charge Rate Rider</v>
      </c>
      <c r="C5" s="64" t="str">
        <f>Rates!B109</f>
        <v>$</v>
      </c>
      <c r="D5" s="65">
        <f>Rates!D109</f>
        <v>0</v>
      </c>
      <c r="E5" s="72">
        <f>Rates!F109</f>
        <v>0</v>
      </c>
    </row>
    <row r="6" spans="2:5" ht="12">
      <c r="B6" s="71" t="str">
        <f>+Rates!A110</f>
        <v>Distribution Volumetric Rate</v>
      </c>
      <c r="C6" s="64" t="str">
        <f>Rates!B110</f>
        <v>$/kW</v>
      </c>
      <c r="D6" s="66">
        <f>Rates!D110</f>
        <v>9.6594</v>
      </c>
      <c r="E6" s="73">
        <f>Rates!F110</f>
        <v>10.7852</v>
      </c>
    </row>
    <row r="7" spans="2:5" ht="12">
      <c r="B7" s="71" t="str">
        <f>+Rates!A111</f>
        <v>Distribution Volumetric Rate Rider</v>
      </c>
      <c r="C7" s="64" t="str">
        <f>Rates!B111</f>
        <v>$/kW</v>
      </c>
      <c r="D7" s="66">
        <f>Rates!D111</f>
        <v>0</v>
      </c>
      <c r="E7" s="73">
        <f>Rates!F111</f>
        <v>0</v>
      </c>
    </row>
    <row r="8" spans="2:5" ht="12">
      <c r="B8" s="71" t="str">
        <f>+Rates!A112</f>
        <v>Low Voltage Service Rate</v>
      </c>
      <c r="C8" s="64" t="str">
        <f>Rates!B112</f>
        <v>$/kW</v>
      </c>
      <c r="D8" s="66">
        <f>Rates!D112</f>
        <v>0.4222</v>
      </c>
      <c r="E8" s="73">
        <f>Rates!F112</f>
        <v>0.4286</v>
      </c>
    </row>
    <row r="9" spans="2:5" ht="12">
      <c r="B9" s="71" t="str">
        <f>+Rates!A113</f>
        <v>Rate Rider for Deferral/Variance Account Disposition (2012) - effective until April 30, 2013</v>
      </c>
      <c r="C9" s="64" t="str">
        <f>Rates!B113</f>
        <v>$/kW</v>
      </c>
      <c r="D9" s="66">
        <f>Rates!D113</f>
        <v>0</v>
      </c>
      <c r="E9" s="73">
        <f>Rates!F113</f>
        <v>0</v>
      </c>
    </row>
    <row r="10" spans="2:5" ht="12">
      <c r="B10" s="71" t="str">
        <f>+Rates!A114</f>
        <v>Rate Rider for Deferral/Variance Account Disposition (2013) - effective until December 31, 2013</v>
      </c>
      <c r="C10" s="64" t="str">
        <f>Rates!B114</f>
        <v>$/kW</v>
      </c>
      <c r="D10" s="66">
        <f>Rates!D114</f>
        <v>0</v>
      </c>
      <c r="E10" s="73">
        <f>Rates!F114</f>
        <v>-0.5817</v>
      </c>
    </row>
    <row r="11" spans="2:5" ht="24">
      <c r="B11" s="71" t="str">
        <f>+Rates!A115</f>
        <v>Rate Rider for Global Adjustment Sub-Account Disposition (2012) - effective until April 30, 2013 Applicable only for Non-RPP Customers</v>
      </c>
      <c r="C11" s="64" t="str">
        <f>Rates!B115</f>
        <v>$/kW</v>
      </c>
      <c r="D11" s="66">
        <f>Rates!D115</f>
        <v>0</v>
      </c>
      <c r="E11" s="73">
        <f>Rates!F115</f>
        <v>0</v>
      </c>
    </row>
    <row r="12" spans="2:5" ht="24">
      <c r="B12" s="71" t="str">
        <f>+Rates!A116</f>
        <v>Rate Rider for Global Adjustment Sub-Account Disposition (2013) - effective until December 31, 2013 Applicable only for Non-RPP Customers</v>
      </c>
      <c r="C12" s="64" t="str">
        <f>Rates!B116</f>
        <v>$/kW</v>
      </c>
      <c r="D12" s="66">
        <f>Rates!D116</f>
        <v>0</v>
      </c>
      <c r="E12" s="73"/>
    </row>
    <row r="13" spans="2:5" ht="12">
      <c r="B13" s="71" t="str">
        <f>+Rates!A117</f>
        <v>Rate Rider for Tax Change - effective until April 30, 2013</v>
      </c>
      <c r="C13" s="64" t="str">
        <f>Rates!B117</f>
        <v>$/kW</v>
      </c>
      <c r="D13" s="66">
        <f>Rates!D117</f>
        <v>-0.4273</v>
      </c>
      <c r="E13" s="73">
        <f>Rates!F117</f>
        <v>-0.4273</v>
      </c>
    </row>
    <row r="14" spans="2:5" ht="12">
      <c r="B14" s="71" t="str">
        <f>+Rates!A118</f>
        <v>Rate Rider for Tax Change - effective until December 31, 2013</v>
      </c>
      <c r="C14" s="64" t="str">
        <f>Rates!B118</f>
        <v>$/kW</v>
      </c>
      <c r="D14" s="66">
        <f>Rates!D118</f>
        <v>0</v>
      </c>
      <c r="E14" s="73">
        <f>Rates!F118</f>
        <v>0</v>
      </c>
    </row>
    <row r="15" spans="2:5" ht="12">
      <c r="B15" s="71" t="str">
        <f>+Rates!A119</f>
        <v>Rate Rider for PILS - effective until December 31, 2014</v>
      </c>
      <c r="C15" s="64" t="str">
        <f>Rates!B119</f>
        <v>$/kW</v>
      </c>
      <c r="D15" s="66">
        <f>Rates!D119</f>
        <v>0</v>
      </c>
      <c r="E15" s="73">
        <f>Rates!F119</f>
        <v>-0.71472</v>
      </c>
    </row>
    <row r="16" spans="2:5" ht="12">
      <c r="B16" s="71" t="str">
        <f>+Rates!A120</f>
        <v>Retail Transmission Rate - Network Service Rate</v>
      </c>
      <c r="C16" s="64" t="str">
        <f>Rates!B120</f>
        <v>$/kW</v>
      </c>
      <c r="D16" s="66">
        <f>Rates!D120</f>
        <v>1.2197</v>
      </c>
      <c r="E16" s="73">
        <f>Rates!F120</f>
        <v>1.3077</v>
      </c>
    </row>
    <row r="17" spans="2:5" ht="12">
      <c r="B17" s="71" t="str">
        <f>+Rates!A121</f>
        <v>Retail Transmission Rate - Line and Transformation Connection Service Rate</v>
      </c>
      <c r="C17" s="64" t="str">
        <f>Rates!B121</f>
        <v>$/kW</v>
      </c>
      <c r="D17" s="66">
        <f>Rates!D121</f>
        <v>0.9958</v>
      </c>
      <c r="E17" s="73">
        <f>Rates!F121</f>
        <v>1.0121</v>
      </c>
    </row>
    <row r="18" spans="2:5" ht="12.75" thickBot="1">
      <c r="B18" s="71" t="str">
        <f>+Rates!A122</f>
        <v>Wholesale Market Service Rate</v>
      </c>
      <c r="C18" s="64" t="str">
        <f>Rates!B122</f>
        <v>$/kWh</v>
      </c>
      <c r="D18" s="66">
        <f>Rates!D122</f>
        <v>0.0052</v>
      </c>
      <c r="E18" s="73">
        <f>Rates!F122</f>
        <v>0.0052</v>
      </c>
    </row>
    <row r="19" spans="2:10" ht="12">
      <c r="B19" s="71" t="str">
        <f>+Rates!A123</f>
        <v>Rural Rate Protection Charge</v>
      </c>
      <c r="C19" s="64" t="str">
        <f>Rates!B123</f>
        <v>$/kWh</v>
      </c>
      <c r="D19" s="66">
        <f>Rates!D123</f>
        <v>0.0011</v>
      </c>
      <c r="E19" s="73">
        <f>Rates!F123</f>
        <v>0.0011</v>
      </c>
      <c r="H19" s="160"/>
      <c r="I19" s="152" t="s">
        <v>72</v>
      </c>
      <c r="J19" s="161" t="s">
        <v>90</v>
      </c>
    </row>
    <row r="20" spans="2:10" ht="12.75" thickBot="1">
      <c r="B20" s="74" t="str">
        <f>+Rates!A124</f>
        <v>Standard Supply Service - Administrative Charge (if applicable)</v>
      </c>
      <c r="C20" s="75" t="str">
        <f>Rates!B124</f>
        <v>$</v>
      </c>
      <c r="D20" s="76">
        <f>Rates!D124</f>
        <v>0.25</v>
      </c>
      <c r="E20" s="77">
        <f>Rates!F124</f>
        <v>0.25</v>
      </c>
      <c r="H20" s="166" t="s">
        <v>13</v>
      </c>
      <c r="I20" s="79">
        <f>Rates!$D$134</f>
        <v>1.0719</v>
      </c>
      <c r="J20" s="167">
        <f>Rates!$F$134</f>
        <v>1.1113</v>
      </c>
    </row>
    <row r="21" spans="2:10" ht="12.75" thickBot="1">
      <c r="B21" s="60"/>
      <c r="C21" s="61"/>
      <c r="D21" s="62"/>
      <c r="E21" s="62"/>
      <c r="H21" s="148" t="s">
        <v>89</v>
      </c>
      <c r="I21" s="168">
        <f>C23/(E23*24*365/12)</f>
        <v>0.4884782839545503</v>
      </c>
      <c r="J21" s="169"/>
    </row>
    <row r="22" spans="3:4" ht="12.75" thickBot="1">
      <c r="C22" s="10"/>
      <c r="D22" s="7"/>
    </row>
    <row r="23" spans="2:11" ht="13.5" thickBot="1">
      <c r="B23" s="80" t="s">
        <v>88</v>
      </c>
      <c r="C23" s="81">
        <v>46000</v>
      </c>
      <c r="D23" s="146" t="s">
        <v>15</v>
      </c>
      <c r="E23" s="147">
        <v>129</v>
      </c>
      <c r="F23" s="87" t="s">
        <v>16</v>
      </c>
      <c r="G23" s="31"/>
      <c r="H23" s="170">
        <f>C23</f>
        <v>46000</v>
      </c>
      <c r="I23" s="146" t="s">
        <v>15</v>
      </c>
      <c r="J23" s="171">
        <f>E23</f>
        <v>129</v>
      </c>
      <c r="K23" s="87" t="s">
        <v>16</v>
      </c>
    </row>
    <row r="24" spans="2:11" ht="12.75">
      <c r="B24" s="82" t="s">
        <v>53</v>
      </c>
      <c r="C24" s="78">
        <f>ROUND(C23*I20-C23,0)</f>
        <v>3307</v>
      </c>
      <c r="D24" s="83" t="s">
        <v>15</v>
      </c>
      <c r="E24" s="155"/>
      <c r="F24" s="32"/>
      <c r="G24" s="31"/>
      <c r="H24" s="78">
        <f>ROUND(H23*J20-H23,0)</f>
        <v>5120</v>
      </c>
      <c r="I24" s="83" t="s">
        <v>15</v>
      </c>
      <c r="J24" s="155"/>
      <c r="K24" s="32"/>
    </row>
    <row r="25" spans="2:11" ht="12.75">
      <c r="B25" s="82" t="s">
        <v>54</v>
      </c>
      <c r="C25" s="78">
        <f>+C23+C24</f>
        <v>49307</v>
      </c>
      <c r="D25" s="83" t="s">
        <v>15</v>
      </c>
      <c r="E25" s="156"/>
      <c r="F25" s="32"/>
      <c r="G25" s="31"/>
      <c r="H25" s="78">
        <f>+H23+H24</f>
        <v>51120</v>
      </c>
      <c r="I25" s="83" t="s">
        <v>15</v>
      </c>
      <c r="J25" s="156"/>
      <c r="K25" s="32"/>
    </row>
    <row r="26" spans="2:11" ht="13.5" thickBot="1">
      <c r="B26" s="84" t="s">
        <v>17</v>
      </c>
      <c r="C26" s="85">
        <f>+Rates!$D$140</f>
        <v>750</v>
      </c>
      <c r="D26" s="86" t="s">
        <v>15</v>
      </c>
      <c r="E26" s="31"/>
      <c r="F26" s="31"/>
      <c r="G26" s="31"/>
      <c r="H26" s="85">
        <f>+Rates!$D$140</f>
        <v>750</v>
      </c>
      <c r="I26" s="86" t="s">
        <v>15</v>
      </c>
      <c r="J26" s="31"/>
      <c r="K26" s="31"/>
    </row>
    <row r="27" ht="12.75" thickBot="1"/>
    <row r="28" spans="2:12" ht="13.5" customHeight="1">
      <c r="B28" s="188" t="str">
        <f>B3</f>
        <v>Street Lighting</v>
      </c>
      <c r="C28" s="120"/>
      <c r="D28" s="190" t="str">
        <f>+D3</f>
        <v>Current Approved Rates</v>
      </c>
      <c r="E28" s="190"/>
      <c r="F28" s="190"/>
      <c r="G28" s="190" t="str">
        <f>+E3</f>
        <v>Proposed Rates</v>
      </c>
      <c r="H28" s="190"/>
      <c r="I28" s="190"/>
      <c r="J28" s="120"/>
      <c r="K28" s="120"/>
      <c r="L28" s="121"/>
    </row>
    <row r="29" spans="2:12" ht="12.75" customHeight="1">
      <c r="B29" s="189"/>
      <c r="C29" s="186" t="str">
        <f>+C3</f>
        <v>Metric</v>
      </c>
      <c r="D29" s="186" t="s">
        <v>55</v>
      </c>
      <c r="E29" s="150" t="s">
        <v>23</v>
      </c>
      <c r="F29" s="150" t="s">
        <v>24</v>
      </c>
      <c r="G29" s="186" t="s">
        <v>55</v>
      </c>
      <c r="H29" s="150" t="s">
        <v>23</v>
      </c>
      <c r="I29" s="150" t="s">
        <v>24</v>
      </c>
      <c r="J29" s="184" t="s">
        <v>30</v>
      </c>
      <c r="K29" s="184"/>
      <c r="L29" s="185"/>
    </row>
    <row r="30" spans="2:12" ht="12" customHeight="1">
      <c r="B30" s="189"/>
      <c r="C30" s="187"/>
      <c r="D30" s="187"/>
      <c r="E30" s="150" t="s">
        <v>8</v>
      </c>
      <c r="F30" s="150" t="s">
        <v>8</v>
      </c>
      <c r="G30" s="187"/>
      <c r="H30" s="150" t="s">
        <v>8</v>
      </c>
      <c r="I30" s="150" t="s">
        <v>8</v>
      </c>
      <c r="J30" s="150" t="s">
        <v>8</v>
      </c>
      <c r="K30" s="141" t="s">
        <v>12</v>
      </c>
      <c r="L30" s="151" t="s">
        <v>20</v>
      </c>
    </row>
    <row r="31" spans="2:12" ht="12">
      <c r="B31" s="123" t="s">
        <v>21</v>
      </c>
      <c r="C31" s="28" t="str">
        <f>+Rates!B137</f>
        <v>$/kWh</v>
      </c>
      <c r="D31" s="11">
        <f>IF(C25&gt;C26,C26,C25)</f>
        <v>750</v>
      </c>
      <c r="E31" s="12">
        <f>Rates!D137</f>
        <v>0.075</v>
      </c>
      <c r="F31" s="93">
        <f>D31*E31</f>
        <v>56.25</v>
      </c>
      <c r="G31" s="11">
        <f>IF(H25&gt;H26,H26,H25)</f>
        <v>750</v>
      </c>
      <c r="H31" s="12">
        <f>+E31</f>
        <v>0.075</v>
      </c>
      <c r="I31" s="93">
        <f>G31*H31</f>
        <v>56.25</v>
      </c>
      <c r="J31" s="13">
        <f>I31-F31</f>
        <v>0</v>
      </c>
      <c r="K31" s="14">
        <f>IF(ISERROR(J31/F31),1,J31/F31)</f>
        <v>0</v>
      </c>
      <c r="L31" s="15">
        <f>IF(ISERROR(I31/I$60),0,I31/I$60)</f>
        <v>0.004698837312048055</v>
      </c>
    </row>
    <row r="32" spans="2:12" ht="12">
      <c r="B32" s="123" t="s">
        <v>22</v>
      </c>
      <c r="C32" s="28" t="str">
        <f>+Rates!B138</f>
        <v>$/kWh</v>
      </c>
      <c r="D32" s="11">
        <f>IF(C25&gt;=C26,C25-C26,0)</f>
        <v>48557</v>
      </c>
      <c r="E32" s="12">
        <f>Rates!D138</f>
        <v>0.088</v>
      </c>
      <c r="F32" s="13">
        <f>D32*E32</f>
        <v>4273.016</v>
      </c>
      <c r="G32" s="11">
        <f>IF(H25&gt;=H26,H25-H26,0)</f>
        <v>50370</v>
      </c>
      <c r="H32" s="12">
        <f>+E32</f>
        <v>0.088</v>
      </c>
      <c r="I32" s="13">
        <f>G32*H32</f>
        <v>4432.5599999999995</v>
      </c>
      <c r="J32" s="13">
        <f>I32-F32</f>
        <v>159.54399999999987</v>
      </c>
      <c r="K32" s="14">
        <f aca="true" t="shared" si="0" ref="K32:K60">IF(ISERROR(J32/F32),0,J32/F32)</f>
        <v>0.03733756204048847</v>
      </c>
      <c r="L32" s="15">
        <f>IF(ISERROR(I32/I$60),0,I32/I$60)</f>
        <v>0.37027339228251954</v>
      </c>
    </row>
    <row r="33" spans="2:12" ht="12">
      <c r="B33" s="124" t="s">
        <v>25</v>
      </c>
      <c r="C33" s="94"/>
      <c r="D33" s="95"/>
      <c r="E33" s="96"/>
      <c r="F33" s="97">
        <f>SUM(F31:F32)</f>
        <v>4329.266</v>
      </c>
      <c r="G33" s="96"/>
      <c r="H33" s="96"/>
      <c r="I33" s="97">
        <f>SUM(I31:I32)</f>
        <v>4488.8099999999995</v>
      </c>
      <c r="J33" s="97">
        <f aca="true" t="shared" si="1" ref="J33:J60">I33-F33</f>
        <v>159.54399999999987</v>
      </c>
      <c r="K33" s="98">
        <f t="shared" si="0"/>
        <v>0.036852436417628275</v>
      </c>
      <c r="L33" s="125">
        <f>IF(ISERROR(I33/I$60),0,I33/I$60)</f>
        <v>0.3749722295945676</v>
      </c>
    </row>
    <row r="34" spans="2:12" ht="12">
      <c r="B34" s="24" t="str">
        <f>B4</f>
        <v>Monthly Service Charge</v>
      </c>
      <c r="C34" s="27" t="str">
        <f>+C4</f>
        <v>$</v>
      </c>
      <c r="D34" s="144">
        <v>900</v>
      </c>
      <c r="E34" s="93">
        <f>D4</f>
        <v>4.95</v>
      </c>
      <c r="F34" s="13">
        <f>D34*E34</f>
        <v>4455</v>
      </c>
      <c r="G34" s="64">
        <f aca="true" t="shared" si="2" ref="G34:G45">+D34</f>
        <v>900</v>
      </c>
      <c r="H34" s="93">
        <f>E4</f>
        <v>5.53</v>
      </c>
      <c r="I34" s="13">
        <f>G34*H34</f>
        <v>4977</v>
      </c>
      <c r="J34" s="13">
        <f t="shared" si="1"/>
        <v>522</v>
      </c>
      <c r="K34" s="14">
        <f t="shared" si="0"/>
        <v>0.11717171717171718</v>
      </c>
      <c r="L34" s="15">
        <f>IF(ISERROR(I34/I$60),0,I34/I$60)</f>
        <v>0.4157531253700119</v>
      </c>
    </row>
    <row r="35" spans="2:12" ht="12">
      <c r="B35" s="24" t="str">
        <f>B5</f>
        <v>Monthly Service Charge Rate Rider</v>
      </c>
      <c r="C35" s="27" t="str">
        <f>+C5</f>
        <v>$</v>
      </c>
      <c r="D35" s="149">
        <f>D34</f>
        <v>900</v>
      </c>
      <c r="E35" s="93">
        <f>D5</f>
        <v>0</v>
      </c>
      <c r="F35" s="13">
        <f aca="true" t="shared" si="3" ref="F35:F45">D35*E35</f>
        <v>0</v>
      </c>
      <c r="G35" s="64">
        <f>D35</f>
        <v>900</v>
      </c>
      <c r="H35" s="93">
        <f>E5</f>
        <v>0</v>
      </c>
      <c r="I35" s="13">
        <f aca="true" t="shared" si="4" ref="I35:I45">G35*H35</f>
        <v>0</v>
      </c>
      <c r="J35" s="13">
        <f t="shared" si="1"/>
        <v>0</v>
      </c>
      <c r="K35" s="14">
        <f t="shared" si="0"/>
        <v>0</v>
      </c>
      <c r="L35" s="15">
        <f aca="true" t="shared" si="5" ref="L35:L40">IF(ISERROR(I35/I$60),0,I35/I$60)</f>
        <v>0</v>
      </c>
    </row>
    <row r="36" spans="2:12" ht="12">
      <c r="B36" s="24" t="str">
        <f>B6</f>
        <v>Distribution Volumetric Rate</v>
      </c>
      <c r="C36" s="27" t="str">
        <f>+C6</f>
        <v>$/kW</v>
      </c>
      <c r="D36" s="11">
        <f>+$E$23</f>
        <v>129</v>
      </c>
      <c r="E36" s="93">
        <f>D6</f>
        <v>9.6594</v>
      </c>
      <c r="F36" s="13">
        <f t="shared" si="3"/>
        <v>1246.0626</v>
      </c>
      <c r="G36" s="64">
        <f t="shared" si="2"/>
        <v>129</v>
      </c>
      <c r="H36" s="93">
        <f>E6</f>
        <v>10.7852</v>
      </c>
      <c r="I36" s="13">
        <f t="shared" si="4"/>
        <v>1391.2908</v>
      </c>
      <c r="J36" s="13">
        <f t="shared" si="1"/>
        <v>145.22820000000002</v>
      </c>
      <c r="K36" s="14">
        <f t="shared" si="0"/>
        <v>0.1165496821748763</v>
      </c>
      <c r="L36" s="15">
        <f t="shared" si="5"/>
        <v>0.1162213177413189</v>
      </c>
    </row>
    <row r="37" spans="2:12" ht="12">
      <c r="B37" s="24" t="str">
        <f>B7</f>
        <v>Distribution Volumetric Rate Rider</v>
      </c>
      <c r="C37" s="27" t="str">
        <f>+C7</f>
        <v>$/kW</v>
      </c>
      <c r="D37" s="11">
        <f>+$E$23</f>
        <v>129</v>
      </c>
      <c r="E37" s="93">
        <f>D7</f>
        <v>0</v>
      </c>
      <c r="F37" s="13">
        <f t="shared" si="3"/>
        <v>0</v>
      </c>
      <c r="G37" s="64">
        <f t="shared" si="2"/>
        <v>129</v>
      </c>
      <c r="H37" s="93">
        <f>E7</f>
        <v>0</v>
      </c>
      <c r="I37" s="13">
        <f t="shared" si="4"/>
        <v>0</v>
      </c>
      <c r="J37" s="13">
        <f t="shared" si="1"/>
        <v>0</v>
      </c>
      <c r="K37" s="14">
        <f t="shared" si="0"/>
        <v>0</v>
      </c>
      <c r="L37" s="15">
        <f t="shared" si="5"/>
        <v>0</v>
      </c>
    </row>
    <row r="38" spans="2:12" ht="12">
      <c r="B38" s="24" t="str">
        <f>B8</f>
        <v>Low Voltage Service Rate</v>
      </c>
      <c r="C38" s="27" t="str">
        <f>+C8</f>
        <v>$/kW</v>
      </c>
      <c r="D38" s="11">
        <f>+$E$23</f>
        <v>129</v>
      </c>
      <c r="E38" s="93">
        <f>D8</f>
        <v>0.4222</v>
      </c>
      <c r="F38" s="13">
        <f>D38*E38</f>
        <v>54.4638</v>
      </c>
      <c r="G38" s="64">
        <f>+D38</f>
        <v>129</v>
      </c>
      <c r="H38" s="93">
        <f>E8</f>
        <v>0.4286</v>
      </c>
      <c r="I38" s="13">
        <f>G38*H38</f>
        <v>55.2894</v>
      </c>
      <c r="J38" s="13">
        <f>I38-F38</f>
        <v>0.8256000000000014</v>
      </c>
      <c r="K38" s="14">
        <f>IF(ISERROR(J38/F38),0,J38/F38)</f>
        <v>0.015158692562766488</v>
      </c>
      <c r="L38" s="15">
        <f>IF(ISERROR(I38/I$60),0,I38/I$60)</f>
        <v>0.004618593700991107</v>
      </c>
    </row>
    <row r="39" spans="2:12" ht="12">
      <c r="B39" s="24" t="str">
        <f aca="true" t="shared" si="6" ref="B39:B45">B9</f>
        <v>Rate Rider for Deferral/Variance Account Disposition (2012) - effective until April 30, 2013</v>
      </c>
      <c r="C39" s="27" t="str">
        <f aca="true" t="shared" si="7" ref="C39:C45">+C9</f>
        <v>$/kW</v>
      </c>
      <c r="D39" s="11">
        <f>+$E$23</f>
        <v>129</v>
      </c>
      <c r="E39" s="93">
        <f aca="true" t="shared" si="8" ref="E39:E45">D9</f>
        <v>0</v>
      </c>
      <c r="F39" s="13">
        <f t="shared" si="3"/>
        <v>0</v>
      </c>
      <c r="G39" s="64">
        <f t="shared" si="2"/>
        <v>129</v>
      </c>
      <c r="H39" s="93">
        <f aca="true" t="shared" si="9" ref="H39:H45">E9</f>
        <v>0</v>
      </c>
      <c r="I39" s="13">
        <f t="shared" si="4"/>
        <v>0</v>
      </c>
      <c r="J39" s="13">
        <f t="shared" si="1"/>
        <v>0</v>
      </c>
      <c r="K39" s="14">
        <f t="shared" si="0"/>
        <v>0</v>
      </c>
      <c r="L39" s="15">
        <f t="shared" si="5"/>
        <v>0</v>
      </c>
    </row>
    <row r="40" spans="2:12" ht="12">
      <c r="B40" s="24" t="str">
        <f t="shared" si="6"/>
        <v>Rate Rider for Deferral/Variance Account Disposition (2013) - effective until December 31, 2013</v>
      </c>
      <c r="C40" s="27" t="str">
        <f t="shared" si="7"/>
        <v>$/kW</v>
      </c>
      <c r="D40" s="11">
        <f>+$E$23</f>
        <v>129</v>
      </c>
      <c r="E40" s="93">
        <f t="shared" si="8"/>
        <v>0</v>
      </c>
      <c r="F40" s="13">
        <f t="shared" si="3"/>
        <v>0</v>
      </c>
      <c r="G40" s="64">
        <f t="shared" si="2"/>
        <v>129</v>
      </c>
      <c r="H40" s="93">
        <f t="shared" si="9"/>
        <v>-0.5817</v>
      </c>
      <c r="I40" s="13">
        <f t="shared" si="4"/>
        <v>-75.0393</v>
      </c>
      <c r="J40" s="13">
        <f t="shared" si="1"/>
        <v>-75.0393</v>
      </c>
      <c r="K40" s="14">
        <f t="shared" si="0"/>
        <v>0</v>
      </c>
      <c r="L40" s="15">
        <f t="shared" si="5"/>
        <v>-0.006268399337066091</v>
      </c>
    </row>
    <row r="41" spans="2:12" ht="24">
      <c r="B41" s="24" t="str">
        <f t="shared" si="6"/>
        <v>Rate Rider for Global Adjustment Sub-Account Disposition (2012) - effective until April 30, 2013 Applicable only for Non-RPP Customers</v>
      </c>
      <c r="C41" s="27" t="str">
        <f t="shared" si="7"/>
        <v>$/kW</v>
      </c>
      <c r="D41" s="11">
        <f>+$E$23</f>
        <v>129</v>
      </c>
      <c r="E41" s="93">
        <f t="shared" si="8"/>
        <v>0</v>
      </c>
      <c r="F41" s="13">
        <f t="shared" si="3"/>
        <v>0</v>
      </c>
      <c r="G41" s="64">
        <f t="shared" si="2"/>
        <v>129</v>
      </c>
      <c r="H41" s="93">
        <f t="shared" si="9"/>
        <v>0</v>
      </c>
      <c r="I41" s="13">
        <f t="shared" si="4"/>
        <v>0</v>
      </c>
      <c r="J41" s="13">
        <f t="shared" si="1"/>
        <v>0</v>
      </c>
      <c r="K41" s="14">
        <f>IF(ISERROR(J41/F41),1,J41/F41)</f>
        <v>1</v>
      </c>
      <c r="L41" s="15">
        <f aca="true" t="shared" si="10" ref="L41:L60">IF(ISERROR(I41/I$60),0,I41/I$60)</f>
        <v>0</v>
      </c>
    </row>
    <row r="42" spans="2:12" ht="24">
      <c r="B42" s="24" t="str">
        <f t="shared" si="6"/>
        <v>Rate Rider for Global Adjustment Sub-Account Disposition (2013) - effective until December 31, 2013 Applicable only for Non-RPP Customers</v>
      </c>
      <c r="C42" s="27" t="str">
        <f t="shared" si="7"/>
        <v>$/kW</v>
      </c>
      <c r="D42" s="11">
        <f>+$E$23</f>
        <v>129</v>
      </c>
      <c r="E42" s="93">
        <f t="shared" si="8"/>
        <v>0</v>
      </c>
      <c r="F42" s="13">
        <f t="shared" si="3"/>
        <v>0</v>
      </c>
      <c r="G42" s="64">
        <f t="shared" si="2"/>
        <v>129</v>
      </c>
      <c r="H42" s="93">
        <f t="shared" si="9"/>
        <v>0</v>
      </c>
      <c r="I42" s="13">
        <f t="shared" si="4"/>
        <v>0</v>
      </c>
      <c r="J42" s="13">
        <f t="shared" si="1"/>
        <v>0</v>
      </c>
      <c r="K42" s="14">
        <f t="shared" si="0"/>
        <v>0</v>
      </c>
      <c r="L42" s="15">
        <f t="shared" si="10"/>
        <v>0</v>
      </c>
    </row>
    <row r="43" spans="2:12" ht="12">
      <c r="B43" s="24" t="str">
        <f t="shared" si="6"/>
        <v>Rate Rider for Tax Change - effective until April 30, 2013</v>
      </c>
      <c r="C43" s="27" t="str">
        <f t="shared" si="7"/>
        <v>$/kW</v>
      </c>
      <c r="D43" s="11">
        <f>+$E$23</f>
        <v>129</v>
      </c>
      <c r="E43" s="93">
        <f t="shared" si="8"/>
        <v>-0.4273</v>
      </c>
      <c r="F43" s="13">
        <f t="shared" si="3"/>
        <v>-55.121700000000004</v>
      </c>
      <c r="G43" s="64">
        <f t="shared" si="2"/>
        <v>129</v>
      </c>
      <c r="H43" s="93">
        <f t="shared" si="9"/>
        <v>-0.4273</v>
      </c>
      <c r="I43" s="13">
        <f t="shared" si="4"/>
        <v>-55.121700000000004</v>
      </c>
      <c r="J43" s="13">
        <f t="shared" si="1"/>
        <v>0</v>
      </c>
      <c r="K43" s="14">
        <f t="shared" si="0"/>
        <v>0</v>
      </c>
      <c r="L43" s="15">
        <f t="shared" si="10"/>
        <v>-0.004604584900684787</v>
      </c>
    </row>
    <row r="44" spans="2:12" ht="12">
      <c r="B44" s="24" t="str">
        <f t="shared" si="6"/>
        <v>Rate Rider for Tax Change - effective until December 31, 2013</v>
      </c>
      <c r="C44" s="27" t="str">
        <f t="shared" si="7"/>
        <v>$/kW</v>
      </c>
      <c r="D44" s="11">
        <f>+$E$23</f>
        <v>129</v>
      </c>
      <c r="E44" s="93">
        <f t="shared" si="8"/>
        <v>0</v>
      </c>
      <c r="F44" s="13">
        <f t="shared" si="3"/>
        <v>0</v>
      </c>
      <c r="G44" s="64">
        <f t="shared" si="2"/>
        <v>129</v>
      </c>
      <c r="H44" s="93">
        <f t="shared" si="9"/>
        <v>0</v>
      </c>
      <c r="I44" s="13">
        <f t="shared" si="4"/>
        <v>0</v>
      </c>
      <c r="J44" s="13">
        <f>I44-F44</f>
        <v>0</v>
      </c>
      <c r="K44" s="14">
        <f>IF(ISERROR(J44/F44),0,J44/F44)</f>
        <v>0</v>
      </c>
      <c r="L44" s="15">
        <f t="shared" si="10"/>
        <v>0</v>
      </c>
    </row>
    <row r="45" spans="2:12" ht="12">
      <c r="B45" s="24" t="str">
        <f t="shared" si="6"/>
        <v>Rate Rider for PILS - effective until December 31, 2014</v>
      </c>
      <c r="C45" s="27" t="str">
        <f t="shared" si="7"/>
        <v>$/kW</v>
      </c>
      <c r="D45" s="11">
        <f>+$E$23</f>
        <v>129</v>
      </c>
      <c r="E45" s="93">
        <f t="shared" si="8"/>
        <v>0</v>
      </c>
      <c r="F45" s="13">
        <f t="shared" si="3"/>
        <v>0</v>
      </c>
      <c r="G45" s="64">
        <f t="shared" si="2"/>
        <v>129</v>
      </c>
      <c r="H45" s="93">
        <f t="shared" si="9"/>
        <v>-0.71472</v>
      </c>
      <c r="I45" s="13">
        <f t="shared" si="4"/>
        <v>-92.19888</v>
      </c>
      <c r="J45" s="13">
        <f>I45-F45</f>
        <v>-92.19888</v>
      </c>
      <c r="K45" s="14">
        <f>IF(ISERROR(J45/F45),0,J45/F45)</f>
        <v>0</v>
      </c>
      <c r="L45" s="15">
        <f t="shared" si="10"/>
        <v>-0.007701822888409622</v>
      </c>
    </row>
    <row r="46" spans="2:12" ht="12">
      <c r="B46" s="126" t="s">
        <v>26</v>
      </c>
      <c r="C46" s="100"/>
      <c r="D46" s="101"/>
      <c r="E46" s="102"/>
      <c r="F46" s="104">
        <f>SUM(F34:F45)</f>
        <v>5700.404700000001</v>
      </c>
      <c r="G46" s="102"/>
      <c r="H46" s="102"/>
      <c r="I46" s="104">
        <f>SUM(I34:I45)</f>
        <v>6201.220319999999</v>
      </c>
      <c r="J46" s="104">
        <f>I46-F46</f>
        <v>500.8156199999985</v>
      </c>
      <c r="K46" s="105">
        <f>IF(ISERROR(J46/F46),0,J46/F46)</f>
        <v>0.08785615168691416</v>
      </c>
      <c r="L46" s="127">
        <f t="shared" si="10"/>
        <v>0.5180182296861614</v>
      </c>
    </row>
    <row r="47" spans="2:12" ht="12">
      <c r="B47" s="24" t="str">
        <f>B16</f>
        <v>Retail Transmission Rate - Network Service Rate</v>
      </c>
      <c r="C47" s="27" t="str">
        <f>+C16</f>
        <v>$/kW</v>
      </c>
      <c r="D47" s="157">
        <f>+$E$23</f>
        <v>129</v>
      </c>
      <c r="E47" s="12">
        <f>D16</f>
        <v>1.2197</v>
      </c>
      <c r="F47" s="13">
        <f>D47*E47</f>
        <v>157.3413</v>
      </c>
      <c r="G47" s="157">
        <f>+D47</f>
        <v>129</v>
      </c>
      <c r="H47" s="12">
        <f>E16</f>
        <v>1.3077</v>
      </c>
      <c r="I47" s="13">
        <f>G47*H47</f>
        <v>168.69330000000002</v>
      </c>
      <c r="J47" s="13">
        <f t="shared" si="1"/>
        <v>11.352000000000032</v>
      </c>
      <c r="K47" s="14">
        <f t="shared" si="0"/>
        <v>0.07214888907108326</v>
      </c>
      <c r="L47" s="15">
        <f t="shared" si="10"/>
        <v>0.014091775508133623</v>
      </c>
    </row>
    <row r="48" spans="2:12" ht="12">
      <c r="B48" s="24" t="str">
        <f>B17</f>
        <v>Retail Transmission Rate - Line and Transformation Connection Service Rate</v>
      </c>
      <c r="C48" s="27" t="str">
        <f>+C17</f>
        <v>$/kW</v>
      </c>
      <c r="D48" s="157">
        <f>+$E$23</f>
        <v>129</v>
      </c>
      <c r="E48" s="12">
        <f>D17</f>
        <v>0.9958</v>
      </c>
      <c r="F48" s="13">
        <f>D48*E48</f>
        <v>128.4582</v>
      </c>
      <c r="G48" s="157">
        <f>+D48</f>
        <v>129</v>
      </c>
      <c r="H48" s="12">
        <f>E17</f>
        <v>1.0121</v>
      </c>
      <c r="I48" s="13">
        <f>G48*H48</f>
        <v>130.5609</v>
      </c>
      <c r="J48" s="13">
        <f>I48-F48</f>
        <v>2.1026999999999987</v>
      </c>
      <c r="K48" s="14">
        <f>IF(ISERROR(J48/F48),0,J48/F48)</f>
        <v>0.016368748744727848</v>
      </c>
      <c r="L48" s="15">
        <f t="shared" si="10"/>
        <v>0.010906389838481332</v>
      </c>
    </row>
    <row r="49" spans="2:12" ht="12">
      <c r="B49" s="126" t="s">
        <v>18</v>
      </c>
      <c r="C49" s="100"/>
      <c r="D49" s="101"/>
      <c r="E49" s="102"/>
      <c r="F49" s="104">
        <f>+SUM(F47:F48)</f>
        <v>285.79949999999997</v>
      </c>
      <c r="G49" s="102"/>
      <c r="H49" s="102"/>
      <c r="I49" s="104">
        <f>+SUM(I47:I48)</f>
        <v>299.2542</v>
      </c>
      <c r="J49" s="104">
        <f>I49-F49</f>
        <v>13.45470000000006</v>
      </c>
      <c r="K49" s="105">
        <f>IF(ISERROR(J49/F49),0,J49/F49)</f>
        <v>0.04707740916271743</v>
      </c>
      <c r="L49" s="127">
        <f t="shared" si="10"/>
        <v>0.024998165346614955</v>
      </c>
    </row>
    <row r="50" spans="2:12" ht="12">
      <c r="B50" s="128" t="s">
        <v>27</v>
      </c>
      <c r="C50" s="107"/>
      <c r="D50" s="108"/>
      <c r="E50" s="109"/>
      <c r="F50" s="110">
        <f>F46+F49</f>
        <v>5986.204200000001</v>
      </c>
      <c r="G50" s="109"/>
      <c r="H50" s="109"/>
      <c r="I50" s="110">
        <f>I46+I49</f>
        <v>6500.47452</v>
      </c>
      <c r="J50" s="110">
        <f t="shared" si="1"/>
        <v>514.2703199999987</v>
      </c>
      <c r="K50" s="111">
        <f t="shared" si="0"/>
        <v>0.08590925114114861</v>
      </c>
      <c r="L50" s="129">
        <f t="shared" si="10"/>
        <v>0.5430163950327763</v>
      </c>
    </row>
    <row r="51" spans="2:12" ht="12">
      <c r="B51" s="24" t="str">
        <f>B18</f>
        <v>Wholesale Market Service Rate</v>
      </c>
      <c r="C51" s="158" t="str">
        <f>C18</f>
        <v>$/kWh</v>
      </c>
      <c r="D51" s="11">
        <f>+$C$25</f>
        <v>49307</v>
      </c>
      <c r="E51" s="12">
        <f>D18</f>
        <v>0.0052</v>
      </c>
      <c r="F51" s="13">
        <f>D51*E51</f>
        <v>256.39639999999997</v>
      </c>
      <c r="G51" s="11">
        <f>+$H$25</f>
        <v>51120</v>
      </c>
      <c r="H51" s="12">
        <f>E18</f>
        <v>0.0052</v>
      </c>
      <c r="I51" s="13">
        <f>G51*H51</f>
        <v>265.824</v>
      </c>
      <c r="J51" s="13">
        <f t="shared" si="1"/>
        <v>9.42760000000004</v>
      </c>
      <c r="K51" s="14">
        <f t="shared" si="0"/>
        <v>0.0367696270306449</v>
      </c>
      <c r="L51" s="15">
        <f t="shared" si="10"/>
        <v>0.02220557741578422</v>
      </c>
    </row>
    <row r="52" spans="2:12" ht="12">
      <c r="B52" s="24" t="str">
        <f>B19</f>
        <v>Rural Rate Protection Charge</v>
      </c>
      <c r="C52" s="158" t="str">
        <f>C19</f>
        <v>$/kWh</v>
      </c>
      <c r="D52" s="11">
        <f>+$C$25</f>
        <v>49307</v>
      </c>
      <c r="E52" s="12">
        <f>D19</f>
        <v>0.0011</v>
      </c>
      <c r="F52" s="13">
        <f>D52*E52</f>
        <v>54.237700000000004</v>
      </c>
      <c r="G52" s="11">
        <f>+$H$25</f>
        <v>51120</v>
      </c>
      <c r="H52" s="12">
        <f>E19</f>
        <v>0.0011</v>
      </c>
      <c r="I52" s="13">
        <f>G52*H52</f>
        <v>56.232000000000006</v>
      </c>
      <c r="J52" s="13">
        <f t="shared" si="1"/>
        <v>1.9943000000000026</v>
      </c>
      <c r="K52" s="14">
        <f t="shared" si="0"/>
        <v>0.036769627030644784</v>
      </c>
      <c r="L52" s="15">
        <f t="shared" si="10"/>
        <v>0.0046973336841082</v>
      </c>
    </row>
    <row r="53" spans="2:12" ht="12">
      <c r="B53" s="24" t="str">
        <f>B20</f>
        <v>Standard Supply Service - Administrative Charge (if applicable)</v>
      </c>
      <c r="C53" s="158" t="str">
        <f>C20</f>
        <v>$</v>
      </c>
      <c r="D53" s="11">
        <f>+$D$34</f>
        <v>900</v>
      </c>
      <c r="E53" s="13">
        <f>D20</f>
        <v>0.25</v>
      </c>
      <c r="F53" s="13">
        <f>D53*E53</f>
        <v>225</v>
      </c>
      <c r="G53" s="11">
        <f>+D53</f>
        <v>900</v>
      </c>
      <c r="H53" s="13">
        <f>E20</f>
        <v>0.25</v>
      </c>
      <c r="I53" s="13">
        <f>G53*H53</f>
        <v>225</v>
      </c>
      <c r="J53" s="13">
        <f t="shared" si="1"/>
        <v>0</v>
      </c>
      <c r="K53" s="14">
        <f t="shared" si="0"/>
        <v>0</v>
      </c>
      <c r="L53" s="15">
        <f t="shared" si="10"/>
        <v>0.01879534924819222</v>
      </c>
    </row>
    <row r="54" spans="2:12" ht="12">
      <c r="B54" s="128" t="s">
        <v>28</v>
      </c>
      <c r="C54" s="106"/>
      <c r="D54" s="95"/>
      <c r="E54" s="96"/>
      <c r="F54" s="97">
        <f>SUM(F51:F53)</f>
        <v>535.6341</v>
      </c>
      <c r="G54" s="96"/>
      <c r="H54" s="96"/>
      <c r="I54" s="97">
        <f>SUM(I51:I53)</f>
        <v>547.056</v>
      </c>
      <c r="J54" s="97">
        <f t="shared" si="1"/>
        <v>11.42190000000005</v>
      </c>
      <c r="K54" s="98">
        <f t="shared" si="0"/>
        <v>0.021324071787065184</v>
      </c>
      <c r="L54" s="125">
        <f t="shared" si="10"/>
        <v>0.04569826034808464</v>
      </c>
    </row>
    <row r="55" spans="2:12" ht="12">
      <c r="B55" s="130" t="s">
        <v>11</v>
      </c>
      <c r="C55" s="180" t="s">
        <v>9</v>
      </c>
      <c r="D55" s="112">
        <f>C23</f>
        <v>46000</v>
      </c>
      <c r="E55" s="113">
        <v>0.0051</v>
      </c>
      <c r="F55" s="97">
        <f>D55*E55</f>
        <v>234.60000000000002</v>
      </c>
      <c r="G55" s="112">
        <f>D55</f>
        <v>46000</v>
      </c>
      <c r="H55" s="113">
        <f>E55</f>
        <v>0.0051</v>
      </c>
      <c r="I55" s="97">
        <f>G55*H55</f>
        <v>234.60000000000002</v>
      </c>
      <c r="J55" s="97">
        <f t="shared" si="1"/>
        <v>0</v>
      </c>
      <c r="K55" s="98">
        <f t="shared" si="0"/>
        <v>0</v>
      </c>
      <c r="L55" s="125">
        <f t="shared" si="10"/>
        <v>0.019597284149448425</v>
      </c>
    </row>
    <row r="56" spans="2:12" ht="12">
      <c r="B56" s="131" t="s">
        <v>58</v>
      </c>
      <c r="C56" s="114"/>
      <c r="D56" s="79"/>
      <c r="E56" s="115"/>
      <c r="F56" s="116">
        <f>F33+F50+F54+F55</f>
        <v>11085.7043</v>
      </c>
      <c r="G56" s="115"/>
      <c r="H56" s="115"/>
      <c r="I56" s="116">
        <f>I33+I50+I54+I55</f>
        <v>11770.94052</v>
      </c>
      <c r="J56" s="116">
        <f t="shared" si="1"/>
        <v>685.2362200000007</v>
      </c>
      <c r="K56" s="117">
        <f t="shared" si="0"/>
        <v>0.06181260129769118</v>
      </c>
      <c r="L56" s="132">
        <f t="shared" si="10"/>
        <v>0.9832841691248771</v>
      </c>
    </row>
    <row r="57" spans="2:12" ht="12">
      <c r="B57" s="130" t="s">
        <v>57</v>
      </c>
      <c r="C57" s="118"/>
      <c r="D57" s="95"/>
      <c r="E57" s="119">
        <f>+Rates!$D$145</f>
        <v>0.13</v>
      </c>
      <c r="F57" s="97">
        <f>E57*F56</f>
        <v>1441.141559</v>
      </c>
      <c r="G57" s="96"/>
      <c r="H57" s="119">
        <f>+E57</f>
        <v>0.13</v>
      </c>
      <c r="I57" s="97">
        <f>H57*I56</f>
        <v>1530.2222676000001</v>
      </c>
      <c r="J57" s="97">
        <f t="shared" si="1"/>
        <v>89.08070860000021</v>
      </c>
      <c r="K57" s="98">
        <f t="shared" si="0"/>
        <v>0.06181260129769126</v>
      </c>
      <c r="L57" s="125">
        <f t="shared" si="10"/>
        <v>0.12782694198623404</v>
      </c>
    </row>
    <row r="58" spans="2:12" ht="12">
      <c r="B58" s="131" t="s">
        <v>59</v>
      </c>
      <c r="C58" s="114"/>
      <c r="D58" s="79"/>
      <c r="E58" s="115"/>
      <c r="F58" s="116">
        <f>+F56+F57</f>
        <v>12526.845859</v>
      </c>
      <c r="G58" s="115"/>
      <c r="H58" s="115"/>
      <c r="I58" s="116">
        <f>+I56+I57</f>
        <v>13301.1627876</v>
      </c>
      <c r="J58" s="116">
        <f t="shared" si="1"/>
        <v>774.3169286000011</v>
      </c>
      <c r="K58" s="117">
        <f t="shared" si="0"/>
        <v>0.061812601297691214</v>
      </c>
      <c r="L58" s="132">
        <f t="shared" si="10"/>
        <v>1.1111111111111112</v>
      </c>
    </row>
    <row r="59" spans="2:12" ht="12">
      <c r="B59" s="130" t="s">
        <v>61</v>
      </c>
      <c r="C59" s="118"/>
      <c r="D59" s="95"/>
      <c r="E59" s="119">
        <f>+Rates!$D$147</f>
        <v>-0.1</v>
      </c>
      <c r="F59" s="97">
        <f>E59*F58</f>
        <v>-1252.6845859</v>
      </c>
      <c r="G59" s="96"/>
      <c r="H59" s="119">
        <f>+E59</f>
        <v>-0.1</v>
      </c>
      <c r="I59" s="97">
        <f>H59*I58</f>
        <v>-1330.1162787600001</v>
      </c>
      <c r="J59" s="97">
        <f t="shared" si="1"/>
        <v>-77.43169286000011</v>
      </c>
      <c r="K59" s="98">
        <f t="shared" si="0"/>
        <v>0.06181260129769121</v>
      </c>
      <c r="L59" s="125">
        <f t="shared" si="10"/>
        <v>-0.11111111111111112</v>
      </c>
    </row>
    <row r="60" spans="2:12" ht="12.75" thickBot="1">
      <c r="B60" s="133" t="s">
        <v>19</v>
      </c>
      <c r="C60" s="134"/>
      <c r="D60" s="135"/>
      <c r="E60" s="136"/>
      <c r="F60" s="137">
        <f>+F58+F59</f>
        <v>11274.161273099999</v>
      </c>
      <c r="G60" s="136"/>
      <c r="H60" s="136"/>
      <c r="I60" s="137">
        <f>+I58+I59</f>
        <v>11971.04650884</v>
      </c>
      <c r="J60" s="137">
        <f t="shared" si="1"/>
        <v>696.885235740001</v>
      </c>
      <c r="K60" s="138">
        <f t="shared" si="0"/>
        <v>0.061812601297691214</v>
      </c>
      <c r="L60" s="139">
        <f t="shared" si="10"/>
        <v>1</v>
      </c>
    </row>
  </sheetData>
  <sheetProtection/>
  <mergeCells count="7">
    <mergeCell ref="J29:L29"/>
    <mergeCell ref="B28:B30"/>
    <mergeCell ref="D28:F28"/>
    <mergeCell ref="G28:I28"/>
    <mergeCell ref="C29:C30"/>
    <mergeCell ref="D29:D30"/>
    <mergeCell ref="G29:G30"/>
  </mergeCells>
  <printOptions/>
  <pageMargins left="0.75" right="0.75" top="1" bottom="1" header="0.5" footer="0.5"/>
  <pageSetup fitToHeight="1" fitToWidth="1" horizontalDpi="600" verticalDpi="600" orientation="landscape" scale="61" r:id="rId1"/>
  <headerFooter alignWithMargins="0">
    <oddHeader>&amp;C&amp;"Arial,Bold"&amp;16Electricity Distribution Impacts
Street Lighting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3:L56"/>
  <sheetViews>
    <sheetView showGridLines="0" zoomScalePageLayoutView="0" workbookViewId="0" topLeftCell="A19">
      <selection activeCell="H54" sqref="H54"/>
    </sheetView>
  </sheetViews>
  <sheetFormatPr defaultColWidth="9.140625" defaultRowHeight="12.75"/>
  <cols>
    <col min="1" max="1" width="4.28125" style="7" customWidth="1"/>
    <col min="2" max="2" width="78.140625" style="7" customWidth="1"/>
    <col min="3" max="3" width="10.140625" style="7" customWidth="1"/>
    <col min="4" max="4" width="10.421875" style="10" bestFit="1" customWidth="1"/>
    <col min="5" max="5" width="10.00390625" style="7" bestFit="1" customWidth="1"/>
    <col min="6" max="6" width="11.8515625" style="7" bestFit="1" customWidth="1"/>
    <col min="7" max="7" width="9.28125" style="7" bestFit="1" customWidth="1"/>
    <col min="8" max="8" width="11.421875" style="7" customWidth="1"/>
    <col min="9" max="9" width="11.57421875" style="7" bestFit="1" customWidth="1"/>
    <col min="10" max="10" width="10.57421875" style="7" bestFit="1" customWidth="1"/>
    <col min="11" max="11" width="9.28125" style="7" bestFit="1" customWidth="1"/>
    <col min="12" max="12" width="11.7109375" style="7" bestFit="1" customWidth="1"/>
    <col min="13" max="16384" width="9.140625" style="7" customWidth="1"/>
  </cols>
  <sheetData>
    <row r="2" ht="12.75" thickBot="1"/>
    <row r="3" spans="2:5" ht="36">
      <c r="B3" s="67" t="str">
        <f>+Rates!A107</f>
        <v>Street Lighting</v>
      </c>
      <c r="C3" s="68" t="str">
        <f>Rates!B4</f>
        <v>Metric</v>
      </c>
      <c r="D3" s="69" t="str">
        <f>Rates!D4</f>
        <v>Current Approved Rates</v>
      </c>
      <c r="E3" s="70" t="str">
        <f>Rates!F4</f>
        <v>Proposed Rates</v>
      </c>
    </row>
    <row r="4" spans="2:5" ht="12">
      <c r="B4" s="71" t="str">
        <f>+Rates!A108</f>
        <v>Monthly Service Charge</v>
      </c>
      <c r="C4" s="64" t="str">
        <f>Rates!B108</f>
        <v>$</v>
      </c>
      <c r="D4" s="65">
        <f>Rates!D108</f>
        <v>4.95</v>
      </c>
      <c r="E4" s="72">
        <f>Rates!F108</f>
        <v>5.53</v>
      </c>
    </row>
    <row r="5" spans="2:5" ht="12">
      <c r="B5" s="71" t="str">
        <f>+Rates!A109</f>
        <v>Monthly Service Charge Rate Rider</v>
      </c>
      <c r="C5" s="64" t="str">
        <f>Rates!B109</f>
        <v>$</v>
      </c>
      <c r="D5" s="65">
        <f>Rates!D109</f>
        <v>0</v>
      </c>
      <c r="E5" s="72">
        <f>Rates!F109</f>
        <v>0</v>
      </c>
    </row>
    <row r="6" spans="2:5" ht="12">
      <c r="B6" s="71" t="str">
        <f>+Rates!A110</f>
        <v>Distribution Volumetric Rate</v>
      </c>
      <c r="C6" s="64" t="str">
        <f>Rates!B110</f>
        <v>$/kW</v>
      </c>
      <c r="D6" s="66">
        <f>Rates!D110</f>
        <v>9.6594</v>
      </c>
      <c r="E6" s="73">
        <f>Rates!F110</f>
        <v>10.7852</v>
      </c>
    </row>
    <row r="7" spans="2:5" ht="12">
      <c r="B7" s="71" t="str">
        <f>+Rates!A111</f>
        <v>Distribution Volumetric Rate Rider</v>
      </c>
      <c r="C7" s="64" t="str">
        <f>Rates!B111</f>
        <v>$/kW</v>
      </c>
      <c r="D7" s="66">
        <f>Rates!D111</f>
        <v>0</v>
      </c>
      <c r="E7" s="73">
        <f>Rates!F111</f>
        <v>0</v>
      </c>
    </row>
    <row r="8" spans="2:5" ht="12">
      <c r="B8" s="71" t="str">
        <f>+Rates!A112</f>
        <v>Low Voltage Service Rate</v>
      </c>
      <c r="C8" s="64" t="str">
        <f>Rates!B112</f>
        <v>$/kW</v>
      </c>
      <c r="D8" s="66">
        <f>Rates!D112</f>
        <v>0.4222</v>
      </c>
      <c r="E8" s="73">
        <f>Rates!F112</f>
        <v>0.4286</v>
      </c>
    </row>
    <row r="9" spans="2:5" ht="12">
      <c r="B9" s="71" t="str">
        <f>+Rates!A113</f>
        <v>Rate Rider for Deferral/Variance Account Disposition (2012) - effective until April 30, 2013</v>
      </c>
      <c r="C9" s="64" t="str">
        <f>Rates!B113</f>
        <v>$/kW</v>
      </c>
      <c r="D9" s="66">
        <f>Rates!D113</f>
        <v>0</v>
      </c>
      <c r="E9" s="73">
        <f>Rates!F113</f>
        <v>0</v>
      </c>
    </row>
    <row r="10" spans="2:5" ht="12">
      <c r="B10" s="71" t="str">
        <f>+Rates!A114</f>
        <v>Rate Rider for Deferral/Variance Account Disposition (2013) - effective until December 31, 2013</v>
      </c>
      <c r="C10" s="64" t="str">
        <f>Rates!B114</f>
        <v>$/kW</v>
      </c>
      <c r="D10" s="66">
        <f>Rates!D114</f>
        <v>0</v>
      </c>
      <c r="E10" s="73">
        <f>Rates!F114</f>
        <v>-0.5817</v>
      </c>
    </row>
    <row r="11" spans="2:5" ht="24">
      <c r="B11" s="71" t="str">
        <f>+Rates!A115</f>
        <v>Rate Rider for Global Adjustment Sub-Account Disposition (2012) - effective until April 30, 2013 Applicable only for Non-RPP Customers</v>
      </c>
      <c r="C11" s="64" t="str">
        <f>Rates!B115</f>
        <v>$/kW</v>
      </c>
      <c r="D11" s="66">
        <f>Rates!D115</f>
        <v>0</v>
      </c>
      <c r="E11" s="73">
        <f>Rates!F115</f>
        <v>0</v>
      </c>
    </row>
    <row r="12" spans="2:5" ht="24">
      <c r="B12" s="71" t="str">
        <f>+Rates!A116</f>
        <v>Rate Rider for Global Adjustment Sub-Account Disposition (2013) - effective until December 31, 2013 Applicable only for Non-RPP Customers</v>
      </c>
      <c r="C12" s="64" t="str">
        <f>Rates!B116</f>
        <v>$/kW</v>
      </c>
      <c r="D12" s="66">
        <f>Rates!D116</f>
        <v>0</v>
      </c>
      <c r="E12" s="73">
        <f>Rates!F116</f>
        <v>1.4137</v>
      </c>
    </row>
    <row r="13" spans="2:5" ht="12">
      <c r="B13" s="71" t="str">
        <f>+Rates!A117</f>
        <v>Rate Rider for Tax Change - effective until April 30, 2013</v>
      </c>
      <c r="C13" s="64" t="str">
        <f>Rates!B117</f>
        <v>$/kW</v>
      </c>
      <c r="D13" s="66">
        <f>Rates!D117</f>
        <v>-0.4273</v>
      </c>
      <c r="E13" s="73">
        <f>Rates!F117</f>
        <v>-0.4273</v>
      </c>
    </row>
    <row r="14" spans="2:5" ht="12">
      <c r="B14" s="71" t="str">
        <f>+Rates!A118</f>
        <v>Rate Rider for Tax Change - effective until December 31, 2013</v>
      </c>
      <c r="C14" s="64" t="str">
        <f>Rates!B118</f>
        <v>$/kW</v>
      </c>
      <c r="D14" s="66">
        <f>Rates!D118</f>
        <v>0</v>
      </c>
      <c r="E14" s="73">
        <f>Rates!F118</f>
        <v>0</v>
      </c>
    </row>
    <row r="15" spans="2:5" ht="12">
      <c r="B15" s="71" t="str">
        <f>+Rates!A119</f>
        <v>Rate Rider for PILS - effective until December 31, 2014</v>
      </c>
      <c r="C15" s="64" t="str">
        <f>Rates!B119</f>
        <v>$/kW</v>
      </c>
      <c r="D15" s="66">
        <f>Rates!D119</f>
        <v>0</v>
      </c>
      <c r="E15" s="73">
        <f>Rates!F119</f>
        <v>-0.71472</v>
      </c>
    </row>
    <row r="16" spans="2:5" ht="12">
      <c r="B16" s="71" t="str">
        <f>+Rates!A120</f>
        <v>Retail Transmission Rate - Network Service Rate</v>
      </c>
      <c r="C16" s="64" t="str">
        <f>Rates!B120</f>
        <v>$/kW</v>
      </c>
      <c r="D16" s="66">
        <f>Rates!D120</f>
        <v>1.2197</v>
      </c>
      <c r="E16" s="73">
        <f>Rates!F120</f>
        <v>1.3077</v>
      </c>
    </row>
    <row r="17" spans="2:5" ht="12">
      <c r="B17" s="71" t="str">
        <f>+Rates!A121</f>
        <v>Retail Transmission Rate - Line and Transformation Connection Service Rate</v>
      </c>
      <c r="C17" s="64" t="str">
        <f>Rates!B121</f>
        <v>$/kW</v>
      </c>
      <c r="D17" s="66">
        <f>Rates!D121</f>
        <v>0.9958</v>
      </c>
      <c r="E17" s="73">
        <f>Rates!F121</f>
        <v>1.0121</v>
      </c>
    </row>
    <row r="18" spans="2:5" ht="12.75" thickBot="1">
      <c r="B18" s="71" t="str">
        <f>+Rates!A122</f>
        <v>Wholesale Market Service Rate</v>
      </c>
      <c r="C18" s="64" t="str">
        <f>Rates!B122</f>
        <v>$/kWh</v>
      </c>
      <c r="D18" s="66">
        <f>Rates!D122</f>
        <v>0.0052</v>
      </c>
      <c r="E18" s="73">
        <f>Rates!F122</f>
        <v>0.0052</v>
      </c>
    </row>
    <row r="19" spans="2:10" ht="12">
      <c r="B19" s="71" t="str">
        <f>+Rates!A123</f>
        <v>Rural Rate Protection Charge</v>
      </c>
      <c r="C19" s="64" t="str">
        <f>Rates!B123</f>
        <v>$/kWh</v>
      </c>
      <c r="D19" s="66">
        <f>Rates!D123</f>
        <v>0.0011</v>
      </c>
      <c r="E19" s="73">
        <f>Rates!F123</f>
        <v>0.0011</v>
      </c>
      <c r="H19" s="160"/>
      <c r="I19" s="152" t="s">
        <v>72</v>
      </c>
      <c r="J19" s="161" t="s">
        <v>90</v>
      </c>
    </row>
    <row r="20" spans="2:10" ht="12.75" thickBot="1">
      <c r="B20" s="74" t="str">
        <f>+Rates!A124</f>
        <v>Standard Supply Service - Administrative Charge (if applicable)</v>
      </c>
      <c r="C20" s="75" t="str">
        <f>Rates!B124</f>
        <v>$</v>
      </c>
      <c r="D20" s="76">
        <f>Rates!D124</f>
        <v>0.25</v>
      </c>
      <c r="E20" s="77">
        <f>Rates!F124</f>
        <v>0.25</v>
      </c>
      <c r="H20" s="166" t="s">
        <v>13</v>
      </c>
      <c r="I20" s="79">
        <f>Rates!$D$134</f>
        <v>1.0719</v>
      </c>
      <c r="J20" s="167">
        <f>Rates!$F$134</f>
        <v>1.1113</v>
      </c>
    </row>
    <row r="21" spans="2:10" ht="12.75" thickBot="1">
      <c r="B21" s="60"/>
      <c r="C21" s="61"/>
      <c r="D21" s="63"/>
      <c r="E21" s="63"/>
      <c r="H21" s="148" t="s">
        <v>89</v>
      </c>
      <c r="I21" s="168">
        <f>C23/(E23*24*365/12)</f>
        <v>0.4884782839545503</v>
      </c>
      <c r="J21" s="169"/>
    </row>
    <row r="22" spans="3:4" ht="12.75" thickBot="1">
      <c r="C22" s="10"/>
      <c r="D22" s="7"/>
    </row>
    <row r="23" spans="2:11" ht="13.5" thickBot="1">
      <c r="B23" s="80" t="s">
        <v>88</v>
      </c>
      <c r="C23" s="81">
        <v>46000</v>
      </c>
      <c r="D23" s="146" t="s">
        <v>15</v>
      </c>
      <c r="E23" s="147">
        <v>129</v>
      </c>
      <c r="F23" s="87" t="s">
        <v>16</v>
      </c>
      <c r="G23" s="31"/>
      <c r="H23" s="170">
        <f>C23</f>
        <v>46000</v>
      </c>
      <c r="I23" s="146" t="s">
        <v>15</v>
      </c>
      <c r="J23" s="171">
        <f>E23</f>
        <v>129</v>
      </c>
      <c r="K23" s="87" t="s">
        <v>16</v>
      </c>
    </row>
    <row r="24" spans="2:11" ht="12.75">
      <c r="B24" s="82" t="s">
        <v>53</v>
      </c>
      <c r="C24" s="78">
        <f>ROUND(C23*I20-C23,0)</f>
        <v>3307</v>
      </c>
      <c r="D24" s="83" t="s">
        <v>15</v>
      </c>
      <c r="E24" s="155"/>
      <c r="F24" s="32"/>
      <c r="G24" s="31"/>
      <c r="H24" s="78">
        <f>ROUND(H23*J20-H23,0)</f>
        <v>5120</v>
      </c>
      <c r="I24" s="83" t="s">
        <v>15</v>
      </c>
      <c r="J24" s="155"/>
      <c r="K24" s="32"/>
    </row>
    <row r="25" spans="2:11" ht="13.5" thickBot="1">
      <c r="B25" s="84" t="s">
        <v>54</v>
      </c>
      <c r="C25" s="85">
        <f>+C23+C24</f>
        <v>49307</v>
      </c>
      <c r="D25" s="86" t="s">
        <v>15</v>
      </c>
      <c r="E25" s="156"/>
      <c r="F25" s="32"/>
      <c r="G25" s="31"/>
      <c r="H25" s="85">
        <f>+H23+H24</f>
        <v>51120</v>
      </c>
      <c r="I25" s="86" t="s">
        <v>15</v>
      </c>
      <c r="J25" s="156"/>
      <c r="K25" s="32"/>
    </row>
    <row r="26" ht="12.75" thickBot="1"/>
    <row r="27" spans="2:12" ht="13.5" customHeight="1">
      <c r="B27" s="188" t="str">
        <f>B3</f>
        <v>Street Lighting</v>
      </c>
      <c r="C27" s="120"/>
      <c r="D27" s="190" t="str">
        <f>+D3</f>
        <v>Current Approved Rates</v>
      </c>
      <c r="E27" s="190"/>
      <c r="F27" s="190"/>
      <c r="G27" s="190" t="str">
        <f>+E3</f>
        <v>Proposed Rates</v>
      </c>
      <c r="H27" s="190"/>
      <c r="I27" s="190"/>
      <c r="J27" s="120"/>
      <c r="K27" s="120"/>
      <c r="L27" s="121"/>
    </row>
    <row r="28" spans="2:12" ht="12.75" customHeight="1">
      <c r="B28" s="189"/>
      <c r="C28" s="186" t="str">
        <f>+C3</f>
        <v>Metric</v>
      </c>
      <c r="D28" s="186" t="s">
        <v>55</v>
      </c>
      <c r="E28" s="150" t="s">
        <v>23</v>
      </c>
      <c r="F28" s="150" t="s">
        <v>24</v>
      </c>
      <c r="G28" s="186" t="s">
        <v>55</v>
      </c>
      <c r="H28" s="150" t="s">
        <v>23</v>
      </c>
      <c r="I28" s="150" t="s">
        <v>24</v>
      </c>
      <c r="J28" s="184" t="s">
        <v>30</v>
      </c>
      <c r="K28" s="184"/>
      <c r="L28" s="185"/>
    </row>
    <row r="29" spans="2:12" ht="12" customHeight="1">
      <c r="B29" s="189"/>
      <c r="C29" s="187"/>
      <c r="D29" s="187"/>
      <c r="E29" s="150" t="s">
        <v>8</v>
      </c>
      <c r="F29" s="150" t="s">
        <v>8</v>
      </c>
      <c r="G29" s="187"/>
      <c r="H29" s="150" t="s">
        <v>8</v>
      </c>
      <c r="I29" s="150" t="s">
        <v>8</v>
      </c>
      <c r="J29" s="150" t="s">
        <v>8</v>
      </c>
      <c r="K29" s="141" t="s">
        <v>12</v>
      </c>
      <c r="L29" s="151" t="s">
        <v>20</v>
      </c>
    </row>
    <row r="30" spans="2:12" ht="12">
      <c r="B30" s="145" t="s">
        <v>68</v>
      </c>
      <c r="C30" s="142" t="str">
        <f>+Rates!B142</f>
        <v>$/kWh</v>
      </c>
      <c r="D30" s="112">
        <f>+$C$25</f>
        <v>49307</v>
      </c>
      <c r="E30" s="113">
        <f>Rates!D142</f>
        <v>0.035</v>
      </c>
      <c r="F30" s="143">
        <f>D30*E30</f>
        <v>1725.7450000000001</v>
      </c>
      <c r="G30" s="112">
        <f>+$H$25</f>
        <v>51120</v>
      </c>
      <c r="H30" s="113">
        <f>+E30</f>
        <v>0.035</v>
      </c>
      <c r="I30" s="143">
        <f>G30*H30</f>
        <v>1789.2000000000003</v>
      </c>
      <c r="J30" s="97">
        <f>I30-F30</f>
        <v>63.455000000000155</v>
      </c>
      <c r="K30" s="98">
        <f>IF(ISERROR(J30/F30),1,J30/F30)</f>
        <v>0.036769627030644826</v>
      </c>
      <c r="L30" s="125">
        <f>IF(ISERROR(I30/I$56),0,I30/I$56)</f>
        <v>0.14013923417815974</v>
      </c>
    </row>
    <row r="31" spans="2:12" ht="12">
      <c r="B31" s="145" t="s">
        <v>67</v>
      </c>
      <c r="C31" s="142" t="str">
        <f>+Rates!B143</f>
        <v>$/kWh</v>
      </c>
      <c r="D31" s="112">
        <f>+$C$25</f>
        <v>49307</v>
      </c>
      <c r="E31" s="113">
        <f>Rates!D143</f>
        <v>0.04</v>
      </c>
      <c r="F31" s="143">
        <f>D31*E31</f>
        <v>1972.28</v>
      </c>
      <c r="G31" s="112">
        <f>+$H$25</f>
        <v>51120</v>
      </c>
      <c r="H31" s="113">
        <f>+E31</f>
        <v>0.04</v>
      </c>
      <c r="I31" s="143">
        <f>G31*H31</f>
        <v>2044.8</v>
      </c>
      <c r="J31" s="97">
        <f>I31-F31</f>
        <v>72.51999999999998</v>
      </c>
      <c r="K31" s="98">
        <f>IF(ISERROR(J31/F31),1,J31/F31)</f>
        <v>0.03676962703064473</v>
      </c>
      <c r="L31" s="125">
        <f>IF(ISERROR(I31/I$56),0,I31/I$56)</f>
        <v>0.16015912477503969</v>
      </c>
    </row>
    <row r="32" spans="2:12" ht="12">
      <c r="B32" s="24" t="str">
        <f>B4</f>
        <v>Monthly Service Charge</v>
      </c>
      <c r="C32" s="27" t="str">
        <f>+C4</f>
        <v>$</v>
      </c>
      <c r="D32" s="144">
        <v>900</v>
      </c>
      <c r="E32" s="93">
        <f>D4</f>
        <v>4.95</v>
      </c>
      <c r="F32" s="93">
        <f>D32*E32</f>
        <v>4455</v>
      </c>
      <c r="G32" s="64">
        <f aca="true" t="shared" si="0" ref="G32:G43">+D32</f>
        <v>900</v>
      </c>
      <c r="H32" s="93">
        <f>E4</f>
        <v>5.53</v>
      </c>
      <c r="I32" s="13">
        <f>G32*H32</f>
        <v>4977</v>
      </c>
      <c r="J32" s="13">
        <f aca="true" t="shared" si="1" ref="J32:J56">I32-F32</f>
        <v>522</v>
      </c>
      <c r="K32" s="14">
        <f>IF(ISERROR(J32/F32),0,J32/F32)</f>
        <v>0.11717171717171718</v>
      </c>
      <c r="L32" s="15">
        <f>IF(ISERROR(I32/I$56),0,I32/I$56)</f>
        <v>0.38982392605896543</v>
      </c>
    </row>
    <row r="33" spans="2:12" ht="12">
      <c r="B33" s="24" t="str">
        <f>B5</f>
        <v>Monthly Service Charge Rate Rider</v>
      </c>
      <c r="C33" s="27" t="str">
        <f>+C5</f>
        <v>$</v>
      </c>
      <c r="D33" s="11">
        <f>D32</f>
        <v>900</v>
      </c>
      <c r="E33" s="93">
        <f>D5</f>
        <v>0</v>
      </c>
      <c r="F33" s="13">
        <f>D33*E33</f>
        <v>0</v>
      </c>
      <c r="G33" s="64">
        <f t="shared" si="0"/>
        <v>900</v>
      </c>
      <c r="H33" s="93">
        <f>E5</f>
        <v>0</v>
      </c>
      <c r="I33" s="13">
        <f aca="true" t="shared" si="2" ref="I33:I43">G33*H33</f>
        <v>0</v>
      </c>
      <c r="J33" s="13">
        <f t="shared" si="1"/>
        <v>0</v>
      </c>
      <c r="K33" s="14">
        <f aca="true" t="shared" si="3" ref="K33:K43">IF(ISERROR(J33/F33),0,J33/F33)</f>
        <v>0</v>
      </c>
      <c r="L33" s="15">
        <f aca="true" t="shared" si="4" ref="L33:L43">IF(ISERROR(I33/I$56),0,I33/I$56)</f>
        <v>0</v>
      </c>
    </row>
    <row r="34" spans="2:12" ht="12">
      <c r="B34" s="24" t="str">
        <f>B6</f>
        <v>Distribution Volumetric Rate</v>
      </c>
      <c r="C34" s="27" t="str">
        <f>+C6</f>
        <v>$/kW</v>
      </c>
      <c r="D34" s="11">
        <f aca="true" t="shared" si="5" ref="D34:D43">+$E$23</f>
        <v>129</v>
      </c>
      <c r="E34" s="93">
        <f>D6</f>
        <v>9.6594</v>
      </c>
      <c r="F34" s="13">
        <f aca="true" t="shared" si="6" ref="F34:F41">D34*E34</f>
        <v>1246.0626</v>
      </c>
      <c r="G34" s="64">
        <f t="shared" si="0"/>
        <v>129</v>
      </c>
      <c r="H34" s="93">
        <f>E6</f>
        <v>10.7852</v>
      </c>
      <c r="I34" s="13">
        <f t="shared" si="2"/>
        <v>1391.2908</v>
      </c>
      <c r="J34" s="13">
        <f t="shared" si="1"/>
        <v>145.22820000000002</v>
      </c>
      <c r="K34" s="14">
        <f t="shared" si="3"/>
        <v>0.1165496821748763</v>
      </c>
      <c r="L34" s="15">
        <f t="shared" si="4"/>
        <v>0.10897296402365257</v>
      </c>
    </row>
    <row r="35" spans="2:12" ht="12">
      <c r="B35" s="24" t="str">
        <f>B7</f>
        <v>Distribution Volumetric Rate Rider</v>
      </c>
      <c r="C35" s="27" t="str">
        <f>+C7</f>
        <v>$/kW</v>
      </c>
      <c r="D35" s="11">
        <f t="shared" si="5"/>
        <v>129</v>
      </c>
      <c r="E35" s="93">
        <f>D7</f>
        <v>0</v>
      </c>
      <c r="F35" s="13">
        <f t="shared" si="6"/>
        <v>0</v>
      </c>
      <c r="G35" s="64">
        <f t="shared" si="0"/>
        <v>129</v>
      </c>
      <c r="H35" s="93">
        <f>E7</f>
        <v>0</v>
      </c>
      <c r="I35" s="13">
        <f t="shared" si="2"/>
        <v>0</v>
      </c>
      <c r="J35" s="13">
        <f t="shared" si="1"/>
        <v>0</v>
      </c>
      <c r="K35" s="14">
        <f t="shared" si="3"/>
        <v>0</v>
      </c>
      <c r="L35" s="15">
        <f t="shared" si="4"/>
        <v>0</v>
      </c>
    </row>
    <row r="36" spans="2:12" ht="12">
      <c r="B36" s="24" t="str">
        <f>B8</f>
        <v>Low Voltage Service Rate</v>
      </c>
      <c r="C36" s="27" t="str">
        <f>+C8</f>
        <v>$/kW</v>
      </c>
      <c r="D36" s="11">
        <f t="shared" si="5"/>
        <v>129</v>
      </c>
      <c r="E36" s="93">
        <f>D8</f>
        <v>0.4222</v>
      </c>
      <c r="F36" s="13">
        <f>D36*E36</f>
        <v>54.4638</v>
      </c>
      <c r="G36" s="64">
        <f>+D36</f>
        <v>129</v>
      </c>
      <c r="H36" s="93">
        <f>E8</f>
        <v>0.4286</v>
      </c>
      <c r="I36" s="13">
        <f>G36*H36</f>
        <v>55.2894</v>
      </c>
      <c r="J36" s="13">
        <f>I36-F36</f>
        <v>0.8256000000000014</v>
      </c>
      <c r="K36" s="14">
        <f>IF(ISERROR(J36/F36),0,J36/F36)</f>
        <v>0.015158692562766488</v>
      </c>
      <c r="L36" s="15">
        <f>IF(ISERROR(I36/I$56),0,I36/I$56)</f>
        <v>0.0043305467103565524</v>
      </c>
    </row>
    <row r="37" spans="2:12" ht="12">
      <c r="B37" s="24" t="str">
        <f aca="true" t="shared" si="7" ref="B37:B43">B9</f>
        <v>Rate Rider for Deferral/Variance Account Disposition (2012) - effective until April 30, 2013</v>
      </c>
      <c r="C37" s="27" t="str">
        <f aca="true" t="shared" si="8" ref="C37:C43">+C9</f>
        <v>$/kW</v>
      </c>
      <c r="D37" s="11">
        <f t="shared" si="5"/>
        <v>129</v>
      </c>
      <c r="E37" s="93">
        <f aca="true" t="shared" si="9" ref="E37:E43">D9</f>
        <v>0</v>
      </c>
      <c r="F37" s="13">
        <f t="shared" si="6"/>
        <v>0</v>
      </c>
      <c r="G37" s="64">
        <f t="shared" si="0"/>
        <v>129</v>
      </c>
      <c r="H37" s="93">
        <f aca="true" t="shared" si="10" ref="H37:H43">E9</f>
        <v>0</v>
      </c>
      <c r="I37" s="13">
        <f t="shared" si="2"/>
        <v>0</v>
      </c>
      <c r="J37" s="13">
        <f t="shared" si="1"/>
        <v>0</v>
      </c>
      <c r="K37" s="14">
        <f t="shared" si="3"/>
        <v>0</v>
      </c>
      <c r="L37" s="15">
        <f t="shared" si="4"/>
        <v>0</v>
      </c>
    </row>
    <row r="38" spans="2:12" ht="12">
      <c r="B38" s="24" t="str">
        <f t="shared" si="7"/>
        <v>Rate Rider for Deferral/Variance Account Disposition (2013) - effective until December 31, 2013</v>
      </c>
      <c r="C38" s="27" t="str">
        <f t="shared" si="8"/>
        <v>$/kW</v>
      </c>
      <c r="D38" s="11">
        <f t="shared" si="5"/>
        <v>129</v>
      </c>
      <c r="E38" s="93">
        <f t="shared" si="9"/>
        <v>0</v>
      </c>
      <c r="F38" s="13">
        <f t="shared" si="6"/>
        <v>0</v>
      </c>
      <c r="G38" s="64">
        <f t="shared" si="0"/>
        <v>129</v>
      </c>
      <c r="H38" s="11">
        <f t="shared" si="10"/>
        <v>-0.5817</v>
      </c>
      <c r="I38" s="13">
        <f t="shared" si="2"/>
        <v>-75.0393</v>
      </c>
      <c r="J38" s="13">
        <f t="shared" si="1"/>
        <v>-75.0393</v>
      </c>
      <c r="K38" s="14">
        <f t="shared" si="3"/>
        <v>0</v>
      </c>
      <c r="L38" s="15">
        <f t="shared" si="4"/>
        <v>-0.005877459219352325</v>
      </c>
    </row>
    <row r="39" spans="2:12" ht="24">
      <c r="B39" s="24" t="str">
        <f t="shared" si="7"/>
        <v>Rate Rider for Global Adjustment Sub-Account Disposition (2012) - effective until April 30, 2013 Applicable only for Non-RPP Customers</v>
      </c>
      <c r="C39" s="27" t="str">
        <f t="shared" si="8"/>
        <v>$/kW</v>
      </c>
      <c r="D39" s="11">
        <f t="shared" si="5"/>
        <v>129</v>
      </c>
      <c r="E39" s="93">
        <f t="shared" si="9"/>
        <v>0</v>
      </c>
      <c r="F39" s="13">
        <f t="shared" si="6"/>
        <v>0</v>
      </c>
      <c r="G39" s="64">
        <f t="shared" si="0"/>
        <v>129</v>
      </c>
      <c r="H39" s="93">
        <f t="shared" si="10"/>
        <v>0</v>
      </c>
      <c r="I39" s="13">
        <f t="shared" si="2"/>
        <v>0</v>
      </c>
      <c r="J39" s="13">
        <f t="shared" si="1"/>
        <v>0</v>
      </c>
      <c r="K39" s="14">
        <f t="shared" si="3"/>
        <v>0</v>
      </c>
      <c r="L39" s="15">
        <f t="shared" si="4"/>
        <v>0</v>
      </c>
    </row>
    <row r="40" spans="2:12" ht="24">
      <c r="B40" s="24" t="str">
        <f t="shared" si="7"/>
        <v>Rate Rider for Global Adjustment Sub-Account Disposition (2013) - effective until December 31, 2013 Applicable only for Non-RPP Customers</v>
      </c>
      <c r="C40" s="27" t="str">
        <f t="shared" si="8"/>
        <v>$/kW</v>
      </c>
      <c r="D40" s="11">
        <f t="shared" si="5"/>
        <v>129</v>
      </c>
      <c r="E40" s="93">
        <f t="shared" si="9"/>
        <v>0</v>
      </c>
      <c r="F40" s="13">
        <f t="shared" si="6"/>
        <v>0</v>
      </c>
      <c r="G40" s="64">
        <f t="shared" si="0"/>
        <v>129</v>
      </c>
      <c r="H40" s="93">
        <f t="shared" si="10"/>
        <v>1.4137</v>
      </c>
      <c r="I40" s="13">
        <f t="shared" si="2"/>
        <v>182.3673</v>
      </c>
      <c r="J40" s="13">
        <f t="shared" si="1"/>
        <v>182.3673</v>
      </c>
      <c r="K40" s="14">
        <f t="shared" si="3"/>
        <v>0</v>
      </c>
      <c r="L40" s="15">
        <f t="shared" si="4"/>
        <v>0.01428393346810793</v>
      </c>
    </row>
    <row r="41" spans="2:12" ht="12">
      <c r="B41" s="24" t="str">
        <f t="shared" si="7"/>
        <v>Rate Rider for Tax Change - effective until April 30, 2013</v>
      </c>
      <c r="C41" s="27" t="str">
        <f t="shared" si="8"/>
        <v>$/kW</v>
      </c>
      <c r="D41" s="11">
        <f t="shared" si="5"/>
        <v>129</v>
      </c>
      <c r="E41" s="93">
        <f t="shared" si="9"/>
        <v>-0.4273</v>
      </c>
      <c r="F41" s="13">
        <f t="shared" si="6"/>
        <v>-55.121700000000004</v>
      </c>
      <c r="G41" s="64">
        <f t="shared" si="0"/>
        <v>129</v>
      </c>
      <c r="H41" s="93">
        <f t="shared" si="10"/>
        <v>-0.4273</v>
      </c>
      <c r="I41" s="13">
        <f t="shared" si="2"/>
        <v>-55.121700000000004</v>
      </c>
      <c r="J41" s="13">
        <f t="shared" si="1"/>
        <v>0</v>
      </c>
      <c r="K41" s="14">
        <f t="shared" si="3"/>
        <v>0</v>
      </c>
      <c r="L41" s="15">
        <f t="shared" si="4"/>
        <v>-0.004317411594342872</v>
      </c>
    </row>
    <row r="42" spans="2:12" ht="12">
      <c r="B42" s="24" t="str">
        <f t="shared" si="7"/>
        <v>Rate Rider for Tax Change - effective until December 31, 2013</v>
      </c>
      <c r="C42" s="27" t="str">
        <f t="shared" si="8"/>
        <v>$/kW</v>
      </c>
      <c r="D42" s="11">
        <f t="shared" si="5"/>
        <v>129</v>
      </c>
      <c r="E42" s="93">
        <f t="shared" si="9"/>
        <v>0</v>
      </c>
      <c r="F42" s="13">
        <f>D42*E42</f>
        <v>0</v>
      </c>
      <c r="G42" s="64">
        <f t="shared" si="0"/>
        <v>129</v>
      </c>
      <c r="H42" s="93">
        <f t="shared" si="10"/>
        <v>0</v>
      </c>
      <c r="I42" s="13">
        <f t="shared" si="2"/>
        <v>0</v>
      </c>
      <c r="J42" s="13">
        <f t="shared" si="1"/>
        <v>0</v>
      </c>
      <c r="K42" s="14">
        <f t="shared" si="3"/>
        <v>0</v>
      </c>
      <c r="L42" s="15">
        <f t="shared" si="4"/>
        <v>0</v>
      </c>
    </row>
    <row r="43" spans="2:12" ht="12">
      <c r="B43" s="24" t="str">
        <f t="shared" si="7"/>
        <v>Rate Rider for PILS - effective until December 31, 2014</v>
      </c>
      <c r="C43" s="27" t="str">
        <f t="shared" si="8"/>
        <v>$/kW</v>
      </c>
      <c r="D43" s="11">
        <f t="shared" si="5"/>
        <v>129</v>
      </c>
      <c r="E43" s="93">
        <f t="shared" si="9"/>
        <v>0</v>
      </c>
      <c r="F43" s="13">
        <f>D43*E43</f>
        <v>0</v>
      </c>
      <c r="G43" s="64">
        <f t="shared" si="0"/>
        <v>129</v>
      </c>
      <c r="H43" s="93">
        <f t="shared" si="10"/>
        <v>-0.71472</v>
      </c>
      <c r="I43" s="13">
        <f t="shared" si="2"/>
        <v>-92.19888</v>
      </c>
      <c r="J43" s="13">
        <f t="shared" si="1"/>
        <v>-92.19888</v>
      </c>
      <c r="K43" s="14">
        <f t="shared" si="3"/>
        <v>0</v>
      </c>
      <c r="L43" s="15">
        <f t="shared" si="4"/>
        <v>-0.007221484705613708</v>
      </c>
    </row>
    <row r="44" spans="2:12" ht="12">
      <c r="B44" s="126" t="s">
        <v>26</v>
      </c>
      <c r="C44" s="100"/>
      <c r="D44" s="101"/>
      <c r="E44" s="102"/>
      <c r="F44" s="104">
        <f>SUM(F32:F43)</f>
        <v>5700.404700000001</v>
      </c>
      <c r="G44" s="102"/>
      <c r="H44" s="102"/>
      <c r="I44" s="104">
        <f>SUM(I32:I43)</f>
        <v>6383.587619999999</v>
      </c>
      <c r="J44" s="104">
        <f>I44-F44</f>
        <v>683.1829199999984</v>
      </c>
      <c r="K44" s="105">
        <f>IF(ISERROR(J44/F44),0,J44/F44)</f>
        <v>0.1198481434133963</v>
      </c>
      <c r="L44" s="127">
        <f>IF(ISERROR(I44/I$56),0,I44/I$56)</f>
        <v>0.4999950147417735</v>
      </c>
    </row>
    <row r="45" spans="2:12" ht="12">
      <c r="B45" s="24" t="str">
        <f>B16</f>
        <v>Retail Transmission Rate - Network Service Rate</v>
      </c>
      <c r="C45" s="27" t="str">
        <f>+C16</f>
        <v>$/kW</v>
      </c>
      <c r="D45" s="157">
        <f>+$E$23</f>
        <v>129</v>
      </c>
      <c r="E45" s="12">
        <f>D16</f>
        <v>1.2197</v>
      </c>
      <c r="F45" s="13">
        <f>D45*E45</f>
        <v>157.3413</v>
      </c>
      <c r="G45" s="157">
        <f>+D45</f>
        <v>129</v>
      </c>
      <c r="H45" s="12">
        <f>E16</f>
        <v>1.3077</v>
      </c>
      <c r="I45" s="13">
        <f>G45*H45</f>
        <v>168.69330000000002</v>
      </c>
      <c r="J45" s="13">
        <f t="shared" si="1"/>
        <v>11.352000000000032</v>
      </c>
      <c r="K45" s="14">
        <f>IF(ISERROR(J45/F45),0,J45/F45)</f>
        <v>0.07214888907108326</v>
      </c>
      <c r="L45" s="15">
        <f aca="true" t="shared" si="11" ref="L45:L56">IF(ISERROR(I45/I$56),0,I45/I$56)</f>
        <v>0.013212916316223202</v>
      </c>
    </row>
    <row r="46" spans="2:12" ht="12">
      <c r="B46" s="24" t="str">
        <f>B17</f>
        <v>Retail Transmission Rate - Line and Transformation Connection Service Rate</v>
      </c>
      <c r="C46" s="27" t="str">
        <f>+C17</f>
        <v>$/kW</v>
      </c>
      <c r="D46" s="157">
        <f>+$E$23</f>
        <v>129</v>
      </c>
      <c r="E46" s="12">
        <f>D17</f>
        <v>0.9958</v>
      </c>
      <c r="F46" s="13">
        <f>D46*E46</f>
        <v>128.4582</v>
      </c>
      <c r="G46" s="157">
        <f>+D46</f>
        <v>129</v>
      </c>
      <c r="H46" s="12">
        <f>E17</f>
        <v>1.0121</v>
      </c>
      <c r="I46" s="13">
        <f>G46*H46</f>
        <v>130.5609</v>
      </c>
      <c r="J46" s="13">
        <f>I46-F46</f>
        <v>2.1026999999999987</v>
      </c>
      <c r="K46" s="14">
        <f>IF(ISERROR(J46/F46),0,J46/F46)</f>
        <v>0.016368748744727848</v>
      </c>
      <c r="L46" s="15">
        <f t="shared" si="11"/>
        <v>0.010226193013420128</v>
      </c>
    </row>
    <row r="47" spans="2:12" ht="12">
      <c r="B47" s="126" t="s">
        <v>18</v>
      </c>
      <c r="C47" s="100"/>
      <c r="D47" s="101"/>
      <c r="E47" s="102"/>
      <c r="F47" s="104">
        <f>+SUM(F45:F46)</f>
        <v>285.79949999999997</v>
      </c>
      <c r="G47" s="102"/>
      <c r="H47" s="102"/>
      <c r="I47" s="104">
        <f>+SUM(I45:I46)</f>
        <v>299.2542</v>
      </c>
      <c r="J47" s="104">
        <f>I47-F47</f>
        <v>13.45470000000006</v>
      </c>
      <c r="K47" s="105">
        <f>IF(ISERROR(J47/F47),0,J47/F47)</f>
        <v>0.04707740916271743</v>
      </c>
      <c r="L47" s="127">
        <f>IF(ISERROR(I47/I$56),0,I47/I$56)</f>
        <v>0.02343910932964333</v>
      </c>
    </row>
    <row r="48" spans="2:12" ht="12">
      <c r="B48" s="128" t="s">
        <v>27</v>
      </c>
      <c r="C48" s="107"/>
      <c r="D48" s="108"/>
      <c r="E48" s="109"/>
      <c r="F48" s="110">
        <f>F44+F47</f>
        <v>5986.204200000001</v>
      </c>
      <c r="G48" s="109"/>
      <c r="H48" s="109"/>
      <c r="I48" s="110">
        <f>I44+I47</f>
        <v>6682.84182</v>
      </c>
      <c r="J48" s="110">
        <f t="shared" si="1"/>
        <v>696.6376199999986</v>
      </c>
      <c r="K48" s="111">
        <f>IF(ISERROR(J48/F48),0,J48/F48)</f>
        <v>0.11637384838960196</v>
      </c>
      <c r="L48" s="129">
        <f t="shared" si="11"/>
        <v>0.5234341240714169</v>
      </c>
    </row>
    <row r="49" spans="2:12" ht="12">
      <c r="B49" s="24" t="str">
        <f>B18</f>
        <v>Wholesale Market Service Rate</v>
      </c>
      <c r="C49" s="27" t="str">
        <f>C18</f>
        <v>$/kWh</v>
      </c>
      <c r="D49" s="11">
        <f>+$C$25</f>
        <v>49307</v>
      </c>
      <c r="E49" s="12">
        <f>D18</f>
        <v>0.0052</v>
      </c>
      <c r="F49" s="13">
        <f>D49*E49</f>
        <v>256.39639999999997</v>
      </c>
      <c r="G49" s="11">
        <f>+$H$25</f>
        <v>51120</v>
      </c>
      <c r="H49" s="12">
        <f>E18</f>
        <v>0.0052</v>
      </c>
      <c r="I49" s="13">
        <f>G49*H49</f>
        <v>265.824</v>
      </c>
      <c r="J49" s="13">
        <f t="shared" si="1"/>
        <v>9.42760000000004</v>
      </c>
      <c r="K49" s="14">
        <f>IF(ISERROR(J49/F49),0,J49/F49)</f>
        <v>0.0367696270306449</v>
      </c>
      <c r="L49" s="15">
        <f t="shared" si="11"/>
        <v>0.02082068622075516</v>
      </c>
    </row>
    <row r="50" spans="2:12" ht="12">
      <c r="B50" s="24" t="str">
        <f>B19</f>
        <v>Rural Rate Protection Charge</v>
      </c>
      <c r="C50" s="27" t="str">
        <f>C19</f>
        <v>$/kWh</v>
      </c>
      <c r="D50" s="11">
        <f>+$C$25</f>
        <v>49307</v>
      </c>
      <c r="E50" s="12">
        <f>D19</f>
        <v>0.0011</v>
      </c>
      <c r="F50" s="13">
        <f>D50*E50</f>
        <v>54.237700000000004</v>
      </c>
      <c r="G50" s="11">
        <f>+$H$25</f>
        <v>51120</v>
      </c>
      <c r="H50" s="12">
        <f>E19</f>
        <v>0.0011</v>
      </c>
      <c r="I50" s="13">
        <f>G50*H50</f>
        <v>56.232000000000006</v>
      </c>
      <c r="J50" s="13">
        <f t="shared" si="1"/>
        <v>1.9943000000000026</v>
      </c>
      <c r="K50" s="14">
        <f>IF(ISERROR(J50/F50),0,J50/F50)</f>
        <v>0.036769627030644784</v>
      </c>
      <c r="L50" s="15">
        <f t="shared" si="11"/>
        <v>0.004404375931313592</v>
      </c>
    </row>
    <row r="51" spans="2:12" ht="12">
      <c r="B51" s="24" t="str">
        <f>B20</f>
        <v>Standard Supply Service - Administrative Charge (if applicable)</v>
      </c>
      <c r="C51" s="27" t="str">
        <f>C20</f>
        <v>$</v>
      </c>
      <c r="D51" s="11">
        <f>+$D$32</f>
        <v>900</v>
      </c>
      <c r="E51" s="13">
        <f>D20</f>
        <v>0.25</v>
      </c>
      <c r="F51" s="13">
        <f>D51*E51</f>
        <v>225</v>
      </c>
      <c r="G51" s="11">
        <f>+D51</f>
        <v>900</v>
      </c>
      <c r="H51" s="13">
        <f>E20</f>
        <v>0.25</v>
      </c>
      <c r="I51" s="13">
        <f>G51*H51</f>
        <v>225</v>
      </c>
      <c r="J51" s="13">
        <f t="shared" si="1"/>
        <v>0</v>
      </c>
      <c r="K51" s="14">
        <f>IF(ISERROR(J51/F51),0,J51/F51)</f>
        <v>0</v>
      </c>
      <c r="L51" s="15">
        <f t="shared" si="11"/>
        <v>0.017623143131056302</v>
      </c>
    </row>
    <row r="52" spans="2:12" ht="12">
      <c r="B52" s="128" t="s">
        <v>28</v>
      </c>
      <c r="C52" s="106"/>
      <c r="D52" s="95"/>
      <c r="E52" s="96"/>
      <c r="F52" s="97">
        <f>SUM(F49:F51)</f>
        <v>535.6341</v>
      </c>
      <c r="G52" s="96"/>
      <c r="H52" s="96"/>
      <c r="I52" s="97">
        <f>SUM(I49:I51)</f>
        <v>547.056</v>
      </c>
      <c r="J52" s="97">
        <f>I52-F52</f>
        <v>11.42190000000005</v>
      </c>
      <c r="K52" s="98">
        <f>IF(ISERROR(J52/F52),0,J52/F52)</f>
        <v>0.021324071787065184</v>
      </c>
      <c r="L52" s="125">
        <f t="shared" si="11"/>
        <v>0.04284820528312505</v>
      </c>
    </row>
    <row r="53" spans="2:12" ht="12">
      <c r="B53" s="130" t="s">
        <v>11</v>
      </c>
      <c r="C53" s="180" t="s">
        <v>9</v>
      </c>
      <c r="D53" s="112">
        <f>C23</f>
        <v>46000</v>
      </c>
      <c r="E53" s="113">
        <v>0.0051</v>
      </c>
      <c r="F53" s="97">
        <f>D53*E53</f>
        <v>234.60000000000002</v>
      </c>
      <c r="G53" s="112">
        <f>D53</f>
        <v>46000</v>
      </c>
      <c r="H53" s="113">
        <f>E53</f>
        <v>0.0051</v>
      </c>
      <c r="I53" s="97">
        <f>G53*H53</f>
        <v>234.60000000000002</v>
      </c>
      <c r="J53" s="97">
        <f t="shared" si="1"/>
        <v>0</v>
      </c>
      <c r="K53" s="98">
        <f>IF(ISERROR(J53/F53),0,J53/F53)</f>
        <v>0</v>
      </c>
      <c r="L53" s="125">
        <f t="shared" si="11"/>
        <v>0.01837506390464804</v>
      </c>
    </row>
    <row r="54" spans="2:12" ht="12">
      <c r="B54" s="131" t="s">
        <v>29</v>
      </c>
      <c r="C54" s="114"/>
      <c r="D54" s="79"/>
      <c r="E54" s="115"/>
      <c r="F54" s="116">
        <f>+F30+F31+F48+F52+F53</f>
        <v>10454.463300000001</v>
      </c>
      <c r="G54" s="115"/>
      <c r="H54" s="115"/>
      <c r="I54" s="116">
        <f>+I30+I31+I48+I52+I53</f>
        <v>11298.49782</v>
      </c>
      <c r="J54" s="116">
        <f>I54-F54</f>
        <v>844.0345199999992</v>
      </c>
      <c r="K54" s="117">
        <f>IF(ISERROR(J54/F54),0,J54/F54)</f>
        <v>0.08073437112740155</v>
      </c>
      <c r="L54" s="132">
        <f t="shared" si="11"/>
        <v>0.8849557522123894</v>
      </c>
    </row>
    <row r="55" spans="2:12" ht="12">
      <c r="B55" s="130" t="s">
        <v>57</v>
      </c>
      <c r="C55" s="118"/>
      <c r="D55" s="95"/>
      <c r="E55" s="119">
        <f>+Rates!$D$145</f>
        <v>0.13</v>
      </c>
      <c r="F55" s="97">
        <f>E55*F54</f>
        <v>1359.0802290000001</v>
      </c>
      <c r="G55" s="96"/>
      <c r="H55" s="119">
        <f>+E55</f>
        <v>0.13</v>
      </c>
      <c r="I55" s="97">
        <f>H55*I54</f>
        <v>1468.8047166000001</v>
      </c>
      <c r="J55" s="97">
        <f t="shared" si="1"/>
        <v>109.72448759999997</v>
      </c>
      <c r="K55" s="98">
        <f>IF(ISERROR(J55/F55),0,J55/F55)</f>
        <v>0.0807343711274016</v>
      </c>
      <c r="L55" s="125">
        <f t="shared" si="11"/>
        <v>0.11504424778761063</v>
      </c>
    </row>
    <row r="56" spans="2:12" ht="12.75" thickBot="1">
      <c r="B56" s="133" t="s">
        <v>19</v>
      </c>
      <c r="C56" s="134"/>
      <c r="D56" s="135"/>
      <c r="E56" s="136"/>
      <c r="F56" s="137">
        <f>+F54+F55</f>
        <v>11813.543529000002</v>
      </c>
      <c r="G56" s="136"/>
      <c r="H56" s="136"/>
      <c r="I56" s="137">
        <f>+I54+I55</f>
        <v>12767.3025366</v>
      </c>
      <c r="J56" s="137">
        <f t="shared" si="1"/>
        <v>953.7590075999979</v>
      </c>
      <c r="K56" s="138">
        <f>IF(ISERROR(J56/F56),0,J56/F56)</f>
        <v>0.08073437112740144</v>
      </c>
      <c r="L56" s="139">
        <f t="shared" si="11"/>
        <v>1</v>
      </c>
    </row>
  </sheetData>
  <sheetProtection/>
  <mergeCells count="7">
    <mergeCell ref="J28:L28"/>
    <mergeCell ref="B27:B29"/>
    <mergeCell ref="D27:F27"/>
    <mergeCell ref="G27:I27"/>
    <mergeCell ref="C28:C29"/>
    <mergeCell ref="D28:D29"/>
    <mergeCell ref="G28:G29"/>
  </mergeCells>
  <printOptions/>
  <pageMargins left="0.75" right="0.75" top="1" bottom="1" header="0.5" footer="0.5"/>
  <pageSetup fitToHeight="1" fitToWidth="1" horizontalDpi="600" verticalDpi="600" orientation="landscape" scale="63" r:id="rId1"/>
  <headerFooter alignWithMargins="0">
    <oddHeader xml:space="preserve">&amp;C&amp;"Arial,Bold"&amp;16Electricity Distribution Impacts
Street Lighting Non-RPP&amp;"Arial,Regular"&amp;10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3:I32"/>
  <sheetViews>
    <sheetView showGridLines="0" zoomScalePageLayoutView="0" workbookViewId="0" topLeftCell="A1">
      <selection activeCell="H36" sqref="H36"/>
    </sheetView>
  </sheetViews>
  <sheetFormatPr defaultColWidth="9.140625" defaultRowHeight="12.75"/>
  <cols>
    <col min="1" max="1" width="4.8515625" style="36" customWidth="1"/>
    <col min="2" max="2" width="25.140625" style="36" customWidth="1"/>
    <col min="3" max="3" width="11.8515625" style="36" customWidth="1"/>
    <col min="4" max="4" width="11.140625" style="36" customWidth="1"/>
    <col min="5" max="5" width="2.140625" style="36" customWidth="1"/>
    <col min="6" max="6" width="12.7109375" style="36" bestFit="1" customWidth="1"/>
    <col min="7" max="7" width="15.00390625" style="36" bestFit="1" customWidth="1"/>
    <col min="8" max="8" width="9.8515625" style="36" bestFit="1" customWidth="1"/>
    <col min="9" max="16384" width="9.140625" style="36" customWidth="1"/>
  </cols>
  <sheetData>
    <row r="3" spans="2:9" ht="14.25" customHeight="1">
      <c r="B3" s="197" t="s">
        <v>96</v>
      </c>
      <c r="C3" s="197"/>
      <c r="D3" s="197"/>
      <c r="E3" s="197"/>
      <c r="F3" s="197"/>
      <c r="G3" s="197"/>
      <c r="H3" s="197"/>
      <c r="I3" s="197"/>
    </row>
    <row r="4" spans="2:9" ht="14.25" customHeight="1">
      <c r="B4" s="197"/>
      <c r="C4" s="197"/>
      <c r="D4" s="197"/>
      <c r="E4" s="197"/>
      <c r="F4" s="197"/>
      <c r="G4" s="197"/>
      <c r="H4" s="197"/>
      <c r="I4" s="197"/>
    </row>
    <row r="5" spans="2:9" ht="15" customHeight="1" thickBot="1">
      <c r="B5" s="198"/>
      <c r="C5" s="198"/>
      <c r="D5" s="198"/>
      <c r="E5" s="198"/>
      <c r="F5" s="198"/>
      <c r="G5" s="198"/>
      <c r="H5" s="198"/>
      <c r="I5" s="198"/>
    </row>
    <row r="6" spans="2:9" ht="15">
      <c r="B6" s="199" t="s">
        <v>69</v>
      </c>
      <c r="C6" s="37" t="s">
        <v>68</v>
      </c>
      <c r="D6" s="37" t="s">
        <v>70</v>
      </c>
      <c r="E6" s="38"/>
      <c r="F6" s="191" t="s">
        <v>71</v>
      </c>
      <c r="G6" s="191"/>
      <c r="H6" s="191"/>
      <c r="I6" s="192"/>
    </row>
    <row r="7" spans="2:9" ht="14.25" customHeight="1">
      <c r="B7" s="200"/>
      <c r="C7" s="39" t="s">
        <v>15</v>
      </c>
      <c r="D7" s="39" t="s">
        <v>16</v>
      </c>
      <c r="E7" s="40"/>
      <c r="F7" s="193" t="s">
        <v>72</v>
      </c>
      <c r="G7" s="194" t="s">
        <v>73</v>
      </c>
      <c r="H7" s="195" t="s">
        <v>74</v>
      </c>
      <c r="I7" s="196"/>
    </row>
    <row r="8" spans="2:9" ht="14.25">
      <c r="B8" s="41"/>
      <c r="C8" s="42"/>
      <c r="D8" s="42"/>
      <c r="E8" s="43"/>
      <c r="F8" s="193"/>
      <c r="G8" s="194"/>
      <c r="H8" s="153" t="s">
        <v>8</v>
      </c>
      <c r="I8" s="44" t="s">
        <v>12</v>
      </c>
    </row>
    <row r="9" spans="2:9" ht="14.25">
      <c r="B9" s="45" t="s">
        <v>75</v>
      </c>
      <c r="C9" s="53">
        <f>Residential!C24</f>
        <v>800</v>
      </c>
      <c r="D9" s="52"/>
      <c r="E9" s="40"/>
      <c r="F9" s="46">
        <f>Residential!F52</f>
        <v>37.90240000000001</v>
      </c>
      <c r="G9" s="46">
        <f>Residential!I52</f>
        <v>43.5418</v>
      </c>
      <c r="H9" s="46">
        <f>G9-F9</f>
        <v>5.639399999999995</v>
      </c>
      <c r="I9" s="47">
        <f>IF(ISBLANK(F9),"",H9/F9)</f>
        <v>0.148787411878931</v>
      </c>
    </row>
    <row r="10" spans="2:9" ht="14.25">
      <c r="B10" s="45" t="s">
        <v>76</v>
      </c>
      <c r="C10" s="53">
        <f>'Residential Non-RPP'!C26</f>
        <v>800</v>
      </c>
      <c r="D10" s="52"/>
      <c r="E10" s="40"/>
      <c r="F10" s="46">
        <f>'Residential Non-RPP'!F54</f>
        <v>37.90240000000001</v>
      </c>
      <c r="G10" s="46">
        <f>'Residential Non-RPP'!I54</f>
        <v>46.9818</v>
      </c>
      <c r="H10" s="46">
        <f aca="true" t="shared" si="0" ref="H10:H18">G10-F10</f>
        <v>9.079399999999993</v>
      </c>
      <c r="I10" s="47">
        <f aca="true" t="shared" si="1" ref="I10:I18">IF(ISBLANK(F10),"",H10/F10)</f>
        <v>0.23954683608425828</v>
      </c>
    </row>
    <row r="11" spans="2:9" ht="14.25">
      <c r="B11" s="45" t="s">
        <v>77</v>
      </c>
      <c r="C11" s="53">
        <f>'GS &lt; 50'!C24</f>
        <v>2000</v>
      </c>
      <c r="D11" s="52"/>
      <c r="E11" s="40"/>
      <c r="F11" s="46">
        <f>'GS &lt; 50'!F52</f>
        <v>82.55919999999999</v>
      </c>
      <c r="G11" s="46">
        <f>'GS &lt; 50'!I52</f>
        <v>94.68560000000001</v>
      </c>
      <c r="H11" s="46">
        <f t="shared" si="0"/>
        <v>12.126400000000018</v>
      </c>
      <c r="I11" s="47">
        <f t="shared" si="1"/>
        <v>0.14688126822934355</v>
      </c>
    </row>
    <row r="12" spans="2:9" ht="14.25">
      <c r="B12" s="45" t="s">
        <v>78</v>
      </c>
      <c r="C12" s="53">
        <f>'GS &lt; 50 Non-RPP'!C26</f>
        <v>2000</v>
      </c>
      <c r="D12" s="52"/>
      <c r="E12" s="40"/>
      <c r="F12" s="46">
        <f>'GS &lt; 50 Non-RPP'!F54</f>
        <v>82.55919999999999</v>
      </c>
      <c r="G12" s="46">
        <f>'GS &lt; 50 Non-RPP'!I54</f>
        <v>103.2856</v>
      </c>
      <c r="H12" s="46">
        <f t="shared" si="0"/>
        <v>20.726400000000012</v>
      </c>
      <c r="I12" s="47">
        <f t="shared" si="1"/>
        <v>0.251048944272716</v>
      </c>
    </row>
    <row r="13" spans="2:9" ht="14.25">
      <c r="B13" s="45" t="s">
        <v>79</v>
      </c>
      <c r="C13" s="53">
        <f>'GS&gt;50'!C22</f>
        <v>44300</v>
      </c>
      <c r="D13" s="53">
        <f>'GS&gt;50'!E22</f>
        <v>139</v>
      </c>
      <c r="E13" s="40"/>
      <c r="F13" s="46">
        <f>'GS&gt;50'!F48</f>
        <v>1813.0224000000003</v>
      </c>
      <c r="G13" s="46">
        <f>'GS&gt;50'!I48</f>
        <v>1835.2902000000001</v>
      </c>
      <c r="H13" s="46">
        <f t="shared" si="0"/>
        <v>22.267799999999852</v>
      </c>
      <c r="I13" s="47">
        <f t="shared" si="1"/>
        <v>0.012282142790954954</v>
      </c>
    </row>
    <row r="14" spans="2:9" ht="14.25">
      <c r="B14" s="45" t="s">
        <v>80</v>
      </c>
      <c r="C14" s="53">
        <f>'GS&gt;50 Non-RPP'!C24</f>
        <v>44300</v>
      </c>
      <c r="D14" s="53">
        <f>'GS&gt;50 Non-RPP'!E24</f>
        <v>139</v>
      </c>
      <c r="E14" s="40"/>
      <c r="F14" s="46">
        <f>'GS&gt;50 Non-RPP'!F50</f>
        <v>1813.0224000000003</v>
      </c>
      <c r="G14" s="46">
        <f>'GS&gt;50 Non-RPP'!I50</f>
        <v>2016.1681200000003</v>
      </c>
      <c r="H14" s="46">
        <f t="shared" si="0"/>
        <v>203.14571999999998</v>
      </c>
      <c r="I14" s="47">
        <f t="shared" si="1"/>
        <v>0.11204810265995607</v>
      </c>
    </row>
    <row r="15" spans="2:9" ht="14.25">
      <c r="B15" s="45" t="s">
        <v>91</v>
      </c>
      <c r="C15" s="53">
        <f>USL!C23</f>
        <v>800</v>
      </c>
      <c r="D15" s="55"/>
      <c r="E15" s="40"/>
      <c r="F15" s="46">
        <f>USL!F50</f>
        <v>109.53340000000001</v>
      </c>
      <c r="G15" s="46">
        <f>USL!I50</f>
        <v>90.1853</v>
      </c>
      <c r="H15" s="46">
        <f t="shared" si="0"/>
        <v>-19.348100000000017</v>
      </c>
      <c r="I15" s="47">
        <f t="shared" si="1"/>
        <v>-0.17664109760127975</v>
      </c>
    </row>
    <row r="16" spans="2:9" ht="14.25">
      <c r="B16" s="45" t="s">
        <v>38</v>
      </c>
      <c r="C16" s="53">
        <f>Sentinel!C23</f>
        <v>300</v>
      </c>
      <c r="D16" s="53">
        <f>Sentinel!E23</f>
        <v>5</v>
      </c>
      <c r="E16" s="40"/>
      <c r="F16" s="46">
        <f>Sentinel!F50</f>
        <v>52.355</v>
      </c>
      <c r="G16" s="46">
        <f>Sentinel!I50</f>
        <v>48.25365</v>
      </c>
      <c r="H16" s="46">
        <f t="shared" si="0"/>
        <v>-4.1013499999999965</v>
      </c>
      <c r="I16" s="47">
        <f t="shared" si="1"/>
        <v>-0.0783373125775952</v>
      </c>
    </row>
    <row r="17" spans="2:9" ht="14.25">
      <c r="B17" s="45" t="s">
        <v>7</v>
      </c>
      <c r="C17" s="53">
        <f>Streetlighting!C23</f>
        <v>46000</v>
      </c>
      <c r="D17" s="53">
        <f>Streetlighting!E23</f>
        <v>129</v>
      </c>
      <c r="E17" s="40"/>
      <c r="F17" s="46">
        <f>Streetlighting!F50</f>
        <v>5986.204200000001</v>
      </c>
      <c r="G17" s="46">
        <f>Streetlighting!I50</f>
        <v>6500.47452</v>
      </c>
      <c r="H17" s="46">
        <f t="shared" si="0"/>
        <v>514.2703199999987</v>
      </c>
      <c r="I17" s="47">
        <f t="shared" si="1"/>
        <v>0.08590925114114861</v>
      </c>
    </row>
    <row r="18" spans="2:9" ht="15" thickBot="1">
      <c r="B18" s="48" t="s">
        <v>81</v>
      </c>
      <c r="C18" s="54">
        <f>'Streetlighting Non-RPP'!C23</f>
        <v>46000</v>
      </c>
      <c r="D18" s="54">
        <f>'Streetlighting Non-RPP'!E23</f>
        <v>129</v>
      </c>
      <c r="E18" s="49"/>
      <c r="F18" s="50">
        <f>'Streetlighting Non-RPP'!F48</f>
        <v>5986.204200000001</v>
      </c>
      <c r="G18" s="50">
        <f>'Streetlighting Non-RPP'!I48</f>
        <v>6682.84182</v>
      </c>
      <c r="H18" s="50">
        <f t="shared" si="0"/>
        <v>696.6376199999986</v>
      </c>
      <c r="I18" s="51">
        <f t="shared" si="1"/>
        <v>0.11637384838960196</v>
      </c>
    </row>
    <row r="19" spans="2:9" ht="7.5" customHeight="1" thickBot="1">
      <c r="B19" s="175"/>
      <c r="C19" s="173"/>
      <c r="D19" s="173"/>
      <c r="E19" s="40"/>
      <c r="F19" s="174"/>
      <c r="G19" s="174"/>
      <c r="H19" s="174"/>
      <c r="I19" s="176"/>
    </row>
    <row r="20" spans="2:9" ht="15" customHeight="1">
      <c r="B20" s="199" t="s">
        <v>69</v>
      </c>
      <c r="C20" s="37" t="s">
        <v>68</v>
      </c>
      <c r="D20" s="37" t="s">
        <v>70</v>
      </c>
      <c r="E20" s="38"/>
      <c r="F20" s="191" t="s">
        <v>19</v>
      </c>
      <c r="G20" s="191"/>
      <c r="H20" s="191"/>
      <c r="I20" s="192"/>
    </row>
    <row r="21" spans="2:9" ht="14.25" customHeight="1">
      <c r="B21" s="200"/>
      <c r="C21" s="39" t="s">
        <v>15</v>
      </c>
      <c r="D21" s="39" t="s">
        <v>16</v>
      </c>
      <c r="E21" s="40"/>
      <c r="F21" s="193" t="s">
        <v>72</v>
      </c>
      <c r="G21" s="194" t="s">
        <v>73</v>
      </c>
      <c r="H21" s="195" t="s">
        <v>74</v>
      </c>
      <c r="I21" s="196"/>
    </row>
    <row r="22" spans="2:9" ht="14.25">
      <c r="B22" s="41"/>
      <c r="C22" s="42"/>
      <c r="D22" s="42"/>
      <c r="E22" s="43"/>
      <c r="F22" s="193"/>
      <c r="G22" s="194"/>
      <c r="H22" s="153" t="s">
        <v>8</v>
      </c>
      <c r="I22" s="44" t="s">
        <v>12</v>
      </c>
    </row>
    <row r="23" spans="2:9" ht="14.25">
      <c r="B23" s="45" t="s">
        <v>75</v>
      </c>
      <c r="C23" s="53">
        <f>C9</f>
        <v>800</v>
      </c>
      <c r="D23" s="52"/>
      <c r="E23" s="40"/>
      <c r="F23" s="46">
        <f>Residential!F62</f>
        <v>115.31946060000003</v>
      </c>
      <c r="G23" s="46">
        <f>Residential!I62</f>
        <v>124.0277265</v>
      </c>
      <c r="H23" s="46">
        <f aca="true" t="shared" si="2" ref="H23:H32">G23-F23</f>
        <v>8.708265899999972</v>
      </c>
      <c r="I23" s="47">
        <f aca="true" t="shared" si="3" ref="I23:I32">IF(ISBLANK(F23),"",H23/F23)</f>
        <v>0.07551427881028408</v>
      </c>
    </row>
    <row r="24" spans="2:9" ht="14.25">
      <c r="B24" s="45" t="s">
        <v>76</v>
      </c>
      <c r="C24" s="53">
        <f aca="true" t="shared" si="4" ref="C24:C32">C10</f>
        <v>800</v>
      </c>
      <c r="D24" s="52"/>
      <c r="E24" s="40"/>
      <c r="F24" s="46">
        <f>'Residential Non-RPP'!F62</f>
        <v>126.54621399999999</v>
      </c>
      <c r="G24" s="46">
        <f>'Residential Non-RPP'!I62</f>
        <v>139.653875</v>
      </c>
      <c r="H24" s="46">
        <f t="shared" si="2"/>
        <v>13.107661000000007</v>
      </c>
      <c r="I24" s="47">
        <f t="shared" si="3"/>
        <v>0.10358003282500422</v>
      </c>
    </row>
    <row r="25" spans="2:9" ht="14.25">
      <c r="B25" s="45" t="s">
        <v>77</v>
      </c>
      <c r="C25" s="53">
        <f t="shared" si="4"/>
        <v>2000</v>
      </c>
      <c r="D25" s="52"/>
      <c r="E25" s="40"/>
      <c r="F25" s="46">
        <f>'GS &lt; 50'!F62</f>
        <v>290.2908528</v>
      </c>
      <c r="G25" s="46">
        <f>'GS &lt; 50'!I62</f>
        <v>310.1997465</v>
      </c>
      <c r="H25" s="46">
        <f t="shared" si="2"/>
        <v>19.90889370000002</v>
      </c>
      <c r="I25" s="47">
        <f t="shared" si="3"/>
        <v>0.06858257333281025</v>
      </c>
    </row>
    <row r="26" spans="2:9" ht="14.25">
      <c r="B26" s="45" t="s">
        <v>78</v>
      </c>
      <c r="C26" s="53">
        <f t="shared" si="4"/>
        <v>2000</v>
      </c>
      <c r="D26" s="52"/>
      <c r="E26" s="40"/>
      <c r="F26" s="46">
        <f>'GS &lt; 50 Non-RPP'!F62</f>
        <v>302.06753199999997</v>
      </c>
      <c r="G26" s="46">
        <f>'GS &lt; 50 Non-RPP'!I62</f>
        <v>332.746015</v>
      </c>
      <c r="H26" s="46">
        <f t="shared" si="2"/>
        <v>30.67848300000003</v>
      </c>
      <c r="I26" s="47">
        <f t="shared" si="3"/>
        <v>0.10156166999106687</v>
      </c>
    </row>
    <row r="27" spans="2:9" ht="14.25">
      <c r="B27" s="45" t="s">
        <v>79</v>
      </c>
      <c r="C27" s="53">
        <f t="shared" si="4"/>
        <v>44300</v>
      </c>
      <c r="D27" s="53">
        <f>D13</f>
        <v>139</v>
      </c>
      <c r="E27" s="40"/>
      <c r="F27" s="46">
        <f>'GS&gt;50'!F58</f>
        <v>6617.9117943</v>
      </c>
      <c r="G27" s="46">
        <f>'GS&gt;50'!I58</f>
        <v>6808.004959500001</v>
      </c>
      <c r="H27" s="46">
        <f t="shared" si="2"/>
        <v>190.09316520000084</v>
      </c>
      <c r="I27" s="47">
        <f t="shared" si="3"/>
        <v>0.028724040317933502</v>
      </c>
    </row>
    <row r="28" spans="2:9" ht="14.25">
      <c r="B28" s="45" t="s">
        <v>80</v>
      </c>
      <c r="C28" s="53">
        <f t="shared" si="4"/>
        <v>44300</v>
      </c>
      <c r="D28" s="53">
        <f>D14</f>
        <v>139</v>
      </c>
      <c r="E28" s="40"/>
      <c r="F28" s="46">
        <f>'GS&gt;50 Non-RPP'!F58</f>
        <v>6666.698177</v>
      </c>
      <c r="G28" s="46">
        <f>'GS&gt;50 Non-RPP'!I58</f>
        <v>7056.656114600002</v>
      </c>
      <c r="H28" s="46">
        <f t="shared" si="2"/>
        <v>389.95793760000197</v>
      </c>
      <c r="I28" s="47">
        <f t="shared" si="3"/>
        <v>0.05849341416795356</v>
      </c>
    </row>
    <row r="29" spans="2:9" ht="14.25">
      <c r="B29" s="45" t="s">
        <v>91</v>
      </c>
      <c r="C29" s="53">
        <f t="shared" si="4"/>
        <v>800</v>
      </c>
      <c r="D29" s="55"/>
      <c r="E29" s="40"/>
      <c r="F29" s="46">
        <f>USL!F60</f>
        <v>188.16818760000004</v>
      </c>
      <c r="G29" s="46">
        <f>USL!I60</f>
        <v>171.46416600000003</v>
      </c>
      <c r="H29" s="46">
        <f t="shared" si="2"/>
        <v>-16.704021600000004</v>
      </c>
      <c r="I29" s="47">
        <f t="shared" si="3"/>
        <v>-0.08877176218282287</v>
      </c>
    </row>
    <row r="30" spans="2:9" ht="14.25">
      <c r="B30" s="45" t="s">
        <v>38</v>
      </c>
      <c r="C30" s="53">
        <f t="shared" si="4"/>
        <v>300</v>
      </c>
      <c r="D30" s="53">
        <f>D16</f>
        <v>5</v>
      </c>
      <c r="E30" s="40"/>
      <c r="F30" s="46">
        <f>Sentinel!F60</f>
        <v>82.69593119999999</v>
      </c>
      <c r="G30" s="46">
        <f>Sentinel!I60</f>
        <v>79.43436135</v>
      </c>
      <c r="H30" s="46">
        <f t="shared" si="2"/>
        <v>-3.2615698499999866</v>
      </c>
      <c r="I30" s="47">
        <f t="shared" si="3"/>
        <v>-0.03944051179630452</v>
      </c>
    </row>
    <row r="31" spans="2:9" ht="14.25">
      <c r="B31" s="45" t="s">
        <v>7</v>
      </c>
      <c r="C31" s="53">
        <f t="shared" si="4"/>
        <v>46000</v>
      </c>
      <c r="D31" s="53">
        <f>D17</f>
        <v>129</v>
      </c>
      <c r="E31" s="40"/>
      <c r="F31" s="46">
        <f>Streetlighting!F60</f>
        <v>11274.161273099999</v>
      </c>
      <c r="G31" s="46">
        <f>Streetlighting!I60</f>
        <v>11971.04650884</v>
      </c>
      <c r="H31" s="46">
        <f t="shared" si="2"/>
        <v>696.885235740001</v>
      </c>
      <c r="I31" s="47">
        <f t="shared" si="3"/>
        <v>0.061812601297691214</v>
      </c>
    </row>
    <row r="32" spans="2:9" ht="15" thickBot="1">
      <c r="B32" s="48" t="s">
        <v>81</v>
      </c>
      <c r="C32" s="54">
        <f t="shared" si="4"/>
        <v>46000</v>
      </c>
      <c r="D32" s="54">
        <f>D18</f>
        <v>129</v>
      </c>
      <c r="E32" s="49"/>
      <c r="F32" s="50">
        <f>'Streetlighting Non-RPP'!F56</f>
        <v>11813.543529000002</v>
      </c>
      <c r="G32" s="50">
        <f>'Streetlighting Non-RPP'!I56</f>
        <v>12767.3025366</v>
      </c>
      <c r="H32" s="50">
        <f t="shared" si="2"/>
        <v>953.7590075999979</v>
      </c>
      <c r="I32" s="51">
        <f t="shared" si="3"/>
        <v>0.08073437112740144</v>
      </c>
    </row>
  </sheetData>
  <sheetProtection/>
  <mergeCells count="11">
    <mergeCell ref="F20:I20"/>
    <mergeCell ref="F21:F22"/>
    <mergeCell ref="G21:G22"/>
    <mergeCell ref="H21:I21"/>
    <mergeCell ref="B3:I5"/>
    <mergeCell ref="B20:B21"/>
    <mergeCell ref="B6:B7"/>
    <mergeCell ref="F6:I6"/>
    <mergeCell ref="F7:F8"/>
    <mergeCell ref="G7:G8"/>
    <mergeCell ref="H7:I7"/>
  </mergeCells>
  <printOptions/>
  <pageMargins left="0.7" right="0.7" top="0.75" bottom="0.75" header="0.3" footer="0.3"/>
  <pageSetup fitToHeight="1" fitToWidth="1" orientation="portrait" scale="95" r:id="rId1"/>
  <headerFooter>
    <oddHeader>&amp;C&amp;"Arial,Bold"&amp;16 2013 Rates Impacts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F147"/>
  <sheetViews>
    <sheetView showGridLines="0" zoomScalePageLayoutView="0" workbookViewId="0" topLeftCell="A79">
      <selection activeCell="F115" sqref="F115"/>
    </sheetView>
  </sheetViews>
  <sheetFormatPr defaultColWidth="9.140625" defaultRowHeight="12.75"/>
  <cols>
    <col min="1" max="1" width="84.28125" style="0" bestFit="1" customWidth="1"/>
    <col min="2" max="2" width="6.7109375" style="2" customWidth="1"/>
    <col min="3" max="3" width="2.8515625" style="2" customWidth="1"/>
    <col min="4" max="4" width="11.28125" style="0" bestFit="1" customWidth="1"/>
    <col min="5" max="5" width="2.8515625" style="0" customWidth="1"/>
    <col min="6" max="6" width="10.8515625" style="0" customWidth="1"/>
  </cols>
  <sheetData>
    <row r="2" spans="1:6" ht="15.75">
      <c r="A2" s="183" t="s">
        <v>94</v>
      </c>
      <c r="B2" s="183"/>
      <c r="C2" s="183"/>
      <c r="D2" s="183"/>
      <c r="E2" s="183"/>
      <c r="F2" s="183"/>
    </row>
    <row r="4" spans="1:6" ht="38.25">
      <c r="A4" s="1" t="s">
        <v>0</v>
      </c>
      <c r="B4" s="8" t="s">
        <v>14</v>
      </c>
      <c r="C4" s="8"/>
      <c r="D4" s="9" t="s">
        <v>31</v>
      </c>
      <c r="E4" s="8"/>
      <c r="F4" s="9" t="s">
        <v>56</v>
      </c>
    </row>
    <row r="5" ht="12.75">
      <c r="A5" s="1" t="s">
        <v>46</v>
      </c>
    </row>
    <row r="6" spans="1:6" ht="12.75">
      <c r="A6" t="s">
        <v>1</v>
      </c>
      <c r="B6" s="2" t="s">
        <v>8</v>
      </c>
      <c r="D6" s="3">
        <v>18.17</v>
      </c>
      <c r="E6" s="16"/>
      <c r="F6" s="19">
        <v>20</v>
      </c>
    </row>
    <row r="7" spans="1:6" ht="12.75">
      <c r="A7" s="17" t="s">
        <v>83</v>
      </c>
      <c r="B7" s="18" t="s">
        <v>8</v>
      </c>
      <c r="D7" s="3">
        <v>0</v>
      </c>
      <c r="E7" s="16"/>
      <c r="F7" s="19">
        <v>0</v>
      </c>
    </row>
    <row r="8" spans="1:6" ht="12.75">
      <c r="A8" s="17" t="s">
        <v>87</v>
      </c>
      <c r="B8" s="18" t="s">
        <v>8</v>
      </c>
      <c r="D8" s="3">
        <v>0</v>
      </c>
      <c r="E8" s="16"/>
      <c r="F8" s="19">
        <v>0</v>
      </c>
    </row>
    <row r="9" spans="1:6" ht="12.75">
      <c r="A9" t="s">
        <v>2</v>
      </c>
      <c r="B9" s="2" t="s">
        <v>9</v>
      </c>
      <c r="D9" s="4">
        <v>0.0152</v>
      </c>
      <c r="E9" s="16"/>
      <c r="F9" s="20">
        <v>0.0189</v>
      </c>
    </row>
    <row r="10" spans="1:6" ht="12.75">
      <c r="A10" s="17" t="s">
        <v>84</v>
      </c>
      <c r="B10" s="2" t="s">
        <v>9</v>
      </c>
      <c r="D10" s="4">
        <v>0</v>
      </c>
      <c r="E10" s="16"/>
      <c r="F10" s="20">
        <v>0</v>
      </c>
    </row>
    <row r="11" spans="1:6" ht="12.75">
      <c r="A11" s="17" t="s">
        <v>92</v>
      </c>
      <c r="B11" s="2" t="s">
        <v>9</v>
      </c>
      <c r="D11" s="4">
        <v>0.0016</v>
      </c>
      <c r="E11" s="16"/>
      <c r="F11" s="20">
        <v>0.0015</v>
      </c>
    </row>
    <row r="12" spans="1:6" ht="12.75">
      <c r="A12" t="s">
        <v>45</v>
      </c>
      <c r="B12" s="2" t="s">
        <v>9</v>
      </c>
      <c r="D12" s="4"/>
      <c r="E12" s="16"/>
      <c r="F12" s="35"/>
    </row>
    <row r="13" spans="1:6" ht="12.75">
      <c r="A13" s="17" t="s">
        <v>48</v>
      </c>
      <c r="B13" s="18" t="s">
        <v>9</v>
      </c>
      <c r="D13" s="19">
        <v>0</v>
      </c>
      <c r="E13" s="16"/>
      <c r="F13" s="20">
        <v>-0.0019</v>
      </c>
    </row>
    <row r="14" spans="1:6" ht="25.5">
      <c r="A14" s="23" t="s">
        <v>85</v>
      </c>
      <c r="B14" s="56" t="s">
        <v>9</v>
      </c>
      <c r="C14" s="56"/>
      <c r="D14" s="57"/>
      <c r="E14" s="58"/>
      <c r="F14" s="59"/>
    </row>
    <row r="15" spans="1:6" ht="25.5">
      <c r="A15" s="23" t="s">
        <v>86</v>
      </c>
      <c r="B15" s="56" t="s">
        <v>9</v>
      </c>
      <c r="C15" s="56"/>
      <c r="D15" s="57">
        <v>0</v>
      </c>
      <c r="E15" s="58"/>
      <c r="F15" s="59">
        <v>0.0043</v>
      </c>
    </row>
    <row r="16" spans="1:6" ht="12.75">
      <c r="A16" s="17" t="s">
        <v>34</v>
      </c>
      <c r="B16" s="2" t="s">
        <v>9</v>
      </c>
      <c r="D16" s="4">
        <v>-0.0005</v>
      </c>
      <c r="F16" s="20">
        <v>-0.0005</v>
      </c>
    </row>
    <row r="17" spans="1:6" ht="12.75">
      <c r="A17" s="17" t="s">
        <v>49</v>
      </c>
      <c r="B17" s="2" t="s">
        <v>9</v>
      </c>
      <c r="D17" s="19">
        <v>0</v>
      </c>
      <c r="F17" s="20">
        <f aca="true" t="shared" si="0" ref="F17:F25">+D17</f>
        <v>0</v>
      </c>
    </row>
    <row r="18" spans="1:6" ht="12.75">
      <c r="A18" s="17" t="s">
        <v>50</v>
      </c>
      <c r="B18" s="18" t="s">
        <v>8</v>
      </c>
      <c r="D18" s="19">
        <v>0</v>
      </c>
      <c r="F18" s="19">
        <v>1.5</v>
      </c>
    </row>
    <row r="19" spans="1:6" ht="12.75">
      <c r="A19" s="17" t="s">
        <v>51</v>
      </c>
      <c r="B19" s="18" t="s">
        <v>8</v>
      </c>
      <c r="D19" s="19">
        <v>0</v>
      </c>
      <c r="F19" s="19">
        <v>1.04</v>
      </c>
    </row>
    <row r="20" spans="1:6" ht="12.75">
      <c r="A20" s="17" t="s">
        <v>95</v>
      </c>
      <c r="B20" s="2" t="s">
        <v>9</v>
      </c>
      <c r="D20" s="19">
        <v>0</v>
      </c>
      <c r="F20" s="20">
        <v>-0.00086</v>
      </c>
    </row>
    <row r="21" spans="1:6" ht="12.75">
      <c r="A21" t="s">
        <v>3</v>
      </c>
      <c r="B21" s="2" t="s">
        <v>9</v>
      </c>
      <c r="D21" s="4">
        <v>0.0043</v>
      </c>
      <c r="E21" s="5"/>
      <c r="F21" s="20">
        <v>0.0046</v>
      </c>
    </row>
    <row r="22" spans="1:6" ht="12.75">
      <c r="A22" t="s">
        <v>4</v>
      </c>
      <c r="B22" s="2" t="s">
        <v>9</v>
      </c>
      <c r="D22" s="4">
        <v>0.0035</v>
      </c>
      <c r="E22" s="6"/>
      <c r="F22" s="20">
        <v>0.0036</v>
      </c>
    </row>
    <row r="23" spans="1:6" ht="12.75">
      <c r="A23" t="s">
        <v>5</v>
      </c>
      <c r="B23" s="2" t="s">
        <v>9</v>
      </c>
      <c r="D23" s="4">
        <v>0.0052</v>
      </c>
      <c r="E23" s="3"/>
      <c r="F23" s="20">
        <f t="shared" si="0"/>
        <v>0.0052</v>
      </c>
    </row>
    <row r="24" spans="1:6" ht="12.75">
      <c r="A24" t="s">
        <v>6</v>
      </c>
      <c r="B24" s="2" t="s">
        <v>9</v>
      </c>
      <c r="D24" s="4">
        <v>0.0011</v>
      </c>
      <c r="E24" s="4"/>
      <c r="F24" s="20">
        <f t="shared" si="0"/>
        <v>0.0011</v>
      </c>
    </row>
    <row r="25" spans="1:6" ht="12.75">
      <c r="A25" s="17" t="s">
        <v>35</v>
      </c>
      <c r="B25" s="2" t="s">
        <v>8</v>
      </c>
      <c r="D25" s="3">
        <v>0.25</v>
      </c>
      <c r="E25" s="3"/>
      <c r="F25" s="19">
        <f t="shared" si="0"/>
        <v>0.25</v>
      </c>
    </row>
    <row r="26" ht="12.75">
      <c r="F26" s="21"/>
    </row>
    <row r="27" spans="1:6" ht="12.75">
      <c r="A27" s="1" t="s">
        <v>33</v>
      </c>
      <c r="F27" s="21"/>
    </row>
    <row r="28" spans="1:6" ht="12.75">
      <c r="A28" t="s">
        <v>1</v>
      </c>
      <c r="B28" s="2" t="s">
        <v>8</v>
      </c>
      <c r="D28" s="3">
        <v>20.98</v>
      </c>
      <c r="E28" s="16"/>
      <c r="F28" s="19">
        <v>24.66</v>
      </c>
    </row>
    <row r="29" spans="1:6" ht="12.75">
      <c r="A29" s="17" t="s">
        <v>83</v>
      </c>
      <c r="B29" s="18" t="s">
        <v>8</v>
      </c>
      <c r="D29" s="19">
        <v>0</v>
      </c>
      <c r="E29" s="19"/>
      <c r="F29" s="19">
        <v>0</v>
      </c>
    </row>
    <row r="30" spans="1:6" ht="12.75">
      <c r="A30" s="17" t="s">
        <v>87</v>
      </c>
      <c r="B30" s="18" t="s">
        <v>8</v>
      </c>
      <c r="D30" s="19">
        <v>0</v>
      </c>
      <c r="E30" s="19"/>
      <c r="F30" s="19">
        <v>0</v>
      </c>
    </row>
    <row r="31" spans="1:6" ht="12.75">
      <c r="A31" t="s">
        <v>2</v>
      </c>
      <c r="B31" s="2" t="s">
        <v>9</v>
      </c>
      <c r="D31" s="4">
        <v>0.0226</v>
      </c>
      <c r="E31" s="16"/>
      <c r="F31" s="20">
        <v>0.0251</v>
      </c>
    </row>
    <row r="32" spans="1:6" ht="12.75">
      <c r="A32" s="17" t="s">
        <v>84</v>
      </c>
      <c r="B32" s="2" t="s">
        <v>9</v>
      </c>
      <c r="C32" s="56"/>
      <c r="D32" s="19">
        <v>0</v>
      </c>
      <c r="F32" s="20">
        <v>0</v>
      </c>
    </row>
    <row r="33" spans="1:6" ht="12.75">
      <c r="A33" s="17" t="s">
        <v>92</v>
      </c>
      <c r="B33" s="2" t="s">
        <v>9</v>
      </c>
      <c r="C33" s="56"/>
      <c r="D33" s="20">
        <v>0.0013</v>
      </c>
      <c r="F33" s="20">
        <v>0.0014</v>
      </c>
    </row>
    <row r="34" spans="1:6" ht="12.75">
      <c r="A34" t="s">
        <v>45</v>
      </c>
      <c r="B34" s="2" t="s">
        <v>9</v>
      </c>
      <c r="C34" s="56"/>
      <c r="D34" s="4"/>
      <c r="E34" s="16"/>
      <c r="F34" s="20"/>
    </row>
    <row r="35" spans="1:6" ht="12.75">
      <c r="A35" s="17" t="s">
        <v>48</v>
      </c>
      <c r="B35" s="2" t="s">
        <v>9</v>
      </c>
      <c r="D35" s="4">
        <v>0</v>
      </c>
      <c r="E35" s="16"/>
      <c r="F35" s="20">
        <v>-0.0018</v>
      </c>
    </row>
    <row r="36" spans="1:6" ht="25.5">
      <c r="A36" s="23" t="s">
        <v>85</v>
      </c>
      <c r="B36" s="56" t="s">
        <v>9</v>
      </c>
      <c r="D36" s="57"/>
      <c r="E36" s="58"/>
      <c r="F36" s="59"/>
    </row>
    <row r="37" spans="1:6" ht="25.5">
      <c r="A37" s="23" t="s">
        <v>86</v>
      </c>
      <c r="B37" s="56" t="s">
        <v>9</v>
      </c>
      <c r="D37" s="57">
        <v>0</v>
      </c>
      <c r="E37" s="58"/>
      <c r="F37" s="59">
        <v>0.0043</v>
      </c>
    </row>
    <row r="38" spans="1:6" ht="12.75">
      <c r="A38" s="17" t="s">
        <v>34</v>
      </c>
      <c r="B38" s="2" t="s">
        <v>9</v>
      </c>
      <c r="D38" s="4">
        <v>-0.0004</v>
      </c>
      <c r="F38" s="20">
        <v>-0.0004</v>
      </c>
    </row>
    <row r="39" spans="1:6" ht="12.75">
      <c r="A39" s="17" t="s">
        <v>49</v>
      </c>
      <c r="B39" s="2" t="s">
        <v>9</v>
      </c>
      <c r="D39" s="4">
        <v>0</v>
      </c>
      <c r="F39" s="20">
        <f aca="true" t="shared" si="1" ref="F39:F47">+D39</f>
        <v>0</v>
      </c>
    </row>
    <row r="40" spans="1:6" ht="12.75">
      <c r="A40" s="17" t="s">
        <v>50</v>
      </c>
      <c r="B40" s="18" t="s">
        <v>8</v>
      </c>
      <c r="D40" s="4">
        <v>0</v>
      </c>
      <c r="F40" s="19">
        <v>3.04</v>
      </c>
    </row>
    <row r="41" spans="1:6" ht="12.75">
      <c r="A41" s="17" t="s">
        <v>51</v>
      </c>
      <c r="B41" s="18" t="s">
        <v>8</v>
      </c>
      <c r="D41" s="4">
        <v>0</v>
      </c>
      <c r="F41" s="19">
        <v>3.38</v>
      </c>
    </row>
    <row r="42" spans="1:6" ht="12.75">
      <c r="A42" s="17" t="s">
        <v>95</v>
      </c>
      <c r="B42" s="2" t="s">
        <v>9</v>
      </c>
      <c r="D42" s="4">
        <v>0</v>
      </c>
      <c r="F42" s="20">
        <v>-0.0005</v>
      </c>
    </row>
    <row r="43" spans="1:6" ht="12.75">
      <c r="A43" t="s">
        <v>3</v>
      </c>
      <c r="B43" s="2" t="s">
        <v>9</v>
      </c>
      <c r="D43" s="4">
        <v>0.0035</v>
      </c>
      <c r="E43" s="5"/>
      <c r="F43" s="20">
        <v>0.0038</v>
      </c>
    </row>
    <row r="44" spans="1:6" ht="12.75">
      <c r="A44" t="s">
        <v>4</v>
      </c>
      <c r="B44" s="2" t="s">
        <v>9</v>
      </c>
      <c r="D44" s="4">
        <v>0.0033</v>
      </c>
      <c r="E44" s="6"/>
      <c r="F44" s="20">
        <v>0.0034</v>
      </c>
    </row>
    <row r="45" spans="1:6" ht="12.75">
      <c r="A45" t="s">
        <v>5</v>
      </c>
      <c r="B45" s="2" t="s">
        <v>9</v>
      </c>
      <c r="D45" s="4">
        <v>0.0052</v>
      </c>
      <c r="E45" s="3"/>
      <c r="F45" s="20">
        <f t="shared" si="1"/>
        <v>0.0052</v>
      </c>
    </row>
    <row r="46" spans="1:6" ht="12.75">
      <c r="A46" t="s">
        <v>6</v>
      </c>
      <c r="B46" s="2" t="s">
        <v>9</v>
      </c>
      <c r="D46" s="4">
        <v>0.0011</v>
      </c>
      <c r="E46" s="4"/>
      <c r="F46" s="20">
        <f t="shared" si="1"/>
        <v>0.0011</v>
      </c>
    </row>
    <row r="47" spans="1:6" ht="12.75">
      <c r="A47" s="17" t="s">
        <v>35</v>
      </c>
      <c r="B47" s="2" t="s">
        <v>8</v>
      </c>
      <c r="D47" s="3">
        <v>0.25</v>
      </c>
      <c r="E47" s="3"/>
      <c r="F47" s="19">
        <f t="shared" si="1"/>
        <v>0.25</v>
      </c>
    </row>
    <row r="48" spans="4:6" ht="12.75">
      <c r="D48" s="3"/>
      <c r="E48" s="3"/>
      <c r="F48" s="19"/>
    </row>
    <row r="49" spans="1:6" ht="12.75">
      <c r="A49" s="1" t="s">
        <v>36</v>
      </c>
      <c r="F49" s="21"/>
    </row>
    <row r="50" spans="1:6" ht="12.75">
      <c r="A50" t="s">
        <v>1</v>
      </c>
      <c r="B50" s="2" t="s">
        <v>8</v>
      </c>
      <c r="D50" s="3">
        <v>133.68</v>
      </c>
      <c r="E50" s="16"/>
      <c r="F50" s="19">
        <v>133.68</v>
      </c>
    </row>
    <row r="51" spans="1:6" ht="12.75">
      <c r="A51" s="17" t="s">
        <v>83</v>
      </c>
      <c r="B51" s="18" t="s">
        <v>8</v>
      </c>
      <c r="D51" s="3">
        <v>0</v>
      </c>
      <c r="E51" s="16"/>
      <c r="F51" s="19">
        <v>0</v>
      </c>
    </row>
    <row r="52" spans="1:6" ht="12.75">
      <c r="A52" s="17" t="s">
        <v>87</v>
      </c>
      <c r="B52" s="18" t="s">
        <v>8</v>
      </c>
      <c r="D52" s="3">
        <v>0</v>
      </c>
      <c r="E52" s="16"/>
      <c r="F52" s="19">
        <v>0</v>
      </c>
    </row>
    <row r="53" spans="1:6" ht="12.75">
      <c r="A53" t="s">
        <v>2</v>
      </c>
      <c r="B53" s="2" t="s">
        <v>10</v>
      </c>
      <c r="D53" s="4">
        <v>7.2561</v>
      </c>
      <c r="E53" s="16"/>
      <c r="F53" s="20">
        <v>7.8923</v>
      </c>
    </row>
    <row r="54" spans="1:6" ht="12.75">
      <c r="A54" s="17" t="s">
        <v>84</v>
      </c>
      <c r="B54" s="2" t="s">
        <v>10</v>
      </c>
      <c r="D54" s="4">
        <v>0</v>
      </c>
      <c r="F54" s="20">
        <f>+D54</f>
        <v>0</v>
      </c>
    </row>
    <row r="55" spans="1:6" ht="12.75">
      <c r="A55" s="17" t="s">
        <v>92</v>
      </c>
      <c r="B55" s="2" t="s">
        <v>10</v>
      </c>
      <c r="D55" s="4">
        <v>0.5826</v>
      </c>
      <c r="F55" s="20">
        <v>0.5914</v>
      </c>
    </row>
    <row r="56" spans="1:6" ht="12.75">
      <c r="A56" t="s">
        <v>45</v>
      </c>
      <c r="B56" s="2" t="s">
        <v>10</v>
      </c>
      <c r="D56" s="4">
        <v>1.3007</v>
      </c>
      <c r="E56" s="16"/>
      <c r="F56" s="20">
        <v>1.3007</v>
      </c>
    </row>
    <row r="57" spans="1:6" ht="12.75">
      <c r="A57" s="17" t="s">
        <v>48</v>
      </c>
      <c r="B57" s="2" t="s">
        <v>10</v>
      </c>
      <c r="D57" s="4">
        <v>0</v>
      </c>
      <c r="E57" s="16"/>
      <c r="F57" s="20">
        <v>-0.6273</v>
      </c>
    </row>
    <row r="58" spans="1:6" ht="25.5">
      <c r="A58" s="23" t="s">
        <v>85</v>
      </c>
      <c r="B58" s="56" t="s">
        <v>10</v>
      </c>
      <c r="C58" s="56"/>
      <c r="D58" s="57"/>
      <c r="E58" s="58"/>
      <c r="F58" s="59"/>
    </row>
    <row r="59" spans="1:6" ht="25.5">
      <c r="A59" s="23" t="s">
        <v>86</v>
      </c>
      <c r="B59" s="56" t="s">
        <v>10</v>
      </c>
      <c r="C59" s="56"/>
      <c r="D59" s="57">
        <v>0</v>
      </c>
      <c r="E59" s="58"/>
      <c r="F59" s="59">
        <v>1.5454</v>
      </c>
    </row>
    <row r="60" spans="1:6" ht="12.75">
      <c r="A60" s="17" t="s">
        <v>34</v>
      </c>
      <c r="B60" s="2" t="s">
        <v>10</v>
      </c>
      <c r="D60" s="4">
        <v>-0.0941</v>
      </c>
      <c r="F60" s="20">
        <v>-0.0941</v>
      </c>
    </row>
    <row r="61" spans="1:6" ht="12.75">
      <c r="A61" s="17" t="s">
        <v>49</v>
      </c>
      <c r="B61" s="2" t="s">
        <v>10</v>
      </c>
      <c r="D61" s="4">
        <v>0</v>
      </c>
      <c r="F61" s="20">
        <f aca="true" t="shared" si="2" ref="F61:F67">+D61</f>
        <v>0</v>
      </c>
    </row>
    <row r="62" spans="1:6" ht="12.75">
      <c r="A62" s="17" t="s">
        <v>95</v>
      </c>
      <c r="B62" s="2" t="s">
        <v>10</v>
      </c>
      <c r="D62" s="4">
        <v>0</v>
      </c>
      <c r="F62" s="20">
        <v>-0.24412</v>
      </c>
    </row>
    <row r="63" spans="1:6" ht="12.75">
      <c r="A63" t="s">
        <v>3</v>
      </c>
      <c r="B63" s="2" t="s">
        <v>10</v>
      </c>
      <c r="D63" s="4">
        <v>1.6621</v>
      </c>
      <c r="E63" s="5"/>
      <c r="F63" s="20">
        <v>1.7821</v>
      </c>
    </row>
    <row r="64" spans="1:6" ht="12" customHeight="1">
      <c r="A64" t="s">
        <v>4</v>
      </c>
      <c r="B64" s="2" t="s">
        <v>10</v>
      </c>
      <c r="D64" s="4">
        <v>1.3742</v>
      </c>
      <c r="E64" s="6"/>
      <c r="F64" s="20">
        <v>1.3967</v>
      </c>
    </row>
    <row r="65" spans="1:6" ht="12.75">
      <c r="A65" t="s">
        <v>5</v>
      </c>
      <c r="B65" s="2" t="s">
        <v>9</v>
      </c>
      <c r="D65" s="4">
        <v>0.0052</v>
      </c>
      <c r="E65" s="3"/>
      <c r="F65" s="20">
        <f t="shared" si="2"/>
        <v>0.0052</v>
      </c>
    </row>
    <row r="66" spans="1:6" ht="12.75">
      <c r="A66" t="s">
        <v>6</v>
      </c>
      <c r="B66" s="2" t="s">
        <v>9</v>
      </c>
      <c r="D66" s="4">
        <v>0.0011</v>
      </c>
      <c r="E66" s="4"/>
      <c r="F66" s="20">
        <f t="shared" si="2"/>
        <v>0.0011</v>
      </c>
    </row>
    <row r="67" spans="1:6" ht="12.75">
      <c r="A67" s="17" t="s">
        <v>35</v>
      </c>
      <c r="B67" s="2" t="s">
        <v>8</v>
      </c>
      <c r="D67" s="3">
        <v>0.25</v>
      </c>
      <c r="E67" s="3"/>
      <c r="F67" s="19">
        <f t="shared" si="2"/>
        <v>0.25</v>
      </c>
    </row>
    <row r="68" spans="4:6" ht="12.75">
      <c r="D68" s="3"/>
      <c r="E68" s="3"/>
      <c r="F68" s="19"/>
    </row>
    <row r="69" spans="1:6" ht="12.75">
      <c r="A69" s="1" t="s">
        <v>37</v>
      </c>
      <c r="F69" s="21"/>
    </row>
    <row r="70" spans="1:6" ht="12.75">
      <c r="A70" t="s">
        <v>1</v>
      </c>
      <c r="B70" s="2" t="s">
        <v>8</v>
      </c>
      <c r="D70" s="3">
        <v>70.07</v>
      </c>
      <c r="E70" s="16"/>
      <c r="F70" s="19">
        <v>56.22</v>
      </c>
    </row>
    <row r="71" spans="1:6" ht="12.75">
      <c r="A71" s="17" t="s">
        <v>83</v>
      </c>
      <c r="B71" s="2" t="s">
        <v>9</v>
      </c>
      <c r="D71" s="4">
        <v>0</v>
      </c>
      <c r="E71" s="16"/>
      <c r="F71" s="20">
        <f>+D71</f>
        <v>0</v>
      </c>
    </row>
    <row r="72" spans="1:6" ht="12.75">
      <c r="A72" t="s">
        <v>2</v>
      </c>
      <c r="B72" s="2" t="s">
        <v>9</v>
      </c>
      <c r="D72" s="4">
        <v>0.0413</v>
      </c>
      <c r="E72" s="16"/>
      <c r="F72" s="20">
        <v>0.0354</v>
      </c>
    </row>
    <row r="73" spans="1:6" ht="12.75">
      <c r="A73" s="17" t="s">
        <v>84</v>
      </c>
      <c r="B73" s="56" t="s">
        <v>9</v>
      </c>
      <c r="C73" s="56"/>
      <c r="D73" s="4"/>
      <c r="E73" s="58"/>
      <c r="F73" s="59"/>
    </row>
    <row r="74" spans="1:6" ht="12.75">
      <c r="A74" s="17" t="s">
        <v>92</v>
      </c>
      <c r="B74" s="56" t="s">
        <v>9</v>
      </c>
      <c r="C74" s="56"/>
      <c r="D74" s="4">
        <v>0.0013</v>
      </c>
      <c r="E74" s="58"/>
      <c r="F74" s="59">
        <v>0.0014</v>
      </c>
    </row>
    <row r="75" spans="1:6" ht="12.75">
      <c r="A75" t="s">
        <v>45</v>
      </c>
      <c r="B75" s="56" t="s">
        <v>9</v>
      </c>
      <c r="C75" s="56"/>
      <c r="D75" s="57"/>
      <c r="E75" s="58"/>
      <c r="F75" s="59"/>
    </row>
    <row r="76" spans="1:6" ht="12.75">
      <c r="A76" s="17" t="s">
        <v>48</v>
      </c>
      <c r="B76" s="2" t="s">
        <v>9</v>
      </c>
      <c r="D76" s="4"/>
      <c r="F76" s="20">
        <v>-0.0018</v>
      </c>
    </row>
    <row r="77" spans="1:6" ht="25.5">
      <c r="A77" s="23" t="s">
        <v>85</v>
      </c>
      <c r="B77" s="2" t="s">
        <v>9</v>
      </c>
      <c r="D77" s="4">
        <v>0</v>
      </c>
      <c r="F77" s="20">
        <f>+D77</f>
        <v>0</v>
      </c>
    </row>
    <row r="78" spans="1:6" ht="25.5">
      <c r="A78" s="23" t="s">
        <v>86</v>
      </c>
      <c r="B78" s="2" t="s">
        <v>9</v>
      </c>
      <c r="D78" s="4">
        <v>0</v>
      </c>
      <c r="F78" s="20">
        <v>0</v>
      </c>
    </row>
    <row r="79" spans="1:6" ht="12" customHeight="1">
      <c r="A79" s="17" t="s">
        <v>34</v>
      </c>
      <c r="B79" s="2" t="s">
        <v>9</v>
      </c>
      <c r="D79" s="4">
        <v>-0.0011</v>
      </c>
      <c r="F79" s="20">
        <v>-0.0011</v>
      </c>
    </row>
    <row r="80" spans="1:6" ht="12.75">
      <c r="A80" s="17" t="s">
        <v>49</v>
      </c>
      <c r="B80" s="2" t="s">
        <v>9</v>
      </c>
      <c r="D80" s="4">
        <v>0</v>
      </c>
      <c r="F80" s="20">
        <f>+D80</f>
        <v>0</v>
      </c>
    </row>
    <row r="81" spans="1:6" ht="12.75">
      <c r="A81" s="17" t="s">
        <v>95</v>
      </c>
      <c r="B81" s="2" t="s">
        <v>9</v>
      </c>
      <c r="D81" s="4">
        <v>0</v>
      </c>
      <c r="F81" s="20">
        <v>-0.00117</v>
      </c>
    </row>
    <row r="82" spans="1:6" ht="12.75">
      <c r="A82" t="s">
        <v>3</v>
      </c>
      <c r="B82" s="2" t="s">
        <v>9</v>
      </c>
      <c r="D82" s="4">
        <v>0.004</v>
      </c>
      <c r="E82" s="5"/>
      <c r="F82" s="20">
        <v>0.0043</v>
      </c>
    </row>
    <row r="83" spans="1:6" ht="12.75">
      <c r="A83" t="s">
        <v>4</v>
      </c>
      <c r="B83" s="2" t="s">
        <v>9</v>
      </c>
      <c r="D83" s="4">
        <v>0.0033</v>
      </c>
      <c r="E83" s="6"/>
      <c r="F83" s="20">
        <v>0.0034</v>
      </c>
    </row>
    <row r="84" spans="1:6" ht="12.75">
      <c r="A84" t="s">
        <v>5</v>
      </c>
      <c r="B84" s="2" t="s">
        <v>9</v>
      </c>
      <c r="D84" s="4">
        <v>0.0052</v>
      </c>
      <c r="E84" s="3"/>
      <c r="F84" s="20">
        <f>+D84</f>
        <v>0.0052</v>
      </c>
    </row>
    <row r="85" spans="1:6" ht="12.75">
      <c r="A85" t="s">
        <v>6</v>
      </c>
      <c r="B85" s="2" t="s">
        <v>9</v>
      </c>
      <c r="D85" s="4">
        <v>0.0011</v>
      </c>
      <c r="E85" s="4"/>
      <c r="F85" s="20">
        <f>+D85</f>
        <v>0.0011</v>
      </c>
    </row>
    <row r="86" spans="1:6" ht="12.75">
      <c r="A86" s="17" t="s">
        <v>35</v>
      </c>
      <c r="B86" s="2" t="s">
        <v>8</v>
      </c>
      <c r="D86" s="3">
        <v>0.25</v>
      </c>
      <c r="E86" s="3"/>
      <c r="F86" s="19">
        <f>+D86</f>
        <v>0.25</v>
      </c>
    </row>
    <row r="87" spans="4:6" ht="12.75">
      <c r="D87" s="3"/>
      <c r="E87" s="3"/>
      <c r="F87" s="19"/>
    </row>
    <row r="88" spans="1:6" ht="12.75">
      <c r="A88" s="1" t="s">
        <v>38</v>
      </c>
      <c r="F88" s="21"/>
    </row>
    <row r="89" spans="1:6" ht="12.75">
      <c r="A89" t="s">
        <v>1</v>
      </c>
      <c r="B89" s="2" t="s">
        <v>8</v>
      </c>
      <c r="D89" s="3">
        <v>3.79</v>
      </c>
      <c r="E89" s="16"/>
      <c r="F89" s="19">
        <v>4.27</v>
      </c>
    </row>
    <row r="90" spans="1:6" ht="12.75">
      <c r="A90" s="17" t="s">
        <v>83</v>
      </c>
      <c r="B90" s="18" t="s">
        <v>8</v>
      </c>
      <c r="D90" s="4">
        <v>0</v>
      </c>
      <c r="E90" s="16"/>
      <c r="F90" s="20">
        <f>+D90</f>
        <v>0</v>
      </c>
    </row>
    <row r="91" spans="1:6" ht="12.75">
      <c r="A91" t="s">
        <v>2</v>
      </c>
      <c r="B91" s="2" t="s">
        <v>10</v>
      </c>
      <c r="D91" s="4">
        <v>4.2722</v>
      </c>
      <c r="E91" s="16"/>
      <c r="F91" s="20">
        <v>4.8183</v>
      </c>
    </row>
    <row r="92" spans="1:6" ht="12.75">
      <c r="A92" s="17" t="s">
        <v>84</v>
      </c>
      <c r="B92" s="2" t="s">
        <v>10</v>
      </c>
      <c r="D92" s="4">
        <v>0</v>
      </c>
      <c r="E92" s="16"/>
      <c r="F92" s="20">
        <f>+D92</f>
        <v>0</v>
      </c>
    </row>
    <row r="93" spans="1:6" ht="12.75">
      <c r="A93" s="17" t="s">
        <v>92</v>
      </c>
      <c r="B93" s="2" t="s">
        <v>10</v>
      </c>
      <c r="D93" s="4">
        <v>0.4311</v>
      </c>
      <c r="E93" s="16"/>
      <c r="F93" s="20">
        <v>0.4376</v>
      </c>
    </row>
    <row r="94" spans="1:6" ht="12.75">
      <c r="A94" t="s">
        <v>45</v>
      </c>
      <c r="B94" s="2" t="s">
        <v>10</v>
      </c>
      <c r="D94" s="4"/>
      <c r="E94" s="16"/>
      <c r="F94" s="20"/>
    </row>
    <row r="95" spans="1:6" ht="12.75">
      <c r="A95" s="17" t="s">
        <v>48</v>
      </c>
      <c r="B95" s="2" t="s">
        <v>10</v>
      </c>
      <c r="D95" s="4">
        <v>0</v>
      </c>
      <c r="E95" s="16"/>
      <c r="F95" s="20">
        <v>-0.8028</v>
      </c>
    </row>
    <row r="96" spans="1:6" ht="25.5">
      <c r="A96" s="23" t="s">
        <v>85</v>
      </c>
      <c r="B96" s="56" t="s">
        <v>10</v>
      </c>
      <c r="D96" s="4"/>
      <c r="F96" s="20">
        <v>0</v>
      </c>
    </row>
    <row r="97" spans="1:6" ht="24" customHeight="1">
      <c r="A97" s="23" t="s">
        <v>86</v>
      </c>
      <c r="B97" s="56" t="s">
        <v>10</v>
      </c>
      <c r="D97" s="4">
        <v>0</v>
      </c>
      <c r="F97" s="20">
        <v>0</v>
      </c>
    </row>
    <row r="98" spans="1:6" ht="12.75">
      <c r="A98" s="17" t="s">
        <v>34</v>
      </c>
      <c r="B98" s="2" t="s">
        <v>10</v>
      </c>
      <c r="D98" s="4">
        <v>-0.2651</v>
      </c>
      <c r="F98" s="20">
        <v>-0.2651</v>
      </c>
    </row>
    <row r="99" spans="1:6" ht="12.75">
      <c r="A99" s="17" t="s">
        <v>49</v>
      </c>
      <c r="B99" s="2" t="s">
        <v>10</v>
      </c>
      <c r="D99" s="4">
        <v>0</v>
      </c>
      <c r="F99" s="20">
        <f aca="true" t="shared" si="3" ref="F99:F105">+D99</f>
        <v>0</v>
      </c>
    </row>
    <row r="100" spans="1:6" ht="12.75">
      <c r="A100" s="17" t="s">
        <v>95</v>
      </c>
      <c r="B100" s="2" t="s">
        <v>10</v>
      </c>
      <c r="D100" s="4">
        <v>0</v>
      </c>
      <c r="F100" s="20">
        <v>-1.15517</v>
      </c>
    </row>
    <row r="101" spans="1:6" ht="12.75">
      <c r="A101" t="s">
        <v>3</v>
      </c>
      <c r="B101" s="2" t="s">
        <v>10</v>
      </c>
      <c r="D101" s="20">
        <v>1.226</v>
      </c>
      <c r="E101" s="5"/>
      <c r="F101" s="20">
        <v>1.3145</v>
      </c>
    </row>
    <row r="102" spans="1:6" ht="12.75">
      <c r="A102" t="s">
        <v>4</v>
      </c>
      <c r="B102" s="2" t="s">
        <v>10</v>
      </c>
      <c r="D102" s="20">
        <v>1.0168</v>
      </c>
      <c r="E102" s="6"/>
      <c r="F102" s="20">
        <v>1.0334</v>
      </c>
    </row>
    <row r="103" spans="1:6" ht="12.75">
      <c r="A103" t="s">
        <v>5</v>
      </c>
      <c r="B103" s="2" t="s">
        <v>9</v>
      </c>
      <c r="D103" s="4">
        <v>0.0052</v>
      </c>
      <c r="E103" s="3"/>
      <c r="F103" s="20">
        <f t="shared" si="3"/>
        <v>0.0052</v>
      </c>
    </row>
    <row r="104" spans="1:6" ht="12.75">
      <c r="A104" t="s">
        <v>6</v>
      </c>
      <c r="B104" s="2" t="s">
        <v>9</v>
      </c>
      <c r="D104" s="4">
        <v>0.0011</v>
      </c>
      <c r="E104" s="4"/>
      <c r="F104" s="20">
        <f t="shared" si="3"/>
        <v>0.0011</v>
      </c>
    </row>
    <row r="105" spans="1:6" ht="12.75">
      <c r="A105" s="17" t="s">
        <v>35</v>
      </c>
      <c r="B105" s="2" t="s">
        <v>8</v>
      </c>
      <c r="D105" s="3">
        <v>0.25</v>
      </c>
      <c r="E105" s="3"/>
      <c r="F105" s="19">
        <f t="shared" si="3"/>
        <v>0.25</v>
      </c>
    </row>
    <row r="106" spans="4:6" ht="12.75">
      <c r="D106" s="3"/>
      <c r="E106" s="3"/>
      <c r="F106" s="19"/>
    </row>
    <row r="107" spans="1:6" ht="12.75">
      <c r="A107" s="1" t="s">
        <v>7</v>
      </c>
      <c r="F107" s="21"/>
    </row>
    <row r="108" spans="1:6" ht="12.75">
      <c r="A108" t="s">
        <v>1</v>
      </c>
      <c r="B108" s="2" t="s">
        <v>8</v>
      </c>
      <c r="D108" s="3">
        <v>4.95</v>
      </c>
      <c r="E108" s="16"/>
      <c r="F108" s="19">
        <v>5.53</v>
      </c>
    </row>
    <row r="109" spans="1:2" ht="12.75">
      <c r="A109" s="17" t="s">
        <v>83</v>
      </c>
      <c r="B109" s="18" t="s">
        <v>8</v>
      </c>
    </row>
    <row r="110" spans="1:6" ht="12.75">
      <c r="A110" t="s">
        <v>2</v>
      </c>
      <c r="B110" s="2" t="s">
        <v>10</v>
      </c>
      <c r="D110" s="4">
        <v>9.6594</v>
      </c>
      <c r="E110" s="16"/>
      <c r="F110" s="20">
        <v>10.7852</v>
      </c>
    </row>
    <row r="111" spans="1:2" ht="12.75">
      <c r="A111" s="17" t="s">
        <v>84</v>
      </c>
      <c r="B111" s="2" t="s">
        <v>10</v>
      </c>
    </row>
    <row r="112" spans="1:6" ht="12.75">
      <c r="A112" s="17" t="s">
        <v>92</v>
      </c>
      <c r="B112" s="2" t="s">
        <v>10</v>
      </c>
      <c r="D112">
        <v>0.4222</v>
      </c>
      <c r="F112">
        <v>0.4286</v>
      </c>
    </row>
    <row r="113" spans="1:6" ht="12.75">
      <c r="A113" t="s">
        <v>45</v>
      </c>
      <c r="B113" s="2" t="s">
        <v>10</v>
      </c>
      <c r="D113" s="4"/>
      <c r="E113" s="16"/>
      <c r="F113" s="20"/>
    </row>
    <row r="114" spans="1:6" ht="12.75">
      <c r="A114" s="17" t="s">
        <v>48</v>
      </c>
      <c r="B114" s="2" t="s">
        <v>10</v>
      </c>
      <c r="D114" s="4">
        <v>0</v>
      </c>
      <c r="E114" s="16"/>
      <c r="F114" s="20">
        <v>-0.5817</v>
      </c>
    </row>
    <row r="115" spans="1:6" ht="25.5">
      <c r="A115" s="23" t="s">
        <v>85</v>
      </c>
      <c r="B115" s="56" t="s">
        <v>10</v>
      </c>
      <c r="D115" s="4"/>
      <c r="E115" s="16"/>
      <c r="F115" s="20"/>
    </row>
    <row r="116" spans="1:6" ht="25.5">
      <c r="A116" s="23" t="s">
        <v>86</v>
      </c>
      <c r="B116" s="56" t="s">
        <v>10</v>
      </c>
      <c r="D116" s="4">
        <v>0</v>
      </c>
      <c r="E116" s="16"/>
      <c r="F116" s="20">
        <v>1.4137</v>
      </c>
    </row>
    <row r="117" spans="1:6" ht="12.75">
      <c r="A117" s="17" t="s">
        <v>34</v>
      </c>
      <c r="B117" s="2" t="s">
        <v>10</v>
      </c>
      <c r="D117" s="4">
        <v>-0.4273</v>
      </c>
      <c r="F117" s="20">
        <v>-0.4273</v>
      </c>
    </row>
    <row r="118" spans="1:6" ht="12.75">
      <c r="A118" s="17" t="s">
        <v>49</v>
      </c>
      <c r="B118" s="2" t="s">
        <v>10</v>
      </c>
      <c r="D118" s="4">
        <v>0</v>
      </c>
      <c r="F118" s="20">
        <f aca="true" t="shared" si="4" ref="F118:F124">+D118</f>
        <v>0</v>
      </c>
    </row>
    <row r="119" spans="1:6" ht="12" customHeight="1">
      <c r="A119" s="17" t="s">
        <v>95</v>
      </c>
      <c r="B119" s="2" t="s">
        <v>10</v>
      </c>
      <c r="D119" s="4">
        <v>0</v>
      </c>
      <c r="F119" s="20">
        <v>-0.71472</v>
      </c>
    </row>
    <row r="120" spans="1:6" ht="12.75">
      <c r="A120" t="s">
        <v>3</v>
      </c>
      <c r="B120" s="2" t="s">
        <v>10</v>
      </c>
      <c r="D120" s="4">
        <v>1.2197</v>
      </c>
      <c r="E120" s="5"/>
      <c r="F120" s="20">
        <v>1.3077</v>
      </c>
    </row>
    <row r="121" spans="1:6" ht="12.75">
      <c r="A121" t="s">
        <v>4</v>
      </c>
      <c r="B121" s="2" t="s">
        <v>10</v>
      </c>
      <c r="D121" s="4">
        <v>0.9958</v>
      </c>
      <c r="E121" s="6"/>
      <c r="F121" s="20">
        <v>1.0121</v>
      </c>
    </row>
    <row r="122" spans="1:6" ht="12.75">
      <c r="A122" t="s">
        <v>5</v>
      </c>
      <c r="B122" s="2" t="s">
        <v>9</v>
      </c>
      <c r="D122" s="4">
        <v>0.0052</v>
      </c>
      <c r="E122" s="3"/>
      <c r="F122" s="20">
        <f t="shared" si="4"/>
        <v>0.0052</v>
      </c>
    </row>
    <row r="123" spans="1:6" ht="12.75">
      <c r="A123" t="s">
        <v>6</v>
      </c>
      <c r="B123" s="2" t="s">
        <v>9</v>
      </c>
      <c r="D123" s="4">
        <v>0.0011</v>
      </c>
      <c r="E123" s="4"/>
      <c r="F123" s="20">
        <f t="shared" si="4"/>
        <v>0.0011</v>
      </c>
    </row>
    <row r="124" spans="1:6" ht="12.75">
      <c r="A124" s="17" t="s">
        <v>35</v>
      </c>
      <c r="B124" s="2" t="s">
        <v>8</v>
      </c>
      <c r="D124" s="3">
        <v>0.25</v>
      </c>
      <c r="E124" s="3"/>
      <c r="F124" s="19">
        <f t="shared" si="4"/>
        <v>0.25</v>
      </c>
    </row>
    <row r="125" spans="1:6" ht="12.75">
      <c r="A125" s="17"/>
      <c r="D125" s="3"/>
      <c r="E125" s="3"/>
      <c r="F125" s="19"/>
    </row>
    <row r="126" spans="1:6" ht="12.75">
      <c r="A126" s="1" t="s">
        <v>39</v>
      </c>
      <c r="F126" s="21"/>
    </row>
    <row r="127" spans="1:6" ht="12.75">
      <c r="A127" s="17" t="s">
        <v>40</v>
      </c>
      <c r="B127" s="2" t="s">
        <v>8</v>
      </c>
      <c r="D127" s="25">
        <v>5.25</v>
      </c>
      <c r="F127" s="19">
        <f>+D127</f>
        <v>5.25</v>
      </c>
    </row>
    <row r="128" spans="1:6" ht="12.75">
      <c r="A128" s="17"/>
      <c r="D128" s="4"/>
      <c r="F128" s="20"/>
    </row>
    <row r="129" spans="1:6" ht="12.75">
      <c r="A129" s="1" t="s">
        <v>52</v>
      </c>
      <c r="D129" s="4"/>
      <c r="F129" s="20"/>
    </row>
    <row r="130" spans="1:6" ht="12.75">
      <c r="A130" s="17" t="s">
        <v>41</v>
      </c>
      <c r="B130" s="2" t="s">
        <v>10</v>
      </c>
      <c r="D130" s="4">
        <v>-0.6</v>
      </c>
      <c r="F130" s="20">
        <f>+D130</f>
        <v>-0.6</v>
      </c>
    </row>
    <row r="131" spans="1:6" ht="12.75">
      <c r="A131" s="17" t="s">
        <v>42</v>
      </c>
      <c r="B131" s="18" t="s">
        <v>12</v>
      </c>
      <c r="D131" s="4">
        <v>-1</v>
      </c>
      <c r="F131" s="20">
        <f>+D131</f>
        <v>-1</v>
      </c>
    </row>
    <row r="132" spans="4:6" ht="12.75">
      <c r="D132" s="3"/>
      <c r="E132" s="3"/>
      <c r="F132" s="19"/>
    </row>
    <row r="133" spans="1:6" ht="12.75">
      <c r="A133" s="1" t="s">
        <v>13</v>
      </c>
      <c r="E133" s="3"/>
      <c r="F133" s="21"/>
    </row>
    <row r="134" spans="1:6" ht="12.75">
      <c r="A134" s="17" t="s">
        <v>43</v>
      </c>
      <c r="D134" s="4">
        <v>1.0719</v>
      </c>
      <c r="F134" s="20">
        <v>1.1113</v>
      </c>
    </row>
    <row r="135" spans="1:6" ht="12.75">
      <c r="A135" s="17" t="s">
        <v>44</v>
      </c>
      <c r="D135" s="4">
        <v>1.0612</v>
      </c>
      <c r="F135" s="20">
        <f>F134*0.99</f>
        <v>1.100187</v>
      </c>
    </row>
    <row r="136" spans="1:6" ht="12.75">
      <c r="A136" s="17"/>
      <c r="D136" s="4"/>
      <c r="F136" s="22"/>
    </row>
    <row r="137" spans="1:6" ht="12.75">
      <c r="A137" s="17" t="s">
        <v>62</v>
      </c>
      <c r="B137" s="2" t="s">
        <v>9</v>
      </c>
      <c r="D137" s="26">
        <v>0.075</v>
      </c>
      <c r="F137" s="20"/>
    </row>
    <row r="138" spans="1:6" ht="12.75">
      <c r="A138" s="17" t="s">
        <v>63</v>
      </c>
      <c r="B138" s="2" t="s">
        <v>9</v>
      </c>
      <c r="D138" s="26">
        <v>0.088</v>
      </c>
      <c r="F138" s="20"/>
    </row>
    <row r="140" spans="1:6" ht="12.75">
      <c r="A140" s="17" t="s">
        <v>64</v>
      </c>
      <c r="B140" s="18" t="s">
        <v>15</v>
      </c>
      <c r="D140" s="34">
        <v>750</v>
      </c>
      <c r="F140" s="34"/>
    </row>
    <row r="142" spans="1:6" ht="12.75">
      <c r="A142" s="17" t="s">
        <v>65</v>
      </c>
      <c r="B142" s="2" t="s">
        <v>9</v>
      </c>
      <c r="D142" s="26">
        <v>0.035</v>
      </c>
      <c r="F142" s="20"/>
    </row>
    <row r="143" spans="1:6" ht="12.75">
      <c r="A143" s="17" t="s">
        <v>66</v>
      </c>
      <c r="B143" s="2" t="s">
        <v>9</v>
      </c>
      <c r="D143" s="26">
        <v>0.04</v>
      </c>
      <c r="F143" s="20"/>
    </row>
    <row r="145" spans="1:6" ht="12.75">
      <c r="A145" s="17" t="s">
        <v>57</v>
      </c>
      <c r="D145" s="30">
        <v>0.13</v>
      </c>
      <c r="F145" s="30"/>
    </row>
    <row r="147" spans="1:6" ht="12.75">
      <c r="A147" s="17" t="s">
        <v>60</v>
      </c>
      <c r="D147" s="30">
        <v>-0.1</v>
      </c>
      <c r="F147" s="30"/>
    </row>
  </sheetData>
  <sheetProtection/>
  <mergeCells count="1">
    <mergeCell ref="A2:F2"/>
  </mergeCells>
  <printOptions/>
  <pageMargins left="0.75" right="0.75" top="1" bottom="1" header="0.5" footer="0.5"/>
  <pageSetup fitToHeight="2" fitToWidth="1" horizontalDpi="600" verticalDpi="600" orientation="portrait" scale="64" r:id="rId1"/>
  <headerFooter alignWithMargins="0">
    <oddHeader xml:space="preserve">&amp;C&amp;"Arial,Bold"&amp;16Electricity Distribution Rate Impacts
January 1, 2013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3:L65"/>
  <sheetViews>
    <sheetView showGridLines="0" zoomScalePageLayoutView="0" workbookViewId="0" topLeftCell="A4">
      <selection activeCell="C57" sqref="C57"/>
    </sheetView>
  </sheetViews>
  <sheetFormatPr defaultColWidth="9.140625" defaultRowHeight="12.75"/>
  <cols>
    <col min="1" max="1" width="3.28125" style="7" customWidth="1"/>
    <col min="2" max="2" width="77.28125" style="7" customWidth="1"/>
    <col min="3" max="3" width="10.140625" style="7" customWidth="1"/>
    <col min="4" max="4" width="10.421875" style="10" bestFit="1" customWidth="1"/>
    <col min="5" max="5" width="10.00390625" style="7" bestFit="1" customWidth="1"/>
    <col min="6" max="6" width="11.8515625" style="7" bestFit="1" customWidth="1"/>
    <col min="7" max="7" width="9.28125" style="7" bestFit="1" customWidth="1"/>
    <col min="8" max="8" width="11.28125" style="7" customWidth="1"/>
    <col min="9" max="9" width="11.57421875" style="7" bestFit="1" customWidth="1"/>
    <col min="10" max="10" width="10.57421875" style="7" bestFit="1" customWidth="1"/>
    <col min="11" max="11" width="9.28125" style="7" bestFit="1" customWidth="1"/>
    <col min="12" max="12" width="11.7109375" style="7" bestFit="1" customWidth="1"/>
    <col min="13" max="16384" width="9.140625" style="7" customWidth="1"/>
  </cols>
  <sheetData>
    <row r="2" ht="12.75" thickBot="1"/>
    <row r="3" spans="2:5" ht="36">
      <c r="B3" s="67" t="str">
        <f>Rates!A5</f>
        <v>Residential</v>
      </c>
      <c r="C3" s="68" t="str">
        <f>Rates!B4</f>
        <v>Metric</v>
      </c>
      <c r="D3" s="69" t="str">
        <f>Rates!D4</f>
        <v>Current Approved Rates</v>
      </c>
      <c r="E3" s="70" t="str">
        <f>Rates!F4</f>
        <v>Proposed Rates</v>
      </c>
    </row>
    <row r="4" spans="2:5" ht="12">
      <c r="B4" s="71" t="str">
        <f>Rates!A6</f>
        <v>Monthly Service Charge</v>
      </c>
      <c r="C4" s="64" t="str">
        <f>Rates!B6</f>
        <v>$</v>
      </c>
      <c r="D4" s="65">
        <f>Rates!D6</f>
        <v>18.17</v>
      </c>
      <c r="E4" s="72">
        <f>Rates!F6</f>
        <v>20</v>
      </c>
    </row>
    <row r="5" spans="2:5" ht="12">
      <c r="B5" s="71" t="str">
        <f>Rates!A7</f>
        <v>Monthly Service Charge Rate Rider</v>
      </c>
      <c r="C5" s="64" t="str">
        <f>Rates!B7</f>
        <v>$</v>
      </c>
      <c r="D5" s="65">
        <f>Rates!D7</f>
        <v>0</v>
      </c>
      <c r="E5" s="72">
        <f>Rates!F7</f>
        <v>0</v>
      </c>
    </row>
    <row r="6" spans="2:5" ht="12">
      <c r="B6" s="71" t="str">
        <f>Rates!A8</f>
        <v>Smart Meter Rate Rider</v>
      </c>
      <c r="C6" s="64" t="str">
        <f>Rates!B8</f>
        <v>$</v>
      </c>
      <c r="D6" s="65">
        <f>Rates!D8</f>
        <v>0</v>
      </c>
      <c r="E6" s="72">
        <f>Rates!F8</f>
        <v>0</v>
      </c>
    </row>
    <row r="7" spans="2:5" ht="12">
      <c r="B7" s="71" t="str">
        <f>Rates!A9</f>
        <v>Distribution Volumetric Rate</v>
      </c>
      <c r="C7" s="64" t="str">
        <f>Rates!B9</f>
        <v>$/kWh</v>
      </c>
      <c r="D7" s="66">
        <f>Rates!D9</f>
        <v>0.0152</v>
      </c>
      <c r="E7" s="73">
        <f>Rates!F9</f>
        <v>0.0189</v>
      </c>
    </row>
    <row r="8" spans="2:5" ht="12">
      <c r="B8" s="71" t="str">
        <f>Rates!A10</f>
        <v>Distribution Volumetric Rate Rider</v>
      </c>
      <c r="C8" s="64" t="str">
        <f>Rates!B10</f>
        <v>$/kWh</v>
      </c>
      <c r="D8" s="66">
        <f>Rates!D10</f>
        <v>0</v>
      </c>
      <c r="E8" s="73">
        <f>Rates!F10</f>
        <v>0</v>
      </c>
    </row>
    <row r="9" spans="2:5" ht="12">
      <c r="B9" s="71" t="str">
        <f>Rates!A11</f>
        <v>Low Voltage Service Rate</v>
      </c>
      <c r="C9" s="64" t="str">
        <f>Rates!B11</f>
        <v>$/kWh</v>
      </c>
      <c r="D9" s="66">
        <f>Rates!D11</f>
        <v>0.0016</v>
      </c>
      <c r="E9" s="73">
        <f>Rates!F11</f>
        <v>0.0015</v>
      </c>
    </row>
    <row r="10" spans="2:5" ht="12">
      <c r="B10" s="71" t="str">
        <f>Rates!A12</f>
        <v>Rate Rider for Deferral/Variance Account Disposition (2012) - effective until April 30, 2013</v>
      </c>
      <c r="C10" s="64" t="str">
        <f>Rates!B12</f>
        <v>$/kWh</v>
      </c>
      <c r="D10" s="66">
        <f>Rates!D12</f>
        <v>0</v>
      </c>
      <c r="E10" s="73">
        <f>Rates!F12</f>
        <v>0</v>
      </c>
    </row>
    <row r="11" spans="2:5" ht="12">
      <c r="B11" s="71" t="str">
        <f>Rates!A13</f>
        <v>Rate Rider for Deferral/Variance Account Disposition (2013) - effective until December 31, 2013</v>
      </c>
      <c r="C11" s="64" t="str">
        <f>Rates!B13</f>
        <v>$/kWh</v>
      </c>
      <c r="D11" s="66">
        <f>Rates!D13</f>
        <v>0</v>
      </c>
      <c r="E11" s="73">
        <f>Rates!F13</f>
        <v>-0.0019</v>
      </c>
    </row>
    <row r="12" spans="2:5" ht="12.75" customHeight="1">
      <c r="B12" s="71" t="str">
        <f>Rates!A16</f>
        <v>Rate Rider for Tax Change - effective until April 30, 2013</v>
      </c>
      <c r="C12" s="64" t="str">
        <f>Rates!B16</f>
        <v>$/kWh</v>
      </c>
      <c r="D12" s="66">
        <f>Rates!D16</f>
        <v>-0.0005</v>
      </c>
      <c r="E12" s="73">
        <f>Rates!F16</f>
        <v>-0.0005</v>
      </c>
    </row>
    <row r="13" spans="2:5" ht="12">
      <c r="B13" s="71" t="str">
        <f>Rates!A17</f>
        <v>Rate Rider for Tax Change - effective until December 31, 2013</v>
      </c>
      <c r="C13" s="64" t="str">
        <f>Rates!B17</f>
        <v>$/kWh</v>
      </c>
      <c r="D13" s="66">
        <f>Rates!D17</f>
        <v>0</v>
      </c>
      <c r="E13" s="73">
        <f>Rates!F17</f>
        <v>0</v>
      </c>
    </row>
    <row r="14" spans="2:5" ht="12">
      <c r="B14" s="71" t="str">
        <f>Rates!A18</f>
        <v>Rate Rider for Stranded Meters - effective until December 31, 2013</v>
      </c>
      <c r="C14" s="64" t="str">
        <f>Rates!B18</f>
        <v>$</v>
      </c>
      <c r="D14" s="66">
        <f>Rates!D18</f>
        <v>0</v>
      </c>
      <c r="E14" s="72">
        <f>Rates!F18</f>
        <v>1.5</v>
      </c>
    </row>
    <row r="15" spans="2:5" ht="12">
      <c r="B15" s="71" t="str">
        <f>Rates!A19</f>
        <v>Rate Rider for Smart Meter Disposition - effective until December 31, 2013</v>
      </c>
      <c r="C15" s="64" t="str">
        <f>Rates!B19</f>
        <v>$</v>
      </c>
      <c r="D15" s="66">
        <f>Rates!D19</f>
        <v>0</v>
      </c>
      <c r="E15" s="72">
        <f>Rates!F19</f>
        <v>1.04</v>
      </c>
    </row>
    <row r="16" spans="2:5" ht="12">
      <c r="B16" s="71" t="str">
        <f>Rates!A20</f>
        <v>Rate Rider for PILS - effective until December 31, 2014</v>
      </c>
      <c r="C16" s="64" t="str">
        <f>Rates!B20</f>
        <v>$/kWh</v>
      </c>
      <c r="D16" s="66">
        <f>Rates!D20</f>
        <v>0</v>
      </c>
      <c r="E16" s="73">
        <f>Rates!F20</f>
        <v>-0.00086</v>
      </c>
    </row>
    <row r="17" spans="2:5" ht="12">
      <c r="B17" s="71" t="str">
        <f>Rates!A21</f>
        <v>Retail Transmission Rate - Network Service Rate</v>
      </c>
      <c r="C17" s="64" t="str">
        <f>Rates!B21</f>
        <v>$/kWh</v>
      </c>
      <c r="D17" s="66">
        <f>Rates!D21</f>
        <v>0.0043</v>
      </c>
      <c r="E17" s="73">
        <f>Rates!F21</f>
        <v>0.0046</v>
      </c>
    </row>
    <row r="18" spans="2:5" ht="12">
      <c r="B18" s="71" t="str">
        <f>Rates!A22</f>
        <v>Retail Transmission Rate - Line and Transformation Connection Service Rate</v>
      </c>
      <c r="C18" s="64" t="str">
        <f>Rates!B22</f>
        <v>$/kWh</v>
      </c>
      <c r="D18" s="66">
        <f>Rates!D22</f>
        <v>0.0035</v>
      </c>
      <c r="E18" s="73">
        <f>Rates!F22</f>
        <v>0.0036</v>
      </c>
    </row>
    <row r="19" spans="2:5" ht="12">
      <c r="B19" s="71" t="str">
        <f>Rates!A23</f>
        <v>Wholesale Market Service Rate</v>
      </c>
      <c r="C19" s="64" t="str">
        <f>Rates!B23</f>
        <v>$/kWh</v>
      </c>
      <c r="D19" s="66">
        <f>Rates!D23</f>
        <v>0.0052</v>
      </c>
      <c r="E19" s="73">
        <f>Rates!F23</f>
        <v>0.0052</v>
      </c>
    </row>
    <row r="20" spans="2:10" ht="12.75" thickBot="1">
      <c r="B20" s="71" t="str">
        <f>Rates!A24</f>
        <v>Rural Rate Protection Charge</v>
      </c>
      <c r="C20" s="64" t="str">
        <f>Rates!B24</f>
        <v>$/kWh</v>
      </c>
      <c r="D20" s="66">
        <f>Rates!D24</f>
        <v>0.0011</v>
      </c>
      <c r="E20" s="73">
        <f>Rates!F24</f>
        <v>0.0011</v>
      </c>
      <c r="I20" s="159" t="s">
        <v>72</v>
      </c>
      <c r="J20" s="159" t="s">
        <v>90</v>
      </c>
    </row>
    <row r="21" spans="2:10" ht="12.75" thickBot="1">
      <c r="B21" s="74" t="str">
        <f>Rates!A25</f>
        <v>Standard Supply Service - Administrative Charge (if applicable)</v>
      </c>
      <c r="C21" s="75" t="str">
        <f>Rates!B25</f>
        <v>$</v>
      </c>
      <c r="D21" s="76">
        <f>Rates!D25</f>
        <v>0.25</v>
      </c>
      <c r="E21" s="77">
        <f>Rates!F25</f>
        <v>0.25</v>
      </c>
      <c r="H21" s="90" t="s">
        <v>13</v>
      </c>
      <c r="I21" s="29">
        <f>Rates!$D$134</f>
        <v>1.0719</v>
      </c>
      <c r="J21" s="29">
        <f>Rates!$F$134</f>
        <v>1.1113</v>
      </c>
    </row>
    <row r="22" spans="2:5" ht="12">
      <c r="B22" s="60"/>
      <c r="C22" s="61"/>
      <c r="D22" s="63"/>
      <c r="E22" s="63"/>
    </row>
    <row r="23" spans="3:4" ht="12.75" thickBot="1">
      <c r="C23" s="10"/>
      <c r="D23" s="7"/>
    </row>
    <row r="24" spans="2:12" ht="13.5" thickBot="1">
      <c r="B24" s="80" t="s">
        <v>88</v>
      </c>
      <c r="C24" s="81">
        <v>800</v>
      </c>
      <c r="D24" s="89" t="s">
        <v>15</v>
      </c>
      <c r="E24" s="88"/>
      <c r="F24" s="87" t="s">
        <v>16</v>
      </c>
      <c r="G24" s="31"/>
      <c r="H24" s="170">
        <f>C24</f>
        <v>800</v>
      </c>
      <c r="I24" s="89" t="s">
        <v>15</v>
      </c>
      <c r="J24" s="172">
        <f>E24</f>
        <v>0</v>
      </c>
      <c r="K24" s="87" t="s">
        <v>16</v>
      </c>
      <c r="L24" s="32"/>
    </row>
    <row r="25" spans="2:12" ht="12.75">
      <c r="B25" s="82" t="s">
        <v>53</v>
      </c>
      <c r="C25" s="78">
        <f>ROUND(C24*I21-C24,0)</f>
        <v>58</v>
      </c>
      <c r="D25" s="83" t="s">
        <v>15</v>
      </c>
      <c r="E25" s="31"/>
      <c r="F25" s="32"/>
      <c r="G25" s="31"/>
      <c r="H25" s="78">
        <f>ROUND(H24*J21-H24,0)</f>
        <v>89</v>
      </c>
      <c r="I25" s="83" t="s">
        <v>15</v>
      </c>
      <c r="J25" s="31"/>
      <c r="K25" s="32"/>
      <c r="L25" s="32"/>
    </row>
    <row r="26" spans="2:12" ht="12.75">
      <c r="B26" s="82" t="s">
        <v>54</v>
      </c>
      <c r="C26" s="78">
        <f>+C24+C25</f>
        <v>858</v>
      </c>
      <c r="D26" s="83" t="s">
        <v>15</v>
      </c>
      <c r="E26" s="33"/>
      <c r="F26" s="32"/>
      <c r="G26" s="31"/>
      <c r="H26" s="78">
        <f>+H24+H25</f>
        <v>889</v>
      </c>
      <c r="I26" s="83" t="s">
        <v>15</v>
      </c>
      <c r="J26" s="33"/>
      <c r="K26" s="32"/>
      <c r="L26" s="32"/>
    </row>
    <row r="27" spans="2:12" ht="13.5" thickBot="1">
      <c r="B27" s="84" t="s">
        <v>17</v>
      </c>
      <c r="C27" s="85">
        <f>+Rates!$D$140</f>
        <v>750</v>
      </c>
      <c r="D27" s="86" t="s">
        <v>15</v>
      </c>
      <c r="E27" s="31"/>
      <c r="F27" s="31"/>
      <c r="G27" s="31"/>
      <c r="H27" s="85">
        <f>+Rates!$D$140</f>
        <v>750</v>
      </c>
      <c r="I27" s="86" t="s">
        <v>15</v>
      </c>
      <c r="J27" s="31"/>
      <c r="K27" s="31"/>
      <c r="L27" s="32"/>
    </row>
    <row r="28" spans="2:12" ht="12.75" thickBot="1">
      <c r="B28" s="31"/>
      <c r="C28" s="31"/>
      <c r="D28" s="61"/>
      <c r="E28" s="31"/>
      <c r="F28" s="31"/>
      <c r="G28" s="31"/>
      <c r="H28" s="31"/>
      <c r="I28" s="31"/>
      <c r="J28" s="31"/>
      <c r="K28" s="31"/>
      <c r="L28" s="31"/>
    </row>
    <row r="29" spans="2:12" ht="13.5" customHeight="1">
      <c r="B29" s="188" t="str">
        <f>B3</f>
        <v>Residential</v>
      </c>
      <c r="C29" s="120"/>
      <c r="D29" s="190" t="str">
        <f>+D3</f>
        <v>Current Approved Rates</v>
      </c>
      <c r="E29" s="190"/>
      <c r="F29" s="190"/>
      <c r="G29" s="190" t="str">
        <f>+E3</f>
        <v>Proposed Rates</v>
      </c>
      <c r="H29" s="190"/>
      <c r="I29" s="190"/>
      <c r="J29" s="120"/>
      <c r="K29" s="120"/>
      <c r="L29" s="121"/>
    </row>
    <row r="30" spans="2:12" ht="12.75" customHeight="1">
      <c r="B30" s="189"/>
      <c r="C30" s="186" t="str">
        <f>+C3</f>
        <v>Metric</v>
      </c>
      <c r="D30" s="186" t="s">
        <v>55</v>
      </c>
      <c r="E30" s="91" t="s">
        <v>23</v>
      </c>
      <c r="F30" s="91" t="s">
        <v>24</v>
      </c>
      <c r="G30" s="186" t="s">
        <v>55</v>
      </c>
      <c r="H30" s="91" t="s">
        <v>23</v>
      </c>
      <c r="I30" s="91" t="s">
        <v>24</v>
      </c>
      <c r="J30" s="184" t="s">
        <v>30</v>
      </c>
      <c r="K30" s="184"/>
      <c r="L30" s="185"/>
    </row>
    <row r="31" spans="2:12" ht="12" customHeight="1">
      <c r="B31" s="189"/>
      <c r="C31" s="187"/>
      <c r="D31" s="187"/>
      <c r="E31" s="91" t="s">
        <v>8</v>
      </c>
      <c r="F31" s="91" t="s">
        <v>8</v>
      </c>
      <c r="G31" s="187"/>
      <c r="H31" s="91" t="s">
        <v>8</v>
      </c>
      <c r="I31" s="91" t="s">
        <v>8</v>
      </c>
      <c r="J31" s="91" t="s">
        <v>8</v>
      </c>
      <c r="K31" s="140" t="s">
        <v>12</v>
      </c>
      <c r="L31" s="122" t="s">
        <v>20</v>
      </c>
    </row>
    <row r="32" spans="2:12" ht="12">
      <c r="B32" s="123" t="s">
        <v>21</v>
      </c>
      <c r="C32" s="28" t="str">
        <f>+Rates!B137</f>
        <v>$/kWh</v>
      </c>
      <c r="D32" s="11">
        <f>IF(C26&gt;C27,C27,C26)</f>
        <v>750</v>
      </c>
      <c r="E32" s="12">
        <f>Rates!D137</f>
        <v>0.075</v>
      </c>
      <c r="F32" s="93">
        <f>D32*E32</f>
        <v>56.25</v>
      </c>
      <c r="G32" s="11">
        <f>IF(H26&gt;H27,H27,H26)</f>
        <v>750</v>
      </c>
      <c r="H32" s="12">
        <f>+E32</f>
        <v>0.075</v>
      </c>
      <c r="I32" s="93">
        <f>G32*H32</f>
        <v>56.25</v>
      </c>
      <c r="J32" s="13">
        <f>I32-F32</f>
        <v>0</v>
      </c>
      <c r="K32" s="14">
        <f>IF(ISERROR(J32/F32),1,J32/F32)</f>
        <v>0</v>
      </c>
      <c r="L32" s="15">
        <f aca="true" t="shared" si="0" ref="L32:L37">IF(ISERROR(I32/I$62),0,I32/I$62)</f>
        <v>0.45352762311578776</v>
      </c>
    </row>
    <row r="33" spans="2:12" ht="12">
      <c r="B33" s="123" t="s">
        <v>22</v>
      </c>
      <c r="C33" s="28" t="str">
        <f>+Rates!B138</f>
        <v>$/kWh</v>
      </c>
      <c r="D33" s="11">
        <f>IF(C26&gt;=C27,C26-C27,0)</f>
        <v>108</v>
      </c>
      <c r="E33" s="12">
        <f>Rates!D138</f>
        <v>0.088</v>
      </c>
      <c r="F33" s="13">
        <f>D33*E33</f>
        <v>9.504</v>
      </c>
      <c r="G33" s="11">
        <f>IF(H26&gt;=H27,H26-H27,0)</f>
        <v>139</v>
      </c>
      <c r="H33" s="12">
        <f>+E33</f>
        <v>0.088</v>
      </c>
      <c r="I33" s="13">
        <f>G33*H33</f>
        <v>12.232</v>
      </c>
      <c r="J33" s="13">
        <f>I33-F33</f>
        <v>2.7279999999999998</v>
      </c>
      <c r="K33" s="14">
        <f aca="true" t="shared" si="1" ref="K33:K59">IF(ISERROR(J33/F33),0,J33/F33)</f>
        <v>0.28703703703703703</v>
      </c>
      <c r="L33" s="15">
        <f t="shared" si="0"/>
        <v>0.09862310908359671</v>
      </c>
    </row>
    <row r="34" spans="2:12" ht="12">
      <c r="B34" s="124" t="s">
        <v>25</v>
      </c>
      <c r="C34" s="94"/>
      <c r="D34" s="95"/>
      <c r="E34" s="96"/>
      <c r="F34" s="97">
        <f>SUM(F32:F33)</f>
        <v>65.754</v>
      </c>
      <c r="G34" s="96"/>
      <c r="H34" s="96"/>
      <c r="I34" s="97">
        <f>SUM(I32:I33)</f>
        <v>68.482</v>
      </c>
      <c r="J34" s="97">
        <f>I34-F34</f>
        <v>2.7279999999999944</v>
      </c>
      <c r="K34" s="98">
        <f t="shared" si="1"/>
        <v>0.041487970313593005</v>
      </c>
      <c r="L34" s="125">
        <f t="shared" si="0"/>
        <v>0.5521507321993845</v>
      </c>
    </row>
    <row r="35" spans="2:12" ht="12">
      <c r="B35" s="24" t="str">
        <f aca="true" t="shared" si="2" ref="B35:B40">B4</f>
        <v>Monthly Service Charge</v>
      </c>
      <c r="C35" s="27" t="str">
        <f aca="true" t="shared" si="3" ref="C35:C40">+C4</f>
        <v>$</v>
      </c>
      <c r="D35" s="99">
        <v>1</v>
      </c>
      <c r="E35" s="93">
        <f aca="true" t="shared" si="4" ref="E35:E40">D4</f>
        <v>18.17</v>
      </c>
      <c r="F35" s="93">
        <f>D35*E35</f>
        <v>18.17</v>
      </c>
      <c r="G35" s="64">
        <f aca="true" t="shared" si="5" ref="G35:G47">+D35</f>
        <v>1</v>
      </c>
      <c r="H35" s="93">
        <f aca="true" t="shared" si="6" ref="H35:H40">E4</f>
        <v>20</v>
      </c>
      <c r="I35" s="13">
        <f>G35*H35</f>
        <v>20</v>
      </c>
      <c r="J35" s="13">
        <f>I35-F35</f>
        <v>1.8299999999999983</v>
      </c>
      <c r="K35" s="14">
        <f t="shared" si="1"/>
        <v>0.10071546505228388</v>
      </c>
      <c r="L35" s="15">
        <f t="shared" si="0"/>
        <v>0.16125426599672454</v>
      </c>
    </row>
    <row r="36" spans="2:12" ht="12">
      <c r="B36" s="24" t="str">
        <f t="shared" si="2"/>
        <v>Monthly Service Charge Rate Rider</v>
      </c>
      <c r="C36" s="27" t="str">
        <f t="shared" si="3"/>
        <v>$</v>
      </c>
      <c r="D36" s="11">
        <f>D35</f>
        <v>1</v>
      </c>
      <c r="E36" s="93">
        <f t="shared" si="4"/>
        <v>0</v>
      </c>
      <c r="F36" s="13">
        <f>D36*E36</f>
        <v>0</v>
      </c>
      <c r="G36" s="64">
        <f t="shared" si="5"/>
        <v>1</v>
      </c>
      <c r="H36" s="93">
        <f t="shared" si="6"/>
        <v>0</v>
      </c>
      <c r="I36" s="13">
        <f>G36*H36</f>
        <v>0</v>
      </c>
      <c r="J36" s="13">
        <f>I36-F36</f>
        <v>0</v>
      </c>
      <c r="K36" s="14">
        <f t="shared" si="1"/>
        <v>0</v>
      </c>
      <c r="L36" s="15">
        <f t="shared" si="0"/>
        <v>0</v>
      </c>
    </row>
    <row r="37" spans="2:12" ht="12">
      <c r="B37" s="24" t="str">
        <f t="shared" si="2"/>
        <v>Smart Meter Rate Rider</v>
      </c>
      <c r="C37" s="27" t="str">
        <f t="shared" si="3"/>
        <v>$</v>
      </c>
      <c r="D37" s="11">
        <f>D35</f>
        <v>1</v>
      </c>
      <c r="E37" s="93">
        <f t="shared" si="4"/>
        <v>0</v>
      </c>
      <c r="F37" s="13">
        <f aca="true" t="shared" si="7" ref="F37:F43">D37*E37</f>
        <v>0</v>
      </c>
      <c r="G37" s="64">
        <f t="shared" si="5"/>
        <v>1</v>
      </c>
      <c r="H37" s="93">
        <f t="shared" si="6"/>
        <v>0</v>
      </c>
      <c r="I37" s="13">
        <f>G37*H37</f>
        <v>0</v>
      </c>
      <c r="J37" s="13">
        <f>I37-F37</f>
        <v>0</v>
      </c>
      <c r="K37" s="14">
        <f t="shared" si="1"/>
        <v>0</v>
      </c>
      <c r="L37" s="15">
        <f t="shared" si="0"/>
        <v>0</v>
      </c>
    </row>
    <row r="38" spans="2:12" ht="12">
      <c r="B38" s="24" t="str">
        <f t="shared" si="2"/>
        <v>Distribution Volumetric Rate</v>
      </c>
      <c r="C38" s="27" t="str">
        <f t="shared" si="3"/>
        <v>$/kWh</v>
      </c>
      <c r="D38" s="11">
        <f aca="true" t="shared" si="8" ref="D38:D44">+$C$24</f>
        <v>800</v>
      </c>
      <c r="E38" s="93">
        <f t="shared" si="4"/>
        <v>0.0152</v>
      </c>
      <c r="F38" s="13">
        <f t="shared" si="7"/>
        <v>12.16</v>
      </c>
      <c r="G38" s="64">
        <f t="shared" si="5"/>
        <v>800</v>
      </c>
      <c r="H38" s="93">
        <f t="shared" si="6"/>
        <v>0.0189</v>
      </c>
      <c r="I38" s="13">
        <f>G38*H38</f>
        <v>15.120000000000001</v>
      </c>
      <c r="J38" s="13">
        <f>I38-F38</f>
        <v>2.960000000000001</v>
      </c>
      <c r="K38" s="14">
        <f>IF(ISERROR(J38/F38),0,J38/F38)</f>
        <v>0.243421052631579</v>
      </c>
      <c r="L38" s="15">
        <f>IF(ISERROR(I38/I$62),0,I38/I$62)</f>
        <v>0.12190822509352375</v>
      </c>
    </row>
    <row r="39" spans="2:12" ht="12">
      <c r="B39" s="24" t="str">
        <f t="shared" si="2"/>
        <v>Distribution Volumetric Rate Rider</v>
      </c>
      <c r="C39" s="27" t="str">
        <f t="shared" si="3"/>
        <v>$/kWh</v>
      </c>
      <c r="D39" s="11">
        <f t="shared" si="8"/>
        <v>800</v>
      </c>
      <c r="E39" s="93">
        <f t="shared" si="4"/>
        <v>0</v>
      </c>
      <c r="F39" s="13">
        <f t="shared" si="7"/>
        <v>0</v>
      </c>
      <c r="G39" s="64">
        <f t="shared" si="5"/>
        <v>800</v>
      </c>
      <c r="H39" s="93">
        <f t="shared" si="6"/>
        <v>0</v>
      </c>
      <c r="I39" s="13">
        <f>G39*H39</f>
        <v>0</v>
      </c>
      <c r="J39" s="13">
        <f>I39-F39</f>
        <v>0</v>
      </c>
      <c r="K39" s="14">
        <f>IF(ISERROR(J39/F39),0,J39/F39)</f>
        <v>0</v>
      </c>
      <c r="L39" s="15">
        <f>IF(ISERROR(I39/I$62),0,I39/I$62)</f>
        <v>0</v>
      </c>
    </row>
    <row r="40" spans="2:12" ht="12">
      <c r="B40" s="24" t="str">
        <f t="shared" si="2"/>
        <v>Low Voltage Service Rate</v>
      </c>
      <c r="C40" s="27" t="str">
        <f t="shared" si="3"/>
        <v>$/kWh</v>
      </c>
      <c r="D40" s="11">
        <f t="shared" si="8"/>
        <v>800</v>
      </c>
      <c r="E40" s="93">
        <f t="shared" si="4"/>
        <v>0.0016</v>
      </c>
      <c r="F40" s="13">
        <f>D40*E40</f>
        <v>1.28</v>
      </c>
      <c r="G40" s="64">
        <f>+D40</f>
        <v>800</v>
      </c>
      <c r="H40" s="93">
        <f t="shared" si="6"/>
        <v>0.0015</v>
      </c>
      <c r="I40" s="13">
        <f>G40*H40</f>
        <v>1.2</v>
      </c>
      <c r="J40" s="13">
        <f>I40-F40</f>
        <v>-0.08000000000000007</v>
      </c>
      <c r="K40" s="14">
        <f>IF(ISERROR(J40/F40),0,J40/F40)</f>
        <v>-0.06250000000000006</v>
      </c>
      <c r="L40" s="15">
        <f>IF(ISERROR(I40/I$62),0,I40/I$62)</f>
        <v>0.009675255959803472</v>
      </c>
    </row>
    <row r="41" spans="2:12" ht="12">
      <c r="B41" s="24" t="str">
        <f aca="true" t="shared" si="9" ref="B41:B47">B10</f>
        <v>Rate Rider for Deferral/Variance Account Disposition (2012) - effective until April 30, 2013</v>
      </c>
      <c r="C41" s="27" t="str">
        <f>+C10</f>
        <v>$/kWh</v>
      </c>
      <c r="D41" s="11">
        <f t="shared" si="8"/>
        <v>800</v>
      </c>
      <c r="E41" s="93">
        <f>D10</f>
        <v>0</v>
      </c>
      <c r="F41" s="13">
        <f t="shared" si="7"/>
        <v>0</v>
      </c>
      <c r="G41" s="64">
        <f t="shared" si="5"/>
        <v>800</v>
      </c>
      <c r="H41" s="93">
        <f>E10</f>
        <v>0</v>
      </c>
      <c r="I41" s="13">
        <f>G41*H41</f>
        <v>0</v>
      </c>
      <c r="J41" s="13">
        <f>I41-F41</f>
        <v>0</v>
      </c>
      <c r="K41" s="14">
        <f>IF(ISERROR(J41/F41),0,J41/F41)</f>
        <v>0</v>
      </c>
      <c r="L41" s="15">
        <f>IF(ISERROR(I41/I$62),0,I41/I$62)</f>
        <v>0</v>
      </c>
    </row>
    <row r="42" spans="2:12" ht="12">
      <c r="B42" s="24" t="str">
        <f t="shared" si="9"/>
        <v>Rate Rider for Deferral/Variance Account Disposition (2013) - effective until December 31, 2013</v>
      </c>
      <c r="C42" s="27" t="str">
        <f>+C11</f>
        <v>$/kWh</v>
      </c>
      <c r="D42" s="11">
        <f t="shared" si="8"/>
        <v>800</v>
      </c>
      <c r="E42" s="93">
        <f>D11</f>
        <v>0</v>
      </c>
      <c r="F42" s="13">
        <f t="shared" si="7"/>
        <v>0</v>
      </c>
      <c r="G42" s="64">
        <f t="shared" si="5"/>
        <v>800</v>
      </c>
      <c r="H42" s="93">
        <f>E11</f>
        <v>-0.0019</v>
      </c>
      <c r="I42" s="13">
        <f>G42*H42</f>
        <v>-1.52</v>
      </c>
      <c r="J42" s="13">
        <f>I42-F42</f>
        <v>-1.52</v>
      </c>
      <c r="K42" s="14">
        <f>IF(ISERROR(J42/F42),0,J42/F42)</f>
        <v>0</v>
      </c>
      <c r="L42" s="15">
        <f>IF(ISERROR(I42/I$62),0,I42/I$62)</f>
        <v>-0.012255324215751064</v>
      </c>
    </row>
    <row r="43" spans="2:12" ht="12">
      <c r="B43" s="24" t="str">
        <f t="shared" si="9"/>
        <v>Rate Rider for Tax Change - effective until April 30, 2013</v>
      </c>
      <c r="C43" s="27" t="str">
        <f>+C12</f>
        <v>$/kWh</v>
      </c>
      <c r="D43" s="11">
        <f t="shared" si="8"/>
        <v>800</v>
      </c>
      <c r="E43" s="93">
        <f>D12</f>
        <v>-0.0005</v>
      </c>
      <c r="F43" s="13">
        <f t="shared" si="7"/>
        <v>-0.4</v>
      </c>
      <c r="G43" s="64">
        <f t="shared" si="5"/>
        <v>800</v>
      </c>
      <c r="H43" s="93">
        <f>E12</f>
        <v>-0.0005</v>
      </c>
      <c r="I43" s="13">
        <f>G43*H43</f>
        <v>-0.4</v>
      </c>
      <c r="J43" s="13">
        <f>I43-F43</f>
        <v>0</v>
      </c>
      <c r="K43" s="14">
        <f>IF(ISERROR(J43/F43),0,J43/F43)</f>
        <v>0</v>
      </c>
      <c r="L43" s="15">
        <f aca="true" t="shared" si="10" ref="L43:L62">IF(ISERROR(I43/I$62),0,I43/I$62)</f>
        <v>-0.0032250853199344907</v>
      </c>
    </row>
    <row r="44" spans="2:12" ht="12">
      <c r="B44" s="24" t="str">
        <f t="shared" si="9"/>
        <v>Rate Rider for Tax Change - effective until December 31, 2013</v>
      </c>
      <c r="C44" s="27" t="str">
        <f>+C13</f>
        <v>$/kWh</v>
      </c>
      <c r="D44" s="11">
        <f t="shared" si="8"/>
        <v>800</v>
      </c>
      <c r="E44" s="93">
        <f>D13</f>
        <v>0</v>
      </c>
      <c r="F44" s="13">
        <f>D44*E44</f>
        <v>0</v>
      </c>
      <c r="G44" s="64">
        <f t="shared" si="5"/>
        <v>800</v>
      </c>
      <c r="H44" s="93">
        <f>E13</f>
        <v>0</v>
      </c>
      <c r="I44" s="13">
        <f>G44*H44</f>
        <v>0</v>
      </c>
      <c r="J44" s="13">
        <f>I44-F44</f>
        <v>0</v>
      </c>
      <c r="K44" s="14">
        <f>IF(ISERROR(J44/F44),0,J44/F44)</f>
        <v>0</v>
      </c>
      <c r="L44" s="15">
        <f t="shared" si="10"/>
        <v>0</v>
      </c>
    </row>
    <row r="45" spans="2:12" ht="12">
      <c r="B45" s="24" t="str">
        <f t="shared" si="9"/>
        <v>Rate Rider for Stranded Meters - effective until December 31, 2013</v>
      </c>
      <c r="C45" s="27" t="str">
        <f>+C14</f>
        <v>$</v>
      </c>
      <c r="D45" s="11">
        <f>D35</f>
        <v>1</v>
      </c>
      <c r="E45" s="93">
        <f>D14</f>
        <v>0</v>
      </c>
      <c r="F45" s="13">
        <f>D45*E45</f>
        <v>0</v>
      </c>
      <c r="G45" s="64">
        <f t="shared" si="5"/>
        <v>1</v>
      </c>
      <c r="H45" s="93">
        <f>E14</f>
        <v>1.5</v>
      </c>
      <c r="I45" s="13">
        <f>G45*H45</f>
        <v>1.5</v>
      </c>
      <c r="J45" s="13">
        <f>I45-F45</f>
        <v>1.5</v>
      </c>
      <c r="K45" s="14">
        <f>IF(ISERROR(J45/F45),0,J45/F45)</f>
        <v>0</v>
      </c>
      <c r="L45" s="15">
        <f t="shared" si="10"/>
        <v>0.01209406994975434</v>
      </c>
    </row>
    <row r="46" spans="2:12" ht="12">
      <c r="B46" s="24" t="str">
        <f t="shared" si="9"/>
        <v>Rate Rider for Smart Meter Disposition - effective until December 31, 2013</v>
      </c>
      <c r="C46" s="27" t="str">
        <f>+C15</f>
        <v>$</v>
      </c>
      <c r="D46" s="11">
        <f>D35</f>
        <v>1</v>
      </c>
      <c r="E46" s="93">
        <f>D15</f>
        <v>0</v>
      </c>
      <c r="F46" s="13">
        <f>D46*E46</f>
        <v>0</v>
      </c>
      <c r="G46" s="64">
        <f t="shared" si="5"/>
        <v>1</v>
      </c>
      <c r="H46" s="93">
        <f>E15</f>
        <v>1.04</v>
      </c>
      <c r="I46" s="13">
        <f>G46*H46</f>
        <v>1.04</v>
      </c>
      <c r="J46" s="13">
        <f>I46-F46</f>
        <v>1.04</v>
      </c>
      <c r="K46" s="14">
        <f>IF(ISERROR(J46/F46),0,J46/F46)</f>
        <v>0</v>
      </c>
      <c r="L46" s="15">
        <f t="shared" si="10"/>
        <v>0.008385221831829676</v>
      </c>
    </row>
    <row r="47" spans="2:12" ht="12">
      <c r="B47" s="24" t="str">
        <f t="shared" si="9"/>
        <v>Rate Rider for PILS - effective until December 31, 2014</v>
      </c>
      <c r="C47" s="27" t="str">
        <f>+C16</f>
        <v>$/kWh</v>
      </c>
      <c r="D47" s="11">
        <f>+$C$24</f>
        <v>800</v>
      </c>
      <c r="E47" s="93">
        <f>D16</f>
        <v>0</v>
      </c>
      <c r="F47" s="13">
        <f>D47*E47</f>
        <v>0</v>
      </c>
      <c r="G47" s="64">
        <f t="shared" si="5"/>
        <v>800</v>
      </c>
      <c r="H47" s="93">
        <f>E16</f>
        <v>-0.00086</v>
      </c>
      <c r="I47" s="13">
        <f>G47*H47</f>
        <v>-0.688</v>
      </c>
      <c r="J47" s="13">
        <f>I47-F47</f>
        <v>-0.688</v>
      </c>
      <c r="K47" s="14">
        <f>IF(ISERROR(J47/F47),0,J47/F47)</f>
        <v>0</v>
      </c>
      <c r="L47" s="15">
        <f t="shared" si="10"/>
        <v>-0.005547146750287324</v>
      </c>
    </row>
    <row r="48" spans="2:12" ht="12">
      <c r="B48" s="126" t="s">
        <v>26</v>
      </c>
      <c r="C48" s="100"/>
      <c r="D48" s="101"/>
      <c r="E48" s="102"/>
      <c r="F48" s="103">
        <f>SUM(F35:F47)</f>
        <v>31.210000000000004</v>
      </c>
      <c r="G48" s="102"/>
      <c r="H48" s="102"/>
      <c r="I48" s="103">
        <f>SUM(I35:I47)</f>
        <v>36.252</v>
      </c>
      <c r="J48" s="104">
        <f>I48-F48</f>
        <v>5.041999999999998</v>
      </c>
      <c r="K48" s="105">
        <f>IF(ISERROR(J48/F48),0,J48/F48)</f>
        <v>0.16155078500480607</v>
      </c>
      <c r="L48" s="127">
        <f t="shared" si="10"/>
        <v>0.2922894825456629</v>
      </c>
    </row>
    <row r="49" spans="2:12" ht="12">
      <c r="B49" s="24" t="str">
        <f>B17</f>
        <v>Retail Transmission Rate - Network Service Rate</v>
      </c>
      <c r="C49" s="27" t="str">
        <f>C17</f>
        <v>$/kWh</v>
      </c>
      <c r="D49" s="11">
        <f>+$C$26</f>
        <v>858</v>
      </c>
      <c r="E49" s="12">
        <f>D17</f>
        <v>0.0043</v>
      </c>
      <c r="F49" s="13">
        <f>D49*E49</f>
        <v>3.6894</v>
      </c>
      <c r="G49" s="11">
        <f>+$H$26</f>
        <v>889</v>
      </c>
      <c r="H49" s="12">
        <f>E17</f>
        <v>0.0046</v>
      </c>
      <c r="I49" s="13">
        <f>G49*H49</f>
        <v>4.0894</v>
      </c>
      <c r="J49" s="13">
        <f>I49-F49</f>
        <v>0.40000000000000036</v>
      </c>
      <c r="K49" s="14">
        <f t="shared" si="1"/>
        <v>0.10841871306987595</v>
      </c>
      <c r="L49" s="15">
        <f t="shared" si="10"/>
        <v>0.032971659768350266</v>
      </c>
    </row>
    <row r="50" spans="2:12" ht="12">
      <c r="B50" s="24" t="str">
        <f>B18</f>
        <v>Retail Transmission Rate - Line and Transformation Connection Service Rate</v>
      </c>
      <c r="C50" s="27" t="str">
        <f>C18</f>
        <v>$/kWh</v>
      </c>
      <c r="D50" s="11">
        <f>+$C$26</f>
        <v>858</v>
      </c>
      <c r="E50" s="12">
        <f>D18</f>
        <v>0.0035</v>
      </c>
      <c r="F50" s="13">
        <f>D50*E50</f>
        <v>3.003</v>
      </c>
      <c r="G50" s="11">
        <f>+$H$26</f>
        <v>889</v>
      </c>
      <c r="H50" s="12">
        <f>E18</f>
        <v>0.0036</v>
      </c>
      <c r="I50" s="13">
        <f>G50*H50</f>
        <v>3.2004</v>
      </c>
      <c r="J50" s="13">
        <f>I50-F50</f>
        <v>0.19740000000000002</v>
      </c>
      <c r="K50" s="14">
        <f>IF(ISERROR(J50/F50),0,J50/F50)</f>
        <v>0.06573426573426573</v>
      </c>
      <c r="L50" s="15">
        <f t="shared" si="10"/>
        <v>0.02580390764479586</v>
      </c>
    </row>
    <row r="51" spans="2:12" ht="12">
      <c r="B51" s="126" t="s">
        <v>18</v>
      </c>
      <c r="C51" s="100"/>
      <c r="D51" s="101"/>
      <c r="E51" s="102"/>
      <c r="F51" s="104">
        <f>+SUM(F49:F50)</f>
        <v>6.6924</v>
      </c>
      <c r="G51" s="102"/>
      <c r="H51" s="102"/>
      <c r="I51" s="104">
        <f>+SUM(I49:I50)</f>
        <v>7.2898000000000005</v>
      </c>
      <c r="J51" s="104">
        <f>I51-F51</f>
        <v>0.5974000000000004</v>
      </c>
      <c r="K51" s="105">
        <f>IF(ISERROR(J51/F51),0,J51/F51)</f>
        <v>0.08926543541928163</v>
      </c>
      <c r="L51" s="127">
        <f t="shared" si="10"/>
        <v>0.05877556741314613</v>
      </c>
    </row>
    <row r="52" spans="2:12" ht="12">
      <c r="B52" s="128" t="s">
        <v>27</v>
      </c>
      <c r="C52" s="107"/>
      <c r="D52" s="108"/>
      <c r="E52" s="109"/>
      <c r="F52" s="110">
        <f>F48+F51</f>
        <v>37.90240000000001</v>
      </c>
      <c r="G52" s="109"/>
      <c r="H52" s="109"/>
      <c r="I52" s="110">
        <f>I48+I51</f>
        <v>43.5418</v>
      </c>
      <c r="J52" s="110">
        <f>I52-F52</f>
        <v>5.639399999999995</v>
      </c>
      <c r="K52" s="111">
        <f t="shared" si="1"/>
        <v>0.148787411878931</v>
      </c>
      <c r="L52" s="129">
        <f t="shared" si="10"/>
        <v>0.35106504995880905</v>
      </c>
    </row>
    <row r="53" spans="2:12" ht="12">
      <c r="B53" s="24" t="str">
        <f>B19</f>
        <v>Wholesale Market Service Rate</v>
      </c>
      <c r="C53" s="27" t="str">
        <f>+C19</f>
        <v>$/kWh</v>
      </c>
      <c r="D53" s="11">
        <f>+$C$26</f>
        <v>858</v>
      </c>
      <c r="E53" s="12">
        <f>D19</f>
        <v>0.0052</v>
      </c>
      <c r="F53" s="13">
        <f>D53*E53</f>
        <v>4.4616</v>
      </c>
      <c r="G53" s="11">
        <f>+$H$26</f>
        <v>889</v>
      </c>
      <c r="H53" s="12">
        <f>E19</f>
        <v>0.0052</v>
      </c>
      <c r="I53" s="13">
        <f>G53*H53</f>
        <v>4.6228</v>
      </c>
      <c r="J53" s="13">
        <f>I53-F53</f>
        <v>0.1612</v>
      </c>
      <c r="K53" s="14">
        <f t="shared" si="1"/>
        <v>0.036130536130536135</v>
      </c>
      <c r="L53" s="15">
        <f t="shared" si="10"/>
        <v>0.03727231104248291</v>
      </c>
    </row>
    <row r="54" spans="2:12" ht="12">
      <c r="B54" s="24" t="str">
        <f>B20</f>
        <v>Rural Rate Protection Charge</v>
      </c>
      <c r="C54" s="27" t="str">
        <f>+C20</f>
        <v>$/kWh</v>
      </c>
      <c r="D54" s="11">
        <f>+$C$26</f>
        <v>858</v>
      </c>
      <c r="E54" s="12">
        <f>D20</f>
        <v>0.0011</v>
      </c>
      <c r="F54" s="13">
        <f>D54*E54</f>
        <v>0.9438000000000001</v>
      </c>
      <c r="G54" s="11">
        <f>+$H$26</f>
        <v>889</v>
      </c>
      <c r="H54" s="12">
        <f>E20</f>
        <v>0.0011</v>
      </c>
      <c r="I54" s="13">
        <f>G54*H54</f>
        <v>0.9779000000000001</v>
      </c>
      <c r="J54" s="13">
        <f>I54-F54</f>
        <v>0.03410000000000002</v>
      </c>
      <c r="K54" s="14">
        <f>IF(ISERROR(J54/F54),0,J54/F54)</f>
        <v>0.03613053613053615</v>
      </c>
      <c r="L54" s="15">
        <f t="shared" si="10"/>
        <v>0.007884527335909847</v>
      </c>
    </row>
    <row r="55" spans="2:12" ht="12">
      <c r="B55" s="24" t="str">
        <f>B21</f>
        <v>Standard Supply Service - Administrative Charge (if applicable)</v>
      </c>
      <c r="C55" s="27" t="str">
        <f>+C21</f>
        <v>$</v>
      </c>
      <c r="D55" s="11">
        <f>+$D$35</f>
        <v>1</v>
      </c>
      <c r="E55" s="13">
        <f>D21</f>
        <v>0.25</v>
      </c>
      <c r="F55" s="13">
        <f>D55*E55</f>
        <v>0.25</v>
      </c>
      <c r="G55" s="11">
        <f>+D55</f>
        <v>1</v>
      </c>
      <c r="H55" s="13">
        <f>E21</f>
        <v>0.25</v>
      </c>
      <c r="I55" s="13">
        <f>G55*H55</f>
        <v>0.25</v>
      </c>
      <c r="J55" s="13">
        <f>I55-F55</f>
        <v>0</v>
      </c>
      <c r="K55" s="14">
        <f t="shared" si="1"/>
        <v>0</v>
      </c>
      <c r="L55" s="15">
        <f t="shared" si="10"/>
        <v>0.0020156783249590565</v>
      </c>
    </row>
    <row r="56" spans="2:12" ht="12">
      <c r="B56" s="128" t="s">
        <v>28</v>
      </c>
      <c r="C56" s="106"/>
      <c r="D56" s="95"/>
      <c r="E56" s="96"/>
      <c r="F56" s="97">
        <f>SUM(F53:F55)</f>
        <v>5.6554</v>
      </c>
      <c r="G56" s="96"/>
      <c r="H56" s="96"/>
      <c r="I56" s="97">
        <f>SUM(I53:I55)</f>
        <v>5.8507</v>
      </c>
      <c r="J56" s="97">
        <f>I56-F56</f>
        <v>0.19529999999999959</v>
      </c>
      <c r="K56" s="98">
        <f t="shared" si="1"/>
        <v>0.03453336634013502</v>
      </c>
      <c r="L56" s="125">
        <f t="shared" si="10"/>
        <v>0.04717251670335181</v>
      </c>
    </row>
    <row r="57" spans="2:12" ht="12">
      <c r="B57" s="130" t="s">
        <v>11</v>
      </c>
      <c r="C57" s="180" t="s">
        <v>9</v>
      </c>
      <c r="D57" s="112">
        <f>C24</f>
        <v>800</v>
      </c>
      <c r="E57" s="113">
        <v>0.0051</v>
      </c>
      <c r="F57" s="97">
        <f>D57*E57</f>
        <v>4.08</v>
      </c>
      <c r="G57" s="112">
        <f>D57</f>
        <v>800</v>
      </c>
      <c r="H57" s="113">
        <f>E57</f>
        <v>0.0051</v>
      </c>
      <c r="I57" s="97">
        <f>G57*H57</f>
        <v>4.08</v>
      </c>
      <c r="J57" s="97">
        <f>I57-F57</f>
        <v>0</v>
      </c>
      <c r="K57" s="98">
        <f t="shared" si="1"/>
        <v>0</v>
      </c>
      <c r="L57" s="125">
        <f t="shared" si="10"/>
        <v>0.0328958702633318</v>
      </c>
    </row>
    <row r="58" spans="2:12" ht="12">
      <c r="B58" s="131" t="s">
        <v>58</v>
      </c>
      <c r="C58" s="114"/>
      <c r="D58" s="79"/>
      <c r="E58" s="115"/>
      <c r="F58" s="116">
        <f>F34+F52+F56+F57</f>
        <v>113.39180000000002</v>
      </c>
      <c r="G58" s="115"/>
      <c r="H58" s="115"/>
      <c r="I58" s="116">
        <f>I34+I52+I56+I57</f>
        <v>121.9545</v>
      </c>
      <c r="J58" s="116">
        <f>I58-F58</f>
        <v>8.562699999999978</v>
      </c>
      <c r="K58" s="117">
        <f t="shared" si="1"/>
        <v>0.07551427881028414</v>
      </c>
      <c r="L58" s="132">
        <f t="shared" si="10"/>
        <v>0.983284169124877</v>
      </c>
    </row>
    <row r="59" spans="2:12" ht="12">
      <c r="B59" s="130" t="s">
        <v>57</v>
      </c>
      <c r="C59" s="118"/>
      <c r="D59" s="95"/>
      <c r="E59" s="119">
        <f>+Rates!$D$145</f>
        <v>0.13</v>
      </c>
      <c r="F59" s="97">
        <f>E59*F58</f>
        <v>14.740934000000003</v>
      </c>
      <c r="G59" s="96"/>
      <c r="H59" s="119">
        <f>+E59</f>
        <v>0.13</v>
      </c>
      <c r="I59" s="97">
        <f>H59*I58</f>
        <v>15.854085</v>
      </c>
      <c r="J59" s="97">
        <f>I59-F59</f>
        <v>1.1131509999999967</v>
      </c>
      <c r="K59" s="98">
        <f t="shared" si="1"/>
        <v>0.07551427881028411</v>
      </c>
      <c r="L59" s="125">
        <f t="shared" si="10"/>
        <v>0.127826941986234</v>
      </c>
    </row>
    <row r="60" spans="2:12" ht="12">
      <c r="B60" s="131" t="s">
        <v>59</v>
      </c>
      <c r="C60" s="114"/>
      <c r="D60" s="79"/>
      <c r="E60" s="115"/>
      <c r="F60" s="116">
        <f>+F58+F59</f>
        <v>128.13273400000003</v>
      </c>
      <c r="G60" s="115"/>
      <c r="H60" s="115"/>
      <c r="I60" s="116">
        <f>+I58+I59</f>
        <v>137.808585</v>
      </c>
      <c r="J60" s="116">
        <f>I60-F60</f>
        <v>9.675850999999966</v>
      </c>
      <c r="K60" s="117">
        <f>IF(ISERROR(J60/F60),0,J60/F60)</f>
        <v>0.07551427881028407</v>
      </c>
      <c r="L60" s="132">
        <f t="shared" si="10"/>
        <v>1.1111111111111112</v>
      </c>
    </row>
    <row r="61" spans="2:12" ht="12">
      <c r="B61" s="130" t="s">
        <v>61</v>
      </c>
      <c r="C61" s="118"/>
      <c r="D61" s="95"/>
      <c r="E61" s="119">
        <f>+Rates!$D$147</f>
        <v>-0.1</v>
      </c>
      <c r="F61" s="97">
        <f>E61*F60</f>
        <v>-12.813273400000003</v>
      </c>
      <c r="G61" s="96"/>
      <c r="H61" s="119">
        <f>+E61</f>
        <v>-0.1</v>
      </c>
      <c r="I61" s="97">
        <f>H61*I60</f>
        <v>-13.7808585</v>
      </c>
      <c r="J61" s="97">
        <f>I61-F61</f>
        <v>-0.9675850999999973</v>
      </c>
      <c r="K61" s="98">
        <f>IF(ISERROR(J61/F61),0,J61/F61)</f>
        <v>0.07551427881028411</v>
      </c>
      <c r="L61" s="125">
        <f t="shared" si="10"/>
        <v>-0.11111111111111112</v>
      </c>
    </row>
    <row r="62" spans="2:12" ht="12.75" thickBot="1">
      <c r="B62" s="133" t="s">
        <v>19</v>
      </c>
      <c r="C62" s="134"/>
      <c r="D62" s="135"/>
      <c r="E62" s="136"/>
      <c r="F62" s="137">
        <f>+F60+F61</f>
        <v>115.31946060000003</v>
      </c>
      <c r="G62" s="136"/>
      <c r="H62" s="136"/>
      <c r="I62" s="137">
        <f>+I60+I61</f>
        <v>124.0277265</v>
      </c>
      <c r="J62" s="137">
        <f>I62-F62</f>
        <v>8.708265899999972</v>
      </c>
      <c r="K62" s="138">
        <f>IF(ISERROR(J62/F62),0,J62/F62)</f>
        <v>0.07551427881028408</v>
      </c>
      <c r="L62" s="139">
        <f t="shared" si="10"/>
        <v>1</v>
      </c>
    </row>
    <row r="63" spans="2:12" ht="12">
      <c r="B63" s="31"/>
      <c r="C63" s="31"/>
      <c r="D63" s="61"/>
      <c r="E63" s="31"/>
      <c r="F63" s="31"/>
      <c r="G63" s="31"/>
      <c r="H63" s="31"/>
      <c r="I63" s="31"/>
      <c r="J63" s="31"/>
      <c r="K63" s="31"/>
      <c r="L63" s="31"/>
    </row>
    <row r="64" spans="2:12" ht="12">
      <c r="B64" s="31"/>
      <c r="C64" s="31"/>
      <c r="D64" s="61"/>
      <c r="E64" s="31"/>
      <c r="F64" s="31"/>
      <c r="G64" s="31"/>
      <c r="H64" s="31"/>
      <c r="I64" s="31"/>
      <c r="J64" s="31"/>
      <c r="K64" s="31"/>
      <c r="L64" s="31"/>
    </row>
    <row r="65" spans="2:12" ht="12">
      <c r="B65" s="31"/>
      <c r="C65" s="31"/>
      <c r="D65" s="61"/>
      <c r="E65" s="31"/>
      <c r="F65" s="31"/>
      <c r="G65" s="31"/>
      <c r="H65" s="31"/>
      <c r="I65" s="31"/>
      <c r="J65" s="31"/>
      <c r="K65" s="31"/>
      <c r="L65" s="31"/>
    </row>
  </sheetData>
  <sheetProtection/>
  <mergeCells count="7">
    <mergeCell ref="J30:L30"/>
    <mergeCell ref="C30:C31"/>
    <mergeCell ref="B29:B31"/>
    <mergeCell ref="D29:F29"/>
    <mergeCell ref="G29:I29"/>
    <mergeCell ref="D30:D31"/>
    <mergeCell ref="G30:G31"/>
  </mergeCells>
  <printOptions/>
  <pageMargins left="0.75" right="0.75" top="1" bottom="1" header="0.5" footer="0.5"/>
  <pageSetup fitToHeight="1" fitToWidth="1" horizontalDpi="600" verticalDpi="600" orientation="landscape" scale="63" r:id="rId1"/>
  <headerFooter alignWithMargins="0">
    <oddHeader>&amp;C&amp;"Arial,Bold"&amp;16Electricity Distribution Rate Impacts
Residential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3:M66"/>
  <sheetViews>
    <sheetView showGridLines="0" zoomScalePageLayoutView="0" workbookViewId="0" topLeftCell="A19">
      <selection activeCell="C59" sqref="C59"/>
    </sheetView>
  </sheetViews>
  <sheetFormatPr defaultColWidth="9.140625" defaultRowHeight="12.75"/>
  <cols>
    <col min="1" max="1" width="3.7109375" style="7" customWidth="1"/>
    <col min="2" max="2" width="77.57421875" style="7" customWidth="1"/>
    <col min="3" max="3" width="10.140625" style="7" customWidth="1"/>
    <col min="4" max="4" width="10.421875" style="10" bestFit="1" customWidth="1"/>
    <col min="5" max="5" width="10.00390625" style="7" bestFit="1" customWidth="1"/>
    <col min="6" max="6" width="11.8515625" style="7" bestFit="1" customWidth="1"/>
    <col min="7" max="7" width="9.28125" style="7" bestFit="1" customWidth="1"/>
    <col min="8" max="8" width="11.140625" style="7" customWidth="1"/>
    <col min="9" max="9" width="11.57421875" style="7" bestFit="1" customWidth="1"/>
    <col min="10" max="10" width="10.57421875" style="7" bestFit="1" customWidth="1"/>
    <col min="11" max="11" width="9.28125" style="7" bestFit="1" customWidth="1"/>
    <col min="12" max="12" width="11.7109375" style="7" bestFit="1" customWidth="1"/>
    <col min="13" max="16384" width="9.140625" style="7" customWidth="1"/>
  </cols>
  <sheetData>
    <row r="2" ht="12.75" thickBot="1"/>
    <row r="3" spans="2:13" ht="36">
      <c r="B3" s="67" t="str">
        <f>Rates!A5</f>
        <v>Residential</v>
      </c>
      <c r="C3" s="68" t="str">
        <f>Rates!B4</f>
        <v>Metric</v>
      </c>
      <c r="D3" s="69" t="str">
        <f>Rates!D4</f>
        <v>Current Approved Rates</v>
      </c>
      <c r="E3" s="70" t="str">
        <f>Rates!F4</f>
        <v>Proposed Rates</v>
      </c>
      <c r="F3" s="31"/>
      <c r="G3" s="31"/>
      <c r="H3" s="31"/>
      <c r="I3" s="31"/>
      <c r="J3" s="31"/>
      <c r="K3" s="31"/>
      <c r="L3" s="31"/>
      <c r="M3" s="31"/>
    </row>
    <row r="4" spans="2:13" ht="12">
      <c r="B4" s="71" t="str">
        <f>Rates!A6</f>
        <v>Monthly Service Charge</v>
      </c>
      <c r="C4" s="64" t="str">
        <f>Rates!B6</f>
        <v>$</v>
      </c>
      <c r="D4" s="65">
        <f>Rates!D6</f>
        <v>18.17</v>
      </c>
      <c r="E4" s="72">
        <f>Rates!F6</f>
        <v>20</v>
      </c>
      <c r="F4" s="31"/>
      <c r="G4" s="31"/>
      <c r="H4" s="31"/>
      <c r="I4" s="31"/>
      <c r="J4" s="31"/>
      <c r="K4" s="31"/>
      <c r="L4" s="31"/>
      <c r="M4" s="31"/>
    </row>
    <row r="5" spans="2:13" ht="12">
      <c r="B5" s="71" t="str">
        <f>Rates!A7</f>
        <v>Monthly Service Charge Rate Rider</v>
      </c>
      <c r="C5" s="64" t="str">
        <f>Rates!B7</f>
        <v>$</v>
      </c>
      <c r="D5" s="65">
        <f>Rates!D7</f>
        <v>0</v>
      </c>
      <c r="E5" s="72">
        <f>Rates!F7</f>
        <v>0</v>
      </c>
      <c r="F5" s="31"/>
      <c r="G5" s="31"/>
      <c r="H5" s="31"/>
      <c r="I5" s="31"/>
      <c r="J5" s="31"/>
      <c r="K5" s="31"/>
      <c r="L5" s="31"/>
      <c r="M5" s="31"/>
    </row>
    <row r="6" spans="2:13" ht="12">
      <c r="B6" s="71" t="str">
        <f>Rates!A8</f>
        <v>Smart Meter Rate Rider</v>
      </c>
      <c r="C6" s="64" t="str">
        <f>Rates!B8</f>
        <v>$</v>
      </c>
      <c r="D6" s="65">
        <f>Rates!D8</f>
        <v>0</v>
      </c>
      <c r="E6" s="72">
        <f>Rates!F8</f>
        <v>0</v>
      </c>
      <c r="F6" s="31"/>
      <c r="G6" s="31"/>
      <c r="H6" s="31"/>
      <c r="I6" s="31"/>
      <c r="J6" s="31"/>
      <c r="K6" s="31"/>
      <c r="L6" s="31"/>
      <c r="M6" s="31"/>
    </row>
    <row r="7" spans="2:13" ht="12">
      <c r="B7" s="71" t="str">
        <f>Rates!A9</f>
        <v>Distribution Volumetric Rate</v>
      </c>
      <c r="C7" s="64" t="str">
        <f>Rates!B9</f>
        <v>$/kWh</v>
      </c>
      <c r="D7" s="66">
        <f>Rates!D9</f>
        <v>0.0152</v>
      </c>
      <c r="E7" s="73">
        <f>Rates!F9</f>
        <v>0.0189</v>
      </c>
      <c r="F7" s="31"/>
      <c r="G7" s="31"/>
      <c r="H7" s="31"/>
      <c r="I7" s="31"/>
      <c r="J7" s="31"/>
      <c r="K7" s="31"/>
      <c r="L7" s="31"/>
      <c r="M7" s="31"/>
    </row>
    <row r="8" spans="2:13" ht="12">
      <c r="B8" s="71" t="str">
        <f>Rates!A10</f>
        <v>Distribution Volumetric Rate Rider</v>
      </c>
      <c r="C8" s="64" t="str">
        <f>Rates!B10</f>
        <v>$/kWh</v>
      </c>
      <c r="D8" s="66">
        <f>Rates!D10</f>
        <v>0</v>
      </c>
      <c r="E8" s="73">
        <f>Rates!F10</f>
        <v>0</v>
      </c>
      <c r="F8" s="31"/>
      <c r="G8" s="31"/>
      <c r="H8" s="31"/>
      <c r="I8" s="31"/>
      <c r="J8" s="31"/>
      <c r="K8" s="31"/>
      <c r="L8" s="31"/>
      <c r="M8" s="31"/>
    </row>
    <row r="9" spans="2:13" ht="12">
      <c r="B9" s="71" t="str">
        <f>Rates!A11</f>
        <v>Low Voltage Service Rate</v>
      </c>
      <c r="C9" s="64" t="str">
        <f>Rates!B11</f>
        <v>$/kWh</v>
      </c>
      <c r="D9" s="66">
        <f>Rates!D11</f>
        <v>0.0016</v>
      </c>
      <c r="E9" s="73">
        <f>Rates!F11</f>
        <v>0.0015</v>
      </c>
      <c r="F9" s="31"/>
      <c r="G9" s="31"/>
      <c r="H9" s="31"/>
      <c r="I9" s="31"/>
      <c r="J9" s="31"/>
      <c r="K9" s="31"/>
      <c r="L9" s="31"/>
      <c r="M9" s="31"/>
    </row>
    <row r="10" spans="2:13" ht="12">
      <c r="B10" s="71" t="str">
        <f>Rates!A12</f>
        <v>Rate Rider for Deferral/Variance Account Disposition (2012) - effective until April 30, 2013</v>
      </c>
      <c r="C10" s="64" t="str">
        <f>Rates!B12</f>
        <v>$/kWh</v>
      </c>
      <c r="D10" s="66">
        <f>Rates!D12</f>
        <v>0</v>
      </c>
      <c r="E10" s="73">
        <f>Rates!F12</f>
        <v>0</v>
      </c>
      <c r="F10" s="31"/>
      <c r="G10" s="31"/>
      <c r="H10" s="31"/>
      <c r="I10" s="31"/>
      <c r="J10" s="31"/>
      <c r="K10" s="31"/>
      <c r="L10" s="31"/>
      <c r="M10" s="31"/>
    </row>
    <row r="11" spans="2:13" ht="12">
      <c r="B11" s="71" t="str">
        <f>Rates!A13</f>
        <v>Rate Rider for Deferral/Variance Account Disposition (2013) - effective until December 31, 2013</v>
      </c>
      <c r="C11" s="64" t="str">
        <f>Rates!B13</f>
        <v>$/kWh</v>
      </c>
      <c r="D11" s="66">
        <f>Rates!D13</f>
        <v>0</v>
      </c>
      <c r="E11" s="73">
        <f>Rates!F13</f>
        <v>-0.0019</v>
      </c>
      <c r="F11" s="31"/>
      <c r="G11" s="31"/>
      <c r="H11" s="31"/>
      <c r="I11" s="31"/>
      <c r="J11" s="31"/>
      <c r="K11" s="31"/>
      <c r="L11" s="31"/>
      <c r="M11" s="31"/>
    </row>
    <row r="12" spans="2:13" ht="24">
      <c r="B12" s="71" t="str">
        <f>Rates!A14</f>
        <v>Rate Rider for Global Adjustment Sub-Account Disposition (2012) - effective until April 30, 2013 Applicable only for Non-RPP Customers</v>
      </c>
      <c r="C12" s="64" t="str">
        <f>Rates!B14</f>
        <v>$/kWh</v>
      </c>
      <c r="D12" s="66">
        <f>Rates!D14</f>
        <v>0</v>
      </c>
      <c r="E12" s="73">
        <f>Rates!F14</f>
        <v>0</v>
      </c>
      <c r="F12" s="31"/>
      <c r="G12" s="31"/>
      <c r="H12" s="31"/>
      <c r="I12" s="31"/>
      <c r="J12" s="31"/>
      <c r="K12" s="31"/>
      <c r="L12" s="31"/>
      <c r="M12" s="31"/>
    </row>
    <row r="13" spans="2:13" ht="24">
      <c r="B13" s="71" t="str">
        <f>Rates!A15</f>
        <v>Rate Rider for Global Adjustment Sub-Account Disposition (2013) - effective until December 31, 2013 Applicable only for Non-RPP Customers</v>
      </c>
      <c r="C13" s="64" t="str">
        <f>Rates!B15</f>
        <v>$/kWh</v>
      </c>
      <c r="D13" s="66">
        <f>Rates!D15</f>
        <v>0</v>
      </c>
      <c r="E13" s="73">
        <f>Rates!F15</f>
        <v>0.0043</v>
      </c>
      <c r="F13" s="31"/>
      <c r="G13" s="31"/>
      <c r="H13" s="31"/>
      <c r="I13" s="31"/>
      <c r="J13" s="31"/>
      <c r="K13" s="31"/>
      <c r="L13" s="31"/>
      <c r="M13" s="31"/>
    </row>
    <row r="14" spans="2:13" ht="12">
      <c r="B14" s="71" t="str">
        <f>Rates!A16</f>
        <v>Rate Rider for Tax Change - effective until April 30, 2013</v>
      </c>
      <c r="C14" s="64" t="str">
        <f>Rates!B16</f>
        <v>$/kWh</v>
      </c>
      <c r="D14" s="66">
        <f>Rates!D16</f>
        <v>-0.0005</v>
      </c>
      <c r="E14" s="73">
        <f>Rates!F16</f>
        <v>-0.0005</v>
      </c>
      <c r="F14" s="31"/>
      <c r="G14" s="31"/>
      <c r="H14" s="31"/>
      <c r="I14" s="31"/>
      <c r="J14" s="31"/>
      <c r="K14" s="31"/>
      <c r="L14" s="31"/>
      <c r="M14" s="31"/>
    </row>
    <row r="15" spans="2:13" ht="12">
      <c r="B15" s="71" t="str">
        <f>Rates!A17</f>
        <v>Rate Rider for Tax Change - effective until December 31, 2013</v>
      </c>
      <c r="C15" s="64" t="str">
        <f>Rates!B17</f>
        <v>$/kWh</v>
      </c>
      <c r="D15" s="66">
        <f>Rates!D17</f>
        <v>0</v>
      </c>
      <c r="E15" s="73">
        <f>Rates!F17</f>
        <v>0</v>
      </c>
      <c r="F15" s="31"/>
      <c r="G15" s="31"/>
      <c r="H15" s="31"/>
      <c r="I15" s="31"/>
      <c r="J15" s="31"/>
      <c r="K15" s="31"/>
      <c r="L15" s="31"/>
      <c r="M15" s="31"/>
    </row>
    <row r="16" spans="2:13" ht="12">
      <c r="B16" s="71" t="str">
        <f>Rates!A18</f>
        <v>Rate Rider for Stranded Meters - effective until December 31, 2013</v>
      </c>
      <c r="C16" s="64" t="str">
        <f>Rates!B18</f>
        <v>$</v>
      </c>
      <c r="D16" s="65">
        <f>Rates!D18</f>
        <v>0</v>
      </c>
      <c r="E16" s="72">
        <f>Rates!F18</f>
        <v>1.5</v>
      </c>
      <c r="F16" s="31"/>
      <c r="G16" s="31"/>
      <c r="H16" s="31"/>
      <c r="I16" s="31"/>
      <c r="J16" s="31"/>
      <c r="K16" s="31"/>
      <c r="L16" s="31"/>
      <c r="M16" s="31"/>
    </row>
    <row r="17" spans="2:13" ht="12">
      <c r="B17" s="71" t="str">
        <f>Rates!A19</f>
        <v>Rate Rider for Smart Meter Disposition - effective until December 31, 2013</v>
      </c>
      <c r="C17" s="64" t="str">
        <f>Rates!B19</f>
        <v>$</v>
      </c>
      <c r="D17" s="65">
        <f>Rates!D19</f>
        <v>0</v>
      </c>
      <c r="E17" s="72">
        <f>Rates!F19</f>
        <v>1.04</v>
      </c>
      <c r="F17" s="31"/>
      <c r="G17" s="31"/>
      <c r="H17" s="31"/>
      <c r="I17" s="31"/>
      <c r="J17" s="31"/>
      <c r="K17" s="31"/>
      <c r="L17" s="31"/>
      <c r="M17" s="31"/>
    </row>
    <row r="18" spans="2:13" ht="12">
      <c r="B18" s="71" t="str">
        <f>Rates!A20</f>
        <v>Rate Rider for PILS - effective until December 31, 2014</v>
      </c>
      <c r="C18" s="64" t="str">
        <f>Rates!B20</f>
        <v>$/kWh</v>
      </c>
      <c r="D18" s="66">
        <f>Rates!D20</f>
        <v>0</v>
      </c>
      <c r="E18" s="73">
        <f>Rates!F20</f>
        <v>-0.00086</v>
      </c>
      <c r="F18" s="31"/>
      <c r="G18" s="31"/>
      <c r="H18" s="31"/>
      <c r="I18" s="31"/>
      <c r="J18" s="31"/>
      <c r="K18" s="31"/>
      <c r="L18" s="31"/>
      <c r="M18" s="31"/>
    </row>
    <row r="19" spans="2:13" ht="12">
      <c r="B19" s="71" t="str">
        <f>Rates!A21</f>
        <v>Retail Transmission Rate - Network Service Rate</v>
      </c>
      <c r="C19" s="64" t="str">
        <f>Rates!B21</f>
        <v>$/kWh</v>
      </c>
      <c r="D19" s="66">
        <f>Rates!D21</f>
        <v>0.0043</v>
      </c>
      <c r="E19" s="73">
        <f>Rates!F21</f>
        <v>0.0046</v>
      </c>
      <c r="F19" s="31"/>
      <c r="G19" s="31"/>
      <c r="H19" s="31"/>
      <c r="I19" s="31"/>
      <c r="J19" s="31"/>
      <c r="K19" s="31"/>
      <c r="L19" s="31"/>
      <c r="M19" s="31"/>
    </row>
    <row r="20" spans="2:13" ht="12">
      <c r="B20" s="71" t="str">
        <f>Rates!A22</f>
        <v>Retail Transmission Rate - Line and Transformation Connection Service Rate</v>
      </c>
      <c r="C20" s="64" t="str">
        <f>Rates!B22</f>
        <v>$/kWh</v>
      </c>
      <c r="D20" s="66">
        <f>Rates!D22</f>
        <v>0.0035</v>
      </c>
      <c r="E20" s="73">
        <f>Rates!F22</f>
        <v>0.0036</v>
      </c>
      <c r="F20" s="31"/>
      <c r="G20" s="31"/>
      <c r="H20" s="31"/>
      <c r="I20" s="31"/>
      <c r="J20" s="31"/>
      <c r="K20" s="31"/>
      <c r="L20" s="31"/>
      <c r="M20" s="31"/>
    </row>
    <row r="21" spans="2:13" ht="12.75" thickBot="1">
      <c r="B21" s="71" t="str">
        <f>Rates!A23</f>
        <v>Wholesale Market Service Rate</v>
      </c>
      <c r="C21" s="64" t="str">
        <f>Rates!B23</f>
        <v>$/kWh</v>
      </c>
      <c r="D21" s="66">
        <f>Rates!D23</f>
        <v>0.0052</v>
      </c>
      <c r="E21" s="73">
        <f>Rates!F23</f>
        <v>0.0052</v>
      </c>
      <c r="F21" s="31"/>
      <c r="G21" s="31"/>
      <c r="H21" s="31"/>
      <c r="I21" s="31"/>
      <c r="J21" s="31"/>
      <c r="K21" s="31"/>
      <c r="L21" s="31"/>
      <c r="M21" s="31"/>
    </row>
    <row r="22" spans="2:13" ht="12">
      <c r="B22" s="71" t="str">
        <f>Rates!A24</f>
        <v>Rural Rate Protection Charge</v>
      </c>
      <c r="C22" s="64" t="str">
        <f>Rates!B24</f>
        <v>$/kWh</v>
      </c>
      <c r="D22" s="66">
        <f>Rates!D24</f>
        <v>0.0011</v>
      </c>
      <c r="E22" s="73">
        <f>Rates!F24</f>
        <v>0.0011</v>
      </c>
      <c r="F22" s="31"/>
      <c r="G22" s="31"/>
      <c r="H22" s="160"/>
      <c r="I22" s="152" t="s">
        <v>72</v>
      </c>
      <c r="J22" s="161" t="s">
        <v>90</v>
      </c>
      <c r="K22" s="31"/>
      <c r="L22" s="31"/>
      <c r="M22" s="31"/>
    </row>
    <row r="23" spans="2:13" ht="12.75" thickBot="1">
      <c r="B23" s="74" t="str">
        <f>Rates!A25</f>
        <v>Standard Supply Service - Administrative Charge (if applicable)</v>
      </c>
      <c r="C23" s="75" t="str">
        <f>Rates!B25</f>
        <v>$</v>
      </c>
      <c r="D23" s="76">
        <f>Rates!D25</f>
        <v>0.25</v>
      </c>
      <c r="E23" s="77">
        <f>Rates!F25</f>
        <v>0.25</v>
      </c>
      <c r="F23" s="31"/>
      <c r="G23" s="31"/>
      <c r="H23" s="162" t="s">
        <v>13</v>
      </c>
      <c r="I23" s="135">
        <f>Rates!$D$134</f>
        <v>1.0719</v>
      </c>
      <c r="J23" s="163">
        <f>Rates!$F$134</f>
        <v>1.1113</v>
      </c>
      <c r="K23" s="31"/>
      <c r="L23" s="31"/>
      <c r="M23" s="31"/>
    </row>
    <row r="24" spans="2:13" ht="12">
      <c r="B24" s="60"/>
      <c r="C24" s="61"/>
      <c r="D24" s="62"/>
      <c r="E24" s="62"/>
      <c r="F24" s="31"/>
      <c r="G24" s="31"/>
      <c r="H24" s="31"/>
      <c r="I24" s="31"/>
      <c r="J24" s="31"/>
      <c r="K24" s="31"/>
      <c r="L24" s="31"/>
      <c r="M24" s="31"/>
    </row>
    <row r="25" spans="2:13" ht="12.75" thickBot="1">
      <c r="B25" s="31"/>
      <c r="C25" s="6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2:13" ht="13.5" thickBot="1">
      <c r="B26" s="80" t="s">
        <v>88</v>
      </c>
      <c r="C26" s="81">
        <v>800</v>
      </c>
      <c r="D26" s="89" t="s">
        <v>15</v>
      </c>
      <c r="E26" s="88"/>
      <c r="F26" s="87" t="s">
        <v>16</v>
      </c>
      <c r="G26" s="31"/>
      <c r="H26" s="170">
        <f>C26</f>
        <v>800</v>
      </c>
      <c r="I26" s="89" t="s">
        <v>15</v>
      </c>
      <c r="J26" s="172">
        <f>E26</f>
        <v>0</v>
      </c>
      <c r="K26" s="87" t="s">
        <v>16</v>
      </c>
      <c r="L26" s="31"/>
      <c r="M26" s="31"/>
    </row>
    <row r="27" spans="2:13" ht="12.75">
      <c r="B27" s="82" t="s">
        <v>53</v>
      </c>
      <c r="C27" s="78">
        <f>ROUND(C26*I23-C26,0)</f>
        <v>58</v>
      </c>
      <c r="D27" s="83" t="s">
        <v>15</v>
      </c>
      <c r="E27" s="31"/>
      <c r="F27" s="32"/>
      <c r="G27" s="31"/>
      <c r="H27" s="78">
        <f>ROUND(H26*J23-H26,0)</f>
        <v>89</v>
      </c>
      <c r="I27" s="83" t="s">
        <v>15</v>
      </c>
      <c r="J27" s="31"/>
      <c r="K27" s="32"/>
      <c r="L27" s="31"/>
      <c r="M27" s="31"/>
    </row>
    <row r="28" spans="2:13" ht="13.5" thickBot="1">
      <c r="B28" s="84" t="s">
        <v>54</v>
      </c>
      <c r="C28" s="85">
        <f>+C26+C27</f>
        <v>858</v>
      </c>
      <c r="D28" s="86" t="s">
        <v>15</v>
      </c>
      <c r="E28" s="33"/>
      <c r="F28" s="32"/>
      <c r="G28" s="31"/>
      <c r="H28" s="85">
        <f>+H26+H27</f>
        <v>889</v>
      </c>
      <c r="I28" s="86" t="s">
        <v>15</v>
      </c>
      <c r="J28" s="33"/>
      <c r="K28" s="32"/>
      <c r="L28" s="31"/>
      <c r="M28" s="31"/>
    </row>
    <row r="29" spans="2:13" ht="12.75" thickBot="1">
      <c r="B29" s="31"/>
      <c r="C29" s="31"/>
      <c r="D29" s="61"/>
      <c r="E29" s="31"/>
      <c r="F29" s="31"/>
      <c r="G29" s="31"/>
      <c r="H29" s="31"/>
      <c r="I29" s="31"/>
      <c r="J29" s="31"/>
      <c r="K29" s="31"/>
      <c r="L29" s="31"/>
      <c r="M29" s="31"/>
    </row>
    <row r="30" spans="2:13" ht="13.5" customHeight="1">
      <c r="B30" s="188" t="str">
        <f>B3</f>
        <v>Residential</v>
      </c>
      <c r="C30" s="120"/>
      <c r="D30" s="190" t="str">
        <f>+D3</f>
        <v>Current Approved Rates</v>
      </c>
      <c r="E30" s="190"/>
      <c r="F30" s="190"/>
      <c r="G30" s="190" t="str">
        <f>+E3</f>
        <v>Proposed Rates</v>
      </c>
      <c r="H30" s="190"/>
      <c r="I30" s="190"/>
      <c r="J30" s="120"/>
      <c r="K30" s="120"/>
      <c r="L30" s="121"/>
      <c r="M30" s="31"/>
    </row>
    <row r="31" spans="2:13" ht="12.75" customHeight="1">
      <c r="B31" s="189"/>
      <c r="C31" s="186" t="str">
        <f>+C3</f>
        <v>Metric</v>
      </c>
      <c r="D31" s="186" t="s">
        <v>55</v>
      </c>
      <c r="E31" s="92" t="s">
        <v>23</v>
      </c>
      <c r="F31" s="92" t="s">
        <v>24</v>
      </c>
      <c r="G31" s="186" t="s">
        <v>55</v>
      </c>
      <c r="H31" s="92" t="s">
        <v>23</v>
      </c>
      <c r="I31" s="92" t="s">
        <v>24</v>
      </c>
      <c r="J31" s="184" t="s">
        <v>30</v>
      </c>
      <c r="K31" s="184"/>
      <c r="L31" s="185"/>
      <c r="M31" s="31"/>
    </row>
    <row r="32" spans="2:13" ht="12" customHeight="1">
      <c r="B32" s="189"/>
      <c r="C32" s="187"/>
      <c r="D32" s="187"/>
      <c r="E32" s="92" t="s">
        <v>8</v>
      </c>
      <c r="F32" s="92" t="s">
        <v>8</v>
      </c>
      <c r="G32" s="187"/>
      <c r="H32" s="92" t="s">
        <v>8</v>
      </c>
      <c r="I32" s="92" t="s">
        <v>8</v>
      </c>
      <c r="J32" s="92" t="s">
        <v>8</v>
      </c>
      <c r="K32" s="141" t="s">
        <v>12</v>
      </c>
      <c r="L32" s="122" t="s">
        <v>20</v>
      </c>
      <c r="M32" s="31"/>
    </row>
    <row r="33" spans="2:13" ht="12">
      <c r="B33" s="145" t="s">
        <v>68</v>
      </c>
      <c r="C33" s="142" t="str">
        <f>+Rates!B142</f>
        <v>$/kWh</v>
      </c>
      <c r="D33" s="112">
        <f>+$C$28</f>
        <v>858</v>
      </c>
      <c r="E33" s="113">
        <f>Rates!D142</f>
        <v>0.035</v>
      </c>
      <c r="F33" s="143">
        <f>D33*E33</f>
        <v>30.03</v>
      </c>
      <c r="G33" s="112">
        <f>+$H$28</f>
        <v>889</v>
      </c>
      <c r="H33" s="113">
        <f>+E33</f>
        <v>0.035</v>
      </c>
      <c r="I33" s="143">
        <f>G33*H33</f>
        <v>31.115000000000002</v>
      </c>
      <c r="J33" s="97">
        <f>I33-F33</f>
        <v>1.0850000000000009</v>
      </c>
      <c r="K33" s="98">
        <f>IF(ISERROR(J33/F33),1,J33/F33)</f>
        <v>0.036130536130536156</v>
      </c>
      <c r="L33" s="125">
        <f>IF(ISERROR(I33/I$62),0,I33/I$62)</f>
        <v>0.2228008352793648</v>
      </c>
      <c r="M33" s="31"/>
    </row>
    <row r="34" spans="2:13" ht="12">
      <c r="B34" s="145" t="s">
        <v>67</v>
      </c>
      <c r="C34" s="142" t="str">
        <f>+Rates!B143</f>
        <v>$/kWh</v>
      </c>
      <c r="D34" s="112">
        <f>+$C$28</f>
        <v>858</v>
      </c>
      <c r="E34" s="113">
        <f>Rates!D143</f>
        <v>0.04</v>
      </c>
      <c r="F34" s="97">
        <f>D34*E34</f>
        <v>34.32</v>
      </c>
      <c r="G34" s="112">
        <f>+$H$28</f>
        <v>889</v>
      </c>
      <c r="H34" s="113">
        <f>+E34</f>
        <v>0.04</v>
      </c>
      <c r="I34" s="97">
        <f>G34*H34</f>
        <v>35.56</v>
      </c>
      <c r="J34" s="97">
        <f>I34-F34</f>
        <v>1.240000000000002</v>
      </c>
      <c r="K34" s="98">
        <f>IF(ISERROR(J34/F34),1,J34/F34)</f>
        <v>0.03613053613053619</v>
      </c>
      <c r="L34" s="125">
        <f>IF(ISERROR(I34/I$62),0,I34/I$62)</f>
        <v>0.25462952603355976</v>
      </c>
      <c r="M34" s="31"/>
    </row>
    <row r="35" spans="2:13" ht="12">
      <c r="B35" s="24" t="str">
        <f aca="true" t="shared" si="0" ref="B35:B40">B4</f>
        <v>Monthly Service Charge</v>
      </c>
      <c r="C35" s="27" t="str">
        <f aca="true" t="shared" si="1" ref="C35:C40">+C4</f>
        <v>$</v>
      </c>
      <c r="D35" s="144">
        <v>1</v>
      </c>
      <c r="E35" s="93">
        <f aca="true" t="shared" si="2" ref="E35:E40">D4</f>
        <v>18.17</v>
      </c>
      <c r="F35" s="93">
        <f>D35*E35</f>
        <v>18.17</v>
      </c>
      <c r="G35" s="64">
        <f aca="true" t="shared" si="3" ref="G35:G49">+D35</f>
        <v>1</v>
      </c>
      <c r="H35" s="93">
        <f aca="true" t="shared" si="4" ref="H35:H40">E4</f>
        <v>20</v>
      </c>
      <c r="I35" s="93">
        <f>G35*H35</f>
        <v>20</v>
      </c>
      <c r="J35" s="13">
        <f aca="true" t="shared" si="5" ref="J35:J62">I35-F35</f>
        <v>1.8299999999999983</v>
      </c>
      <c r="K35" s="14">
        <f aca="true" t="shared" si="6" ref="K35:K62">IF(ISERROR(J35/F35),0,J35/F35)</f>
        <v>0.10071546505228388</v>
      </c>
      <c r="L35" s="15">
        <f>IF(ISERROR(I35/I$62),0,I35/I$62)</f>
        <v>0.14321120699300324</v>
      </c>
      <c r="M35" s="31"/>
    </row>
    <row r="36" spans="2:13" ht="12">
      <c r="B36" s="24" t="str">
        <f t="shared" si="0"/>
        <v>Monthly Service Charge Rate Rider</v>
      </c>
      <c r="C36" s="27" t="str">
        <f t="shared" si="1"/>
        <v>$</v>
      </c>
      <c r="D36" s="11">
        <f>D35</f>
        <v>1</v>
      </c>
      <c r="E36" s="93">
        <f t="shared" si="2"/>
        <v>0</v>
      </c>
      <c r="F36" s="13">
        <f aca="true" t="shared" si="7" ref="F36:F49">D36*E36</f>
        <v>0</v>
      </c>
      <c r="G36" s="64">
        <f t="shared" si="3"/>
        <v>1</v>
      </c>
      <c r="H36" s="93">
        <f t="shared" si="4"/>
        <v>0</v>
      </c>
      <c r="I36" s="13">
        <f aca="true" t="shared" si="8" ref="I36:I49">G36*H36</f>
        <v>0</v>
      </c>
      <c r="J36" s="13">
        <f t="shared" si="5"/>
        <v>0</v>
      </c>
      <c r="K36" s="14">
        <f t="shared" si="6"/>
        <v>0</v>
      </c>
      <c r="L36" s="15">
        <f>IF(ISERROR(I36/I$62),0,I36/I$62)</f>
        <v>0</v>
      </c>
      <c r="M36" s="31"/>
    </row>
    <row r="37" spans="2:13" ht="12">
      <c r="B37" s="24" t="str">
        <f t="shared" si="0"/>
        <v>Smart Meter Rate Rider</v>
      </c>
      <c r="C37" s="27" t="str">
        <f t="shared" si="1"/>
        <v>$</v>
      </c>
      <c r="D37" s="11">
        <f>D35</f>
        <v>1</v>
      </c>
      <c r="E37" s="93">
        <f t="shared" si="2"/>
        <v>0</v>
      </c>
      <c r="F37" s="13">
        <f t="shared" si="7"/>
        <v>0</v>
      </c>
      <c r="G37" s="64">
        <f t="shared" si="3"/>
        <v>1</v>
      </c>
      <c r="H37" s="93">
        <f t="shared" si="4"/>
        <v>0</v>
      </c>
      <c r="I37" s="13">
        <f t="shared" si="8"/>
        <v>0</v>
      </c>
      <c r="J37" s="13">
        <f t="shared" si="5"/>
        <v>0</v>
      </c>
      <c r="K37" s="14">
        <f t="shared" si="6"/>
        <v>0</v>
      </c>
      <c r="L37" s="15">
        <f>IF(ISERROR(I37/I$62),0,I37/I$62)</f>
        <v>0</v>
      </c>
      <c r="M37" s="31"/>
    </row>
    <row r="38" spans="2:13" ht="12">
      <c r="B38" s="24" t="str">
        <f t="shared" si="0"/>
        <v>Distribution Volumetric Rate</v>
      </c>
      <c r="C38" s="27" t="str">
        <f t="shared" si="1"/>
        <v>$/kWh</v>
      </c>
      <c r="D38" s="11">
        <f aca="true" t="shared" si="9" ref="D38:D49">+$C$26</f>
        <v>800</v>
      </c>
      <c r="E38" s="93">
        <f t="shared" si="2"/>
        <v>0.0152</v>
      </c>
      <c r="F38" s="13">
        <f t="shared" si="7"/>
        <v>12.16</v>
      </c>
      <c r="G38" s="64">
        <f t="shared" si="3"/>
        <v>800</v>
      </c>
      <c r="H38" s="93">
        <f t="shared" si="4"/>
        <v>0.0189</v>
      </c>
      <c r="I38" s="13">
        <f t="shared" si="8"/>
        <v>15.120000000000001</v>
      </c>
      <c r="J38" s="13">
        <f aca="true" t="shared" si="10" ref="J38:J43">I38-F38</f>
        <v>2.960000000000001</v>
      </c>
      <c r="K38" s="14">
        <f aca="true" t="shared" si="11" ref="K38:K43">IF(ISERROR(J38/F38),0,J38/F38)</f>
        <v>0.243421052631579</v>
      </c>
      <c r="L38" s="15">
        <f aca="true" t="shared" si="12" ref="L38:L43">IF(ISERROR(I38/I$62),0,I38/I$62)</f>
        <v>0.10826767248671046</v>
      </c>
      <c r="M38" s="31"/>
    </row>
    <row r="39" spans="2:13" ht="12">
      <c r="B39" s="24" t="str">
        <f t="shared" si="0"/>
        <v>Distribution Volumetric Rate Rider</v>
      </c>
      <c r="C39" s="27" t="str">
        <f t="shared" si="1"/>
        <v>$/kWh</v>
      </c>
      <c r="D39" s="11">
        <f t="shared" si="9"/>
        <v>800</v>
      </c>
      <c r="E39" s="93">
        <f t="shared" si="2"/>
        <v>0</v>
      </c>
      <c r="F39" s="13">
        <f t="shared" si="7"/>
        <v>0</v>
      </c>
      <c r="G39" s="64">
        <f t="shared" si="3"/>
        <v>800</v>
      </c>
      <c r="H39" s="93">
        <f t="shared" si="4"/>
        <v>0</v>
      </c>
      <c r="I39" s="13">
        <f t="shared" si="8"/>
        <v>0</v>
      </c>
      <c r="J39" s="13">
        <f t="shared" si="10"/>
        <v>0</v>
      </c>
      <c r="K39" s="14">
        <f t="shared" si="11"/>
        <v>0</v>
      </c>
      <c r="L39" s="15">
        <f t="shared" si="12"/>
        <v>0</v>
      </c>
      <c r="M39" s="31"/>
    </row>
    <row r="40" spans="2:13" ht="12">
      <c r="B40" s="24" t="str">
        <f t="shared" si="0"/>
        <v>Low Voltage Service Rate</v>
      </c>
      <c r="C40" s="27" t="str">
        <f t="shared" si="1"/>
        <v>$/kWh</v>
      </c>
      <c r="D40" s="11">
        <f t="shared" si="9"/>
        <v>800</v>
      </c>
      <c r="E40" s="93">
        <f t="shared" si="2"/>
        <v>0.0016</v>
      </c>
      <c r="F40" s="13">
        <f>D40*E40</f>
        <v>1.28</v>
      </c>
      <c r="G40" s="64">
        <f>+D40</f>
        <v>800</v>
      </c>
      <c r="H40" s="93">
        <f t="shared" si="4"/>
        <v>0.0015</v>
      </c>
      <c r="I40" s="13">
        <f>G40*H40</f>
        <v>1.2</v>
      </c>
      <c r="J40" s="13">
        <f>I40-F40</f>
        <v>-0.08000000000000007</v>
      </c>
      <c r="K40" s="14">
        <f>IF(ISERROR(J40/F40),0,J40/F40)</f>
        <v>-0.06250000000000006</v>
      </c>
      <c r="L40" s="15">
        <f>IF(ISERROR(I40/I$62),0,I40/I$62)</f>
        <v>0.008592672419580194</v>
      </c>
      <c r="M40" s="31"/>
    </row>
    <row r="41" spans="2:13" ht="12">
      <c r="B41" s="24" t="str">
        <f aca="true" t="shared" si="13" ref="B41:B49">B10</f>
        <v>Rate Rider for Deferral/Variance Account Disposition (2012) - effective until April 30, 2013</v>
      </c>
      <c r="C41" s="27" t="str">
        <f aca="true" t="shared" si="14" ref="C41:C49">+C10</f>
        <v>$/kWh</v>
      </c>
      <c r="D41" s="11">
        <f t="shared" si="9"/>
        <v>800</v>
      </c>
      <c r="E41" s="93">
        <f aca="true" t="shared" si="15" ref="E41:E49">D10</f>
        <v>0</v>
      </c>
      <c r="F41" s="13">
        <f t="shared" si="7"/>
        <v>0</v>
      </c>
      <c r="G41" s="64">
        <f t="shared" si="3"/>
        <v>800</v>
      </c>
      <c r="H41" s="93">
        <f aca="true" t="shared" si="16" ref="H41:H49">E10</f>
        <v>0</v>
      </c>
      <c r="I41" s="13">
        <f t="shared" si="8"/>
        <v>0</v>
      </c>
      <c r="J41" s="13">
        <f t="shared" si="10"/>
        <v>0</v>
      </c>
      <c r="K41" s="14">
        <f t="shared" si="11"/>
        <v>0</v>
      </c>
      <c r="L41" s="15">
        <f t="shared" si="12"/>
        <v>0</v>
      </c>
      <c r="M41" s="31"/>
    </row>
    <row r="42" spans="2:13" ht="12">
      <c r="B42" s="24" t="str">
        <f t="shared" si="13"/>
        <v>Rate Rider for Deferral/Variance Account Disposition (2013) - effective until December 31, 2013</v>
      </c>
      <c r="C42" s="27" t="str">
        <f t="shared" si="14"/>
        <v>$/kWh</v>
      </c>
      <c r="D42" s="11">
        <f t="shared" si="9"/>
        <v>800</v>
      </c>
      <c r="E42" s="93">
        <f t="shared" si="15"/>
        <v>0</v>
      </c>
      <c r="F42" s="13">
        <f t="shared" si="7"/>
        <v>0</v>
      </c>
      <c r="G42" s="64">
        <f t="shared" si="3"/>
        <v>800</v>
      </c>
      <c r="H42" s="93">
        <f t="shared" si="16"/>
        <v>-0.0019</v>
      </c>
      <c r="I42" s="13">
        <f t="shared" si="8"/>
        <v>-1.52</v>
      </c>
      <c r="J42" s="13">
        <f t="shared" si="10"/>
        <v>-1.52</v>
      </c>
      <c r="K42" s="14">
        <f t="shared" si="11"/>
        <v>0</v>
      </c>
      <c r="L42" s="15">
        <f t="shared" si="12"/>
        <v>-0.010884051731468246</v>
      </c>
      <c r="M42" s="31"/>
    </row>
    <row r="43" spans="2:13" ht="24">
      <c r="B43" s="24" t="str">
        <f t="shared" si="13"/>
        <v>Rate Rider for Global Adjustment Sub-Account Disposition (2012) - effective until April 30, 2013 Applicable only for Non-RPP Customers</v>
      </c>
      <c r="C43" s="27" t="str">
        <f t="shared" si="14"/>
        <v>$/kWh</v>
      </c>
      <c r="D43" s="11">
        <f t="shared" si="9"/>
        <v>800</v>
      </c>
      <c r="E43" s="93">
        <f t="shared" si="15"/>
        <v>0</v>
      </c>
      <c r="F43" s="13">
        <f t="shared" si="7"/>
        <v>0</v>
      </c>
      <c r="G43" s="64">
        <f t="shared" si="3"/>
        <v>800</v>
      </c>
      <c r="H43" s="93">
        <f t="shared" si="16"/>
        <v>0</v>
      </c>
      <c r="I43" s="13">
        <f t="shared" si="8"/>
        <v>0</v>
      </c>
      <c r="J43" s="13">
        <f t="shared" si="10"/>
        <v>0</v>
      </c>
      <c r="K43" s="14">
        <f t="shared" si="11"/>
        <v>0</v>
      </c>
      <c r="L43" s="15">
        <f t="shared" si="12"/>
        <v>0</v>
      </c>
      <c r="M43" s="31"/>
    </row>
    <row r="44" spans="2:13" ht="24">
      <c r="B44" s="24" t="str">
        <f t="shared" si="13"/>
        <v>Rate Rider for Global Adjustment Sub-Account Disposition (2013) - effective until December 31, 2013 Applicable only for Non-RPP Customers</v>
      </c>
      <c r="C44" s="27" t="str">
        <f t="shared" si="14"/>
        <v>$/kWh</v>
      </c>
      <c r="D44" s="11">
        <f t="shared" si="9"/>
        <v>800</v>
      </c>
      <c r="E44" s="93">
        <f t="shared" si="15"/>
        <v>0</v>
      </c>
      <c r="F44" s="13">
        <f t="shared" si="7"/>
        <v>0</v>
      </c>
      <c r="G44" s="64">
        <f t="shared" si="3"/>
        <v>800</v>
      </c>
      <c r="H44" s="93">
        <f t="shared" si="16"/>
        <v>0.0043</v>
      </c>
      <c r="I44" s="13">
        <f t="shared" si="8"/>
        <v>3.44</v>
      </c>
      <c r="J44" s="13">
        <f t="shared" si="5"/>
        <v>3.44</v>
      </c>
      <c r="K44" s="14">
        <f t="shared" si="6"/>
        <v>0</v>
      </c>
      <c r="L44" s="15">
        <f aca="true" t="shared" si="17" ref="L44:L50">IF(ISERROR(I44/I$62),0,I44/I$62)</f>
        <v>0.024632327602796558</v>
      </c>
      <c r="M44" s="31"/>
    </row>
    <row r="45" spans="2:13" ht="12">
      <c r="B45" s="24" t="str">
        <f t="shared" si="13"/>
        <v>Rate Rider for Tax Change - effective until April 30, 2013</v>
      </c>
      <c r="C45" s="27" t="str">
        <f t="shared" si="14"/>
        <v>$/kWh</v>
      </c>
      <c r="D45" s="11">
        <f t="shared" si="9"/>
        <v>800</v>
      </c>
      <c r="E45" s="93">
        <f t="shared" si="15"/>
        <v>-0.0005</v>
      </c>
      <c r="F45" s="13">
        <f t="shared" si="7"/>
        <v>-0.4</v>
      </c>
      <c r="G45" s="64">
        <f t="shared" si="3"/>
        <v>800</v>
      </c>
      <c r="H45" s="93">
        <f t="shared" si="16"/>
        <v>-0.0005</v>
      </c>
      <c r="I45" s="13">
        <f t="shared" si="8"/>
        <v>-0.4</v>
      </c>
      <c r="J45" s="13">
        <f t="shared" si="5"/>
        <v>0</v>
      </c>
      <c r="K45" s="14">
        <f t="shared" si="6"/>
        <v>0</v>
      </c>
      <c r="L45" s="15">
        <f t="shared" si="17"/>
        <v>-0.002864224139860065</v>
      </c>
      <c r="M45" s="31"/>
    </row>
    <row r="46" spans="2:13" ht="12">
      <c r="B46" s="24" t="str">
        <f t="shared" si="13"/>
        <v>Rate Rider for Tax Change - effective until December 31, 2013</v>
      </c>
      <c r="C46" s="27" t="str">
        <f t="shared" si="14"/>
        <v>$/kWh</v>
      </c>
      <c r="D46" s="11">
        <f t="shared" si="9"/>
        <v>800</v>
      </c>
      <c r="E46" s="93">
        <f t="shared" si="15"/>
        <v>0</v>
      </c>
      <c r="F46" s="13">
        <f t="shared" si="7"/>
        <v>0</v>
      </c>
      <c r="G46" s="64">
        <f t="shared" si="3"/>
        <v>800</v>
      </c>
      <c r="H46" s="93">
        <f t="shared" si="16"/>
        <v>0</v>
      </c>
      <c r="I46" s="13">
        <f t="shared" si="8"/>
        <v>0</v>
      </c>
      <c r="J46" s="13">
        <f t="shared" si="5"/>
        <v>0</v>
      </c>
      <c r="K46" s="14">
        <f t="shared" si="6"/>
        <v>0</v>
      </c>
      <c r="L46" s="15">
        <f t="shared" si="17"/>
        <v>0</v>
      </c>
      <c r="M46" s="31"/>
    </row>
    <row r="47" spans="2:13" ht="12">
      <c r="B47" s="24" t="str">
        <f t="shared" si="13"/>
        <v>Rate Rider for Stranded Meters - effective until December 31, 2013</v>
      </c>
      <c r="C47" s="27" t="str">
        <f t="shared" si="14"/>
        <v>$</v>
      </c>
      <c r="D47" s="11">
        <f>D35</f>
        <v>1</v>
      </c>
      <c r="E47" s="93">
        <f t="shared" si="15"/>
        <v>0</v>
      </c>
      <c r="F47" s="13">
        <f t="shared" si="7"/>
        <v>0</v>
      </c>
      <c r="G47" s="64">
        <f t="shared" si="3"/>
        <v>1</v>
      </c>
      <c r="H47" s="93">
        <f t="shared" si="16"/>
        <v>1.5</v>
      </c>
      <c r="I47" s="13">
        <f t="shared" si="8"/>
        <v>1.5</v>
      </c>
      <c r="J47" s="13">
        <f>I47-F47</f>
        <v>1.5</v>
      </c>
      <c r="K47" s="14">
        <f>IF(ISERROR(J47/F47),0,J47/F47)</f>
        <v>0</v>
      </c>
      <c r="L47" s="15">
        <f t="shared" si="17"/>
        <v>0.010740840524475243</v>
      </c>
      <c r="M47" s="31"/>
    </row>
    <row r="48" spans="2:13" ht="12">
      <c r="B48" s="24" t="str">
        <f t="shared" si="13"/>
        <v>Rate Rider for Smart Meter Disposition - effective until December 31, 2013</v>
      </c>
      <c r="C48" s="27" t="str">
        <f t="shared" si="14"/>
        <v>$</v>
      </c>
      <c r="D48" s="11">
        <f>D35</f>
        <v>1</v>
      </c>
      <c r="E48" s="93">
        <f t="shared" si="15"/>
        <v>0</v>
      </c>
      <c r="F48" s="13">
        <f t="shared" si="7"/>
        <v>0</v>
      </c>
      <c r="G48" s="64">
        <f t="shared" si="3"/>
        <v>1</v>
      </c>
      <c r="H48" s="93">
        <f t="shared" si="16"/>
        <v>1.04</v>
      </c>
      <c r="I48" s="13">
        <f t="shared" si="8"/>
        <v>1.04</v>
      </c>
      <c r="J48" s="13">
        <f>I48-F48</f>
        <v>1.04</v>
      </c>
      <c r="K48" s="14">
        <f>IF(ISERROR(J48/F48),0,J48/F48)</f>
        <v>0</v>
      </c>
      <c r="L48" s="15">
        <f t="shared" si="17"/>
        <v>0.007446982763636169</v>
      </c>
      <c r="M48" s="31"/>
    </row>
    <row r="49" spans="2:13" ht="12">
      <c r="B49" s="24" t="str">
        <f t="shared" si="13"/>
        <v>Rate Rider for PILS - effective until December 31, 2014</v>
      </c>
      <c r="C49" s="27" t="str">
        <f t="shared" si="14"/>
        <v>$/kWh</v>
      </c>
      <c r="D49" s="11">
        <f t="shared" si="9"/>
        <v>800</v>
      </c>
      <c r="E49" s="93">
        <f t="shared" si="15"/>
        <v>0</v>
      </c>
      <c r="F49" s="13">
        <f t="shared" si="7"/>
        <v>0</v>
      </c>
      <c r="G49" s="64">
        <f t="shared" si="3"/>
        <v>800</v>
      </c>
      <c r="H49" s="93">
        <f t="shared" si="16"/>
        <v>-0.00086</v>
      </c>
      <c r="I49" s="13">
        <f t="shared" si="8"/>
        <v>-0.688</v>
      </c>
      <c r="J49" s="13">
        <f>I49-F49</f>
        <v>-0.688</v>
      </c>
      <c r="K49" s="14">
        <f>IF(ISERROR(J49/F49),0,J49/F49)</f>
        <v>0</v>
      </c>
      <c r="L49" s="15">
        <f t="shared" si="17"/>
        <v>-0.004926465520559311</v>
      </c>
      <c r="M49" s="31"/>
    </row>
    <row r="50" spans="2:13" ht="12">
      <c r="B50" s="126" t="s">
        <v>26</v>
      </c>
      <c r="C50" s="100"/>
      <c r="D50" s="101"/>
      <c r="E50" s="102"/>
      <c r="F50" s="103">
        <f>SUM(F35:F49)</f>
        <v>31.210000000000004</v>
      </c>
      <c r="G50" s="102"/>
      <c r="H50" s="102"/>
      <c r="I50" s="103">
        <f>SUM(I35:I49)</f>
        <v>39.692</v>
      </c>
      <c r="J50" s="104">
        <f>I50-F50</f>
        <v>8.481999999999996</v>
      </c>
      <c r="K50" s="105">
        <f>IF(ISERROR(J50/F50),0,J50/F50)</f>
        <v>0.2717718679910283</v>
      </c>
      <c r="L50" s="127">
        <f t="shared" si="17"/>
        <v>0.2842169613983142</v>
      </c>
      <c r="M50" s="31"/>
    </row>
    <row r="51" spans="2:13" ht="12">
      <c r="B51" s="24" t="str">
        <f>B19</f>
        <v>Retail Transmission Rate - Network Service Rate</v>
      </c>
      <c r="C51" s="27" t="str">
        <f>C19</f>
        <v>$/kWh</v>
      </c>
      <c r="D51" s="11">
        <f>+$C$28</f>
        <v>858</v>
      </c>
      <c r="E51" s="12">
        <f>D19</f>
        <v>0.0043</v>
      </c>
      <c r="F51" s="13">
        <f>D51*E51</f>
        <v>3.6894</v>
      </c>
      <c r="G51" s="11">
        <f>+$H$28</f>
        <v>889</v>
      </c>
      <c r="H51" s="12">
        <f>E19</f>
        <v>0.0046</v>
      </c>
      <c r="I51" s="13">
        <f>G51*H51</f>
        <v>4.0894</v>
      </c>
      <c r="J51" s="13">
        <f t="shared" si="5"/>
        <v>0.40000000000000036</v>
      </c>
      <c r="K51" s="14">
        <f t="shared" si="6"/>
        <v>0.10841871306987595</v>
      </c>
      <c r="L51" s="15">
        <f aca="true" t="shared" si="18" ref="L51:L62">IF(ISERROR(I51/I$62),0,I51/I$62)</f>
        <v>0.029282395493859376</v>
      </c>
      <c r="M51" s="31"/>
    </row>
    <row r="52" spans="2:13" ht="12">
      <c r="B52" s="24" t="str">
        <f>B20</f>
        <v>Retail Transmission Rate - Line and Transformation Connection Service Rate</v>
      </c>
      <c r="C52" s="27" t="str">
        <f>C20</f>
        <v>$/kWh</v>
      </c>
      <c r="D52" s="11">
        <f>+$C$28</f>
        <v>858</v>
      </c>
      <c r="E52" s="12">
        <f>D20</f>
        <v>0.0035</v>
      </c>
      <c r="F52" s="13">
        <f>D52*E52</f>
        <v>3.003</v>
      </c>
      <c r="G52" s="11">
        <f>+$H$28</f>
        <v>889</v>
      </c>
      <c r="H52" s="12">
        <f>E20</f>
        <v>0.0036</v>
      </c>
      <c r="I52" s="13">
        <f>G52*H52</f>
        <v>3.2004</v>
      </c>
      <c r="J52" s="13">
        <f>I52-F52</f>
        <v>0.19740000000000002</v>
      </c>
      <c r="K52" s="14">
        <f>IF(ISERROR(J52/F52),0,J52/F52)</f>
        <v>0.06573426573426573</v>
      </c>
      <c r="L52" s="15">
        <f t="shared" si="18"/>
        <v>0.02291665734302038</v>
      </c>
      <c r="M52" s="31"/>
    </row>
    <row r="53" spans="2:13" ht="12">
      <c r="B53" s="126" t="s">
        <v>18</v>
      </c>
      <c r="C53" s="100"/>
      <c r="D53" s="101"/>
      <c r="E53" s="102"/>
      <c r="F53" s="104">
        <f>+SUM(F51:F52)</f>
        <v>6.6924</v>
      </c>
      <c r="G53" s="102"/>
      <c r="H53" s="102"/>
      <c r="I53" s="104">
        <f>+SUM(I51:I52)</f>
        <v>7.2898000000000005</v>
      </c>
      <c r="J53" s="104">
        <f>I53-F53</f>
        <v>0.5974000000000004</v>
      </c>
      <c r="K53" s="105">
        <f>IF(ISERROR(J53/F53),0,J53/F53)</f>
        <v>0.08926543541928163</v>
      </c>
      <c r="L53" s="127">
        <f>IF(ISERROR(I53/I$62),0,I53/I$62)</f>
        <v>0.052199052836879756</v>
      </c>
      <c r="M53" s="31"/>
    </row>
    <row r="54" spans="2:13" ht="12">
      <c r="B54" s="128" t="s">
        <v>27</v>
      </c>
      <c r="C54" s="107"/>
      <c r="D54" s="108"/>
      <c r="E54" s="109"/>
      <c r="F54" s="110">
        <f>F50+F53</f>
        <v>37.90240000000001</v>
      </c>
      <c r="G54" s="109"/>
      <c r="H54" s="109"/>
      <c r="I54" s="110">
        <f>I50+I53</f>
        <v>46.9818</v>
      </c>
      <c r="J54" s="110">
        <f t="shared" si="5"/>
        <v>9.079399999999993</v>
      </c>
      <c r="K54" s="111">
        <f t="shared" si="6"/>
        <v>0.23954683608425828</v>
      </c>
      <c r="L54" s="129">
        <f t="shared" si="18"/>
        <v>0.33641601423519396</v>
      </c>
      <c r="M54" s="31"/>
    </row>
    <row r="55" spans="2:13" ht="12">
      <c r="B55" s="24" t="str">
        <f>B21</f>
        <v>Wholesale Market Service Rate</v>
      </c>
      <c r="C55" s="27" t="str">
        <f>C21</f>
        <v>$/kWh</v>
      </c>
      <c r="D55" s="11">
        <f>+$C$28</f>
        <v>858</v>
      </c>
      <c r="E55" s="12">
        <f>D21</f>
        <v>0.0052</v>
      </c>
      <c r="F55" s="13">
        <f>D55*E55</f>
        <v>4.4616</v>
      </c>
      <c r="G55" s="11">
        <f>+$H$28</f>
        <v>889</v>
      </c>
      <c r="H55" s="12">
        <f>E21</f>
        <v>0.0052</v>
      </c>
      <c r="I55" s="13">
        <f>G55*H55</f>
        <v>4.6228</v>
      </c>
      <c r="J55" s="13">
        <f t="shared" si="5"/>
        <v>0.1612</v>
      </c>
      <c r="K55" s="14">
        <f t="shared" si="6"/>
        <v>0.036130536130536135</v>
      </c>
      <c r="L55" s="15">
        <f t="shared" si="18"/>
        <v>0.033101838384362765</v>
      </c>
      <c r="M55" s="31"/>
    </row>
    <row r="56" spans="2:13" ht="12">
      <c r="B56" s="24" t="str">
        <f>B22</f>
        <v>Rural Rate Protection Charge</v>
      </c>
      <c r="C56" s="27" t="str">
        <f>C22</f>
        <v>$/kWh</v>
      </c>
      <c r="D56" s="11">
        <f>+$C$28</f>
        <v>858</v>
      </c>
      <c r="E56" s="12">
        <f>D22</f>
        <v>0.0011</v>
      </c>
      <c r="F56" s="13">
        <f>D56*E56</f>
        <v>0.9438000000000001</v>
      </c>
      <c r="G56" s="11">
        <f>+$H$28</f>
        <v>889</v>
      </c>
      <c r="H56" s="12">
        <f>E22</f>
        <v>0.0011</v>
      </c>
      <c r="I56" s="13">
        <f>G56*H56</f>
        <v>0.9779000000000001</v>
      </c>
      <c r="J56" s="13">
        <f t="shared" si="5"/>
        <v>0.03410000000000002</v>
      </c>
      <c r="K56" s="14">
        <f t="shared" si="6"/>
        <v>0.03613053613053615</v>
      </c>
      <c r="L56" s="15">
        <f t="shared" si="18"/>
        <v>0.007002311965922894</v>
      </c>
      <c r="M56" s="31"/>
    </row>
    <row r="57" spans="2:13" ht="12">
      <c r="B57" s="24" t="str">
        <f>B23</f>
        <v>Standard Supply Service - Administrative Charge (if applicable)</v>
      </c>
      <c r="C57" s="27" t="str">
        <f>C23</f>
        <v>$</v>
      </c>
      <c r="D57" s="11">
        <f>+$D$35</f>
        <v>1</v>
      </c>
      <c r="E57" s="13">
        <f>D23</f>
        <v>0.25</v>
      </c>
      <c r="F57" s="13">
        <f>D57*E57</f>
        <v>0.25</v>
      </c>
      <c r="G57" s="11">
        <f>+D57</f>
        <v>1</v>
      </c>
      <c r="H57" s="13">
        <f>E23</f>
        <v>0.25</v>
      </c>
      <c r="I57" s="13">
        <f>G57*H57</f>
        <v>0.25</v>
      </c>
      <c r="J57" s="13">
        <f t="shared" si="5"/>
        <v>0</v>
      </c>
      <c r="K57" s="14">
        <f t="shared" si="6"/>
        <v>0</v>
      </c>
      <c r="L57" s="15">
        <f t="shared" si="18"/>
        <v>0.0017901400874125405</v>
      </c>
      <c r="M57" s="31"/>
    </row>
    <row r="58" spans="2:13" ht="12">
      <c r="B58" s="128" t="s">
        <v>28</v>
      </c>
      <c r="C58" s="106"/>
      <c r="D58" s="95"/>
      <c r="E58" s="96"/>
      <c r="F58" s="97">
        <f>SUM(F55:F57)</f>
        <v>5.6554</v>
      </c>
      <c r="G58" s="96"/>
      <c r="H58" s="96"/>
      <c r="I58" s="97">
        <f>SUM(I55:I57)</f>
        <v>5.8507</v>
      </c>
      <c r="J58" s="97">
        <f t="shared" si="5"/>
        <v>0.19529999999999959</v>
      </c>
      <c r="K58" s="98">
        <f t="shared" si="6"/>
        <v>0.03453336634013502</v>
      </c>
      <c r="L58" s="125">
        <f t="shared" si="18"/>
        <v>0.0418942904376982</v>
      </c>
      <c r="M58" s="31"/>
    </row>
    <row r="59" spans="2:13" ht="12">
      <c r="B59" s="130" t="s">
        <v>11</v>
      </c>
      <c r="C59" s="180" t="s">
        <v>9</v>
      </c>
      <c r="D59" s="112">
        <f>C26</f>
        <v>800</v>
      </c>
      <c r="E59" s="113">
        <v>0.0051</v>
      </c>
      <c r="F59" s="97">
        <f>D59*E59</f>
        <v>4.08</v>
      </c>
      <c r="G59" s="112">
        <f>D59</f>
        <v>800</v>
      </c>
      <c r="H59" s="113">
        <f>E59</f>
        <v>0.0051</v>
      </c>
      <c r="I59" s="97">
        <f>G59*H59</f>
        <v>4.08</v>
      </c>
      <c r="J59" s="97">
        <f t="shared" si="5"/>
        <v>0</v>
      </c>
      <c r="K59" s="98">
        <f t="shared" si="6"/>
        <v>0</v>
      </c>
      <c r="L59" s="125">
        <f t="shared" si="18"/>
        <v>0.02921508622657266</v>
      </c>
      <c r="M59" s="31"/>
    </row>
    <row r="60" spans="2:13" ht="12">
      <c r="B60" s="131" t="s">
        <v>29</v>
      </c>
      <c r="C60" s="114"/>
      <c r="D60" s="79"/>
      <c r="E60" s="115"/>
      <c r="F60" s="116">
        <f>F33+F34+F54+F58+F59</f>
        <v>111.9878</v>
      </c>
      <c r="G60" s="115"/>
      <c r="H60" s="115"/>
      <c r="I60" s="116">
        <f>I33+I34+I54+I58+I59</f>
        <v>123.5875</v>
      </c>
      <c r="J60" s="116">
        <f t="shared" si="5"/>
        <v>11.599700000000013</v>
      </c>
      <c r="K60" s="117">
        <f t="shared" si="6"/>
        <v>0.10358003282500428</v>
      </c>
      <c r="L60" s="132">
        <f t="shared" si="18"/>
        <v>0.8849557522123894</v>
      </c>
      <c r="M60" s="31"/>
    </row>
    <row r="61" spans="2:13" ht="12">
      <c r="B61" s="130" t="s">
        <v>57</v>
      </c>
      <c r="C61" s="118"/>
      <c r="D61" s="95"/>
      <c r="E61" s="119">
        <f>+Rates!$D$145</f>
        <v>0.13</v>
      </c>
      <c r="F61" s="97">
        <f>E61*F60</f>
        <v>14.558413999999999</v>
      </c>
      <c r="G61" s="96"/>
      <c r="H61" s="119">
        <f>+E61</f>
        <v>0.13</v>
      </c>
      <c r="I61" s="97">
        <f>H61*I60</f>
        <v>16.066375</v>
      </c>
      <c r="J61" s="97">
        <f t="shared" si="5"/>
        <v>1.5079610000000017</v>
      </c>
      <c r="K61" s="98">
        <f t="shared" si="6"/>
        <v>0.10358003282500428</v>
      </c>
      <c r="L61" s="125">
        <f t="shared" si="18"/>
        <v>0.11504424778761063</v>
      </c>
      <c r="M61" s="31"/>
    </row>
    <row r="62" spans="2:13" ht="12.75" thickBot="1">
      <c r="B62" s="133" t="s">
        <v>19</v>
      </c>
      <c r="C62" s="134"/>
      <c r="D62" s="135"/>
      <c r="E62" s="136"/>
      <c r="F62" s="137">
        <f>+F60+F61</f>
        <v>126.54621399999999</v>
      </c>
      <c r="G62" s="136"/>
      <c r="H62" s="136"/>
      <c r="I62" s="137">
        <f>+I60+I61</f>
        <v>139.653875</v>
      </c>
      <c r="J62" s="137">
        <f t="shared" si="5"/>
        <v>13.107661000000007</v>
      </c>
      <c r="K62" s="138">
        <f t="shared" si="6"/>
        <v>0.10358003282500422</v>
      </c>
      <c r="L62" s="139">
        <f t="shared" si="18"/>
        <v>1</v>
      </c>
      <c r="M62" s="31"/>
    </row>
    <row r="63" spans="2:13" ht="12">
      <c r="B63" s="31"/>
      <c r="C63" s="31"/>
      <c r="D63" s="61"/>
      <c r="E63" s="31"/>
      <c r="F63" s="31"/>
      <c r="G63" s="31"/>
      <c r="H63" s="31"/>
      <c r="I63" s="31"/>
      <c r="J63" s="31"/>
      <c r="K63" s="31"/>
      <c r="L63" s="31"/>
      <c r="M63" s="31"/>
    </row>
    <row r="64" spans="2:13" ht="12">
      <c r="B64" s="31"/>
      <c r="C64" s="31"/>
      <c r="D64" s="61"/>
      <c r="E64" s="31"/>
      <c r="F64" s="31"/>
      <c r="G64" s="31"/>
      <c r="H64" s="31"/>
      <c r="I64" s="31"/>
      <c r="J64" s="31"/>
      <c r="K64" s="31"/>
      <c r="L64" s="31"/>
      <c r="M64" s="31"/>
    </row>
    <row r="65" spans="2:13" ht="12">
      <c r="B65" s="31"/>
      <c r="C65" s="31"/>
      <c r="D65" s="61"/>
      <c r="E65" s="31"/>
      <c r="F65" s="31"/>
      <c r="G65" s="31"/>
      <c r="H65" s="31"/>
      <c r="I65" s="31"/>
      <c r="J65" s="31"/>
      <c r="K65" s="31"/>
      <c r="L65" s="31"/>
      <c r="M65" s="31"/>
    </row>
    <row r="66" spans="2:13" ht="12">
      <c r="B66" s="31"/>
      <c r="C66" s="31"/>
      <c r="D66" s="61"/>
      <c r="E66" s="31"/>
      <c r="F66" s="31"/>
      <c r="G66" s="31"/>
      <c r="H66" s="31"/>
      <c r="I66" s="31"/>
      <c r="J66" s="31"/>
      <c r="K66" s="31"/>
      <c r="L66" s="31"/>
      <c r="M66" s="31"/>
    </row>
  </sheetData>
  <sheetProtection/>
  <mergeCells count="7">
    <mergeCell ref="J31:L31"/>
    <mergeCell ref="B30:B32"/>
    <mergeCell ref="D30:F30"/>
    <mergeCell ref="G30:I30"/>
    <mergeCell ref="C31:C32"/>
    <mergeCell ref="D31:D32"/>
    <mergeCell ref="G31:G32"/>
  </mergeCells>
  <printOptions/>
  <pageMargins left="0.75" right="0.75" top="1" bottom="1" header="0.5" footer="0.5"/>
  <pageSetup fitToHeight="1" fitToWidth="1" horizontalDpi="600" verticalDpi="600" orientation="landscape" scale="60" r:id="rId1"/>
  <headerFooter alignWithMargins="0">
    <oddHeader>&amp;C&amp;"Arial,Bold"&amp;16Electricity Distribution Rate Impacts&amp;"Arial,Regular"&amp;10 
&amp;"Arial,Bold"&amp;16Residential Non-RPP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3:L65"/>
  <sheetViews>
    <sheetView showGridLines="0" zoomScalePageLayoutView="0" workbookViewId="0" topLeftCell="A22">
      <selection activeCell="H58" sqref="H58"/>
    </sheetView>
  </sheetViews>
  <sheetFormatPr defaultColWidth="9.140625" defaultRowHeight="12.75"/>
  <cols>
    <col min="1" max="1" width="3.57421875" style="7" customWidth="1"/>
    <col min="2" max="2" width="77.28125" style="7" customWidth="1"/>
    <col min="3" max="3" width="10.140625" style="7" customWidth="1"/>
    <col min="4" max="4" width="10.421875" style="10" bestFit="1" customWidth="1"/>
    <col min="5" max="5" width="10.00390625" style="7" bestFit="1" customWidth="1"/>
    <col min="6" max="6" width="11.8515625" style="7" bestFit="1" customWidth="1"/>
    <col min="7" max="7" width="9.28125" style="7" bestFit="1" customWidth="1"/>
    <col min="8" max="8" width="11.28125" style="7" customWidth="1"/>
    <col min="9" max="9" width="11.57421875" style="7" bestFit="1" customWidth="1"/>
    <col min="10" max="10" width="10.57421875" style="7" bestFit="1" customWidth="1"/>
    <col min="11" max="11" width="9.28125" style="7" bestFit="1" customWidth="1"/>
    <col min="12" max="12" width="11.7109375" style="7" bestFit="1" customWidth="1"/>
    <col min="13" max="16384" width="9.140625" style="7" customWidth="1"/>
  </cols>
  <sheetData>
    <row r="2" ht="12.75" thickBot="1"/>
    <row r="3" spans="2:5" ht="36">
      <c r="B3" s="67" t="str">
        <f>Rates!A27</f>
        <v>General Service Less Than 50kW</v>
      </c>
      <c r="C3" s="68" t="str">
        <f>Rates!B4</f>
        <v>Metric</v>
      </c>
      <c r="D3" s="69" t="str">
        <f>Rates!D4</f>
        <v>Current Approved Rates</v>
      </c>
      <c r="E3" s="70" t="str">
        <f>Rates!F4</f>
        <v>Proposed Rates</v>
      </c>
    </row>
    <row r="4" spans="2:5" ht="12">
      <c r="B4" s="71" t="str">
        <f>Rates!A6</f>
        <v>Monthly Service Charge</v>
      </c>
      <c r="C4" s="64" t="str">
        <f>Rates!B6</f>
        <v>$</v>
      </c>
      <c r="D4" s="65">
        <f>Rates!D28</f>
        <v>20.98</v>
      </c>
      <c r="E4" s="72">
        <f>Rates!F28</f>
        <v>24.66</v>
      </c>
    </row>
    <row r="5" spans="2:5" ht="12">
      <c r="B5" s="71" t="str">
        <f>Rates!A7</f>
        <v>Monthly Service Charge Rate Rider</v>
      </c>
      <c r="C5" s="64" t="str">
        <f>Rates!B7</f>
        <v>$</v>
      </c>
      <c r="D5" s="65">
        <f>Rates!D29</f>
        <v>0</v>
      </c>
      <c r="E5" s="72">
        <f>Rates!F29</f>
        <v>0</v>
      </c>
    </row>
    <row r="6" spans="2:5" ht="12">
      <c r="B6" s="71" t="str">
        <f>Rates!A8</f>
        <v>Smart Meter Rate Rider</v>
      </c>
      <c r="C6" s="64" t="str">
        <f>Rates!B8</f>
        <v>$</v>
      </c>
      <c r="D6" s="65">
        <f>Rates!D30</f>
        <v>0</v>
      </c>
      <c r="E6" s="72">
        <f>Rates!F30</f>
        <v>0</v>
      </c>
    </row>
    <row r="7" spans="2:5" ht="12">
      <c r="B7" s="71" t="str">
        <f>Rates!A9</f>
        <v>Distribution Volumetric Rate</v>
      </c>
      <c r="C7" s="64" t="str">
        <f>Rates!B9</f>
        <v>$/kWh</v>
      </c>
      <c r="D7" s="66">
        <f>Rates!D31</f>
        <v>0.0226</v>
      </c>
      <c r="E7" s="73">
        <f>Rates!F31</f>
        <v>0.0251</v>
      </c>
    </row>
    <row r="8" spans="2:5" ht="12">
      <c r="B8" s="71" t="str">
        <f>Rates!A10</f>
        <v>Distribution Volumetric Rate Rider</v>
      </c>
      <c r="C8" s="64" t="str">
        <f>Rates!B10</f>
        <v>$/kWh</v>
      </c>
      <c r="D8" s="66">
        <f>Rates!D32</f>
        <v>0</v>
      </c>
      <c r="E8" s="73">
        <f>Rates!F32</f>
        <v>0</v>
      </c>
    </row>
    <row r="9" spans="2:5" ht="12">
      <c r="B9" s="71" t="str">
        <f>Rates!A11</f>
        <v>Low Voltage Service Rate</v>
      </c>
      <c r="C9" s="64" t="str">
        <f>Rates!B11</f>
        <v>$/kWh</v>
      </c>
      <c r="D9" s="66">
        <f>Rates!D33</f>
        <v>0.0013</v>
      </c>
      <c r="E9" s="73">
        <f>Rates!F33</f>
        <v>0.0014</v>
      </c>
    </row>
    <row r="10" spans="2:5" ht="12">
      <c r="B10" s="71" t="str">
        <f>Rates!A12</f>
        <v>Rate Rider for Deferral/Variance Account Disposition (2012) - effective until April 30, 2013</v>
      </c>
      <c r="C10" s="64" t="str">
        <f>Rates!B12</f>
        <v>$/kWh</v>
      </c>
      <c r="D10" s="66">
        <f>Rates!D34</f>
        <v>0</v>
      </c>
      <c r="E10" s="73">
        <f>Rates!F34</f>
        <v>0</v>
      </c>
    </row>
    <row r="11" spans="2:5" ht="12">
      <c r="B11" s="71" t="str">
        <f>Rates!A13</f>
        <v>Rate Rider for Deferral/Variance Account Disposition (2013) - effective until December 31, 2013</v>
      </c>
      <c r="C11" s="64" t="str">
        <f>Rates!B13</f>
        <v>$/kWh</v>
      </c>
      <c r="D11" s="66">
        <f>Rates!D35</f>
        <v>0</v>
      </c>
      <c r="E11" s="73">
        <f>Rates!F35</f>
        <v>-0.0018</v>
      </c>
    </row>
    <row r="12" spans="2:5" ht="12.75" customHeight="1">
      <c r="B12" s="177" t="str">
        <f>Rates!A16</f>
        <v>Rate Rider for Tax Change - effective until April 30, 2013</v>
      </c>
      <c r="C12" s="79" t="str">
        <f>Rates!B16</f>
        <v>$/kWh</v>
      </c>
      <c r="D12" s="178">
        <f>Rates!D38</f>
        <v>-0.0004</v>
      </c>
      <c r="E12" s="179">
        <f>Rates!F38</f>
        <v>-0.0004</v>
      </c>
    </row>
    <row r="13" spans="2:5" ht="12">
      <c r="B13" s="71" t="str">
        <f>Rates!A17</f>
        <v>Rate Rider for Tax Change - effective until December 31, 2013</v>
      </c>
      <c r="C13" s="64" t="str">
        <f>Rates!B17</f>
        <v>$/kWh</v>
      </c>
      <c r="D13" s="66">
        <f>Rates!D39</f>
        <v>0</v>
      </c>
      <c r="E13" s="73">
        <f>Rates!F39</f>
        <v>0</v>
      </c>
    </row>
    <row r="14" spans="2:5" ht="12">
      <c r="B14" s="71" t="str">
        <f>Rates!A18</f>
        <v>Rate Rider for Stranded Meters - effective until December 31, 2013</v>
      </c>
      <c r="C14" s="64" t="str">
        <f>Rates!B18</f>
        <v>$</v>
      </c>
      <c r="D14" s="66">
        <f>Rates!D40</f>
        <v>0</v>
      </c>
      <c r="E14" s="72">
        <f>Rates!F40</f>
        <v>3.04</v>
      </c>
    </row>
    <row r="15" spans="2:5" ht="12">
      <c r="B15" s="71" t="str">
        <f>Rates!A19</f>
        <v>Rate Rider for Smart Meter Disposition - effective until December 31, 2013</v>
      </c>
      <c r="C15" s="64" t="str">
        <f>Rates!B19</f>
        <v>$</v>
      </c>
      <c r="D15" s="66">
        <f>Rates!D41</f>
        <v>0</v>
      </c>
      <c r="E15" s="72">
        <f>Rates!F41</f>
        <v>3.38</v>
      </c>
    </row>
    <row r="16" spans="2:5" ht="12">
      <c r="B16" s="71" t="str">
        <f>Rates!A20</f>
        <v>Rate Rider for PILS - effective until December 31, 2014</v>
      </c>
      <c r="C16" s="64" t="str">
        <f>Rates!B20</f>
        <v>$/kWh</v>
      </c>
      <c r="D16" s="66">
        <f>Rates!D42</f>
        <v>0</v>
      </c>
      <c r="E16" s="73">
        <f>Rates!F42</f>
        <v>-0.0005</v>
      </c>
    </row>
    <row r="17" spans="2:5" ht="12">
      <c r="B17" s="71" t="str">
        <f>Rates!A21</f>
        <v>Retail Transmission Rate - Network Service Rate</v>
      </c>
      <c r="C17" s="64" t="str">
        <f>Rates!B21</f>
        <v>$/kWh</v>
      </c>
      <c r="D17" s="66">
        <f>Rates!D43</f>
        <v>0.0035</v>
      </c>
      <c r="E17" s="73">
        <f>Rates!F43</f>
        <v>0.0038</v>
      </c>
    </row>
    <row r="18" spans="2:5" ht="12">
      <c r="B18" s="71" t="str">
        <f>Rates!A22</f>
        <v>Retail Transmission Rate - Line and Transformation Connection Service Rate</v>
      </c>
      <c r="C18" s="64" t="str">
        <f>Rates!B22</f>
        <v>$/kWh</v>
      </c>
      <c r="D18" s="66">
        <f>Rates!D44</f>
        <v>0.0033</v>
      </c>
      <c r="E18" s="73">
        <f>Rates!F44</f>
        <v>0.0034</v>
      </c>
    </row>
    <row r="19" spans="2:5" ht="12.75" thickBot="1">
      <c r="B19" s="71" t="str">
        <f>Rates!A23</f>
        <v>Wholesale Market Service Rate</v>
      </c>
      <c r="C19" s="64" t="str">
        <f>Rates!B23</f>
        <v>$/kWh</v>
      </c>
      <c r="D19" s="66">
        <f>Rates!D45</f>
        <v>0.0052</v>
      </c>
      <c r="E19" s="73">
        <f>Rates!F45</f>
        <v>0.0052</v>
      </c>
    </row>
    <row r="20" spans="2:10" ht="12">
      <c r="B20" s="71" t="str">
        <f>Rates!A24</f>
        <v>Rural Rate Protection Charge</v>
      </c>
      <c r="C20" s="64" t="str">
        <f>Rates!B24</f>
        <v>$/kWh</v>
      </c>
      <c r="D20" s="66">
        <f>Rates!D46</f>
        <v>0.0011</v>
      </c>
      <c r="E20" s="73">
        <f>Rates!F46</f>
        <v>0.0011</v>
      </c>
      <c r="H20" s="160"/>
      <c r="I20" s="152" t="s">
        <v>72</v>
      </c>
      <c r="J20" s="161" t="s">
        <v>90</v>
      </c>
    </row>
    <row r="21" spans="2:10" ht="12.75" thickBot="1">
      <c r="B21" s="74" t="str">
        <f>Rates!A25</f>
        <v>Standard Supply Service - Administrative Charge (if applicable)</v>
      </c>
      <c r="C21" s="75" t="str">
        <f>Rates!B25</f>
        <v>$</v>
      </c>
      <c r="D21" s="76">
        <f>Rates!D47</f>
        <v>0.25</v>
      </c>
      <c r="E21" s="77">
        <f>Rates!F47</f>
        <v>0.25</v>
      </c>
      <c r="H21" s="162" t="s">
        <v>13</v>
      </c>
      <c r="I21" s="135">
        <f>Rates!$D$134</f>
        <v>1.0719</v>
      </c>
      <c r="J21" s="163">
        <f>Rates!$F$134</f>
        <v>1.1113</v>
      </c>
    </row>
    <row r="22" spans="2:5" ht="12">
      <c r="B22" s="60"/>
      <c r="C22" s="61"/>
      <c r="D22" s="63"/>
      <c r="E22" s="63"/>
    </row>
    <row r="23" spans="3:4" ht="12.75" thickBot="1">
      <c r="C23" s="10"/>
      <c r="D23" s="7"/>
    </row>
    <row r="24" spans="2:12" ht="13.5" thickBot="1">
      <c r="B24" s="80" t="s">
        <v>88</v>
      </c>
      <c r="C24" s="81">
        <v>2000</v>
      </c>
      <c r="D24" s="89" t="s">
        <v>15</v>
      </c>
      <c r="E24" s="88"/>
      <c r="F24" s="87" t="s">
        <v>16</v>
      </c>
      <c r="G24" s="31"/>
      <c r="H24" s="170">
        <f>C24</f>
        <v>2000</v>
      </c>
      <c r="I24" s="89" t="s">
        <v>15</v>
      </c>
      <c r="J24" s="172">
        <f>E24</f>
        <v>0</v>
      </c>
      <c r="K24" s="87" t="s">
        <v>16</v>
      </c>
      <c r="L24" s="31"/>
    </row>
    <row r="25" spans="2:12" ht="12.75">
      <c r="B25" s="82" t="s">
        <v>53</v>
      </c>
      <c r="C25" s="78">
        <f>ROUND(C24*I21-C24,0)</f>
        <v>144</v>
      </c>
      <c r="D25" s="83" t="s">
        <v>15</v>
      </c>
      <c r="E25" s="31"/>
      <c r="F25" s="32"/>
      <c r="G25" s="31"/>
      <c r="H25" s="78">
        <f>ROUND(H24*J21-H24,0)</f>
        <v>223</v>
      </c>
      <c r="I25" s="83" t="s">
        <v>15</v>
      </c>
      <c r="J25" s="31"/>
      <c r="K25" s="32"/>
      <c r="L25" s="31"/>
    </row>
    <row r="26" spans="2:12" ht="12.75">
      <c r="B26" s="82" t="s">
        <v>54</v>
      </c>
      <c r="C26" s="78">
        <f>+C24+C25</f>
        <v>2144</v>
      </c>
      <c r="D26" s="83" t="s">
        <v>15</v>
      </c>
      <c r="E26" s="33"/>
      <c r="F26" s="32"/>
      <c r="G26" s="31"/>
      <c r="H26" s="78">
        <f>+H24+H25</f>
        <v>2223</v>
      </c>
      <c r="I26" s="83" t="s">
        <v>15</v>
      </c>
      <c r="J26" s="33"/>
      <c r="K26" s="32"/>
      <c r="L26" s="31"/>
    </row>
    <row r="27" spans="2:12" ht="13.5" thickBot="1">
      <c r="B27" s="84" t="s">
        <v>17</v>
      </c>
      <c r="C27" s="85">
        <f>+Rates!$D$140</f>
        <v>750</v>
      </c>
      <c r="D27" s="86" t="s">
        <v>15</v>
      </c>
      <c r="E27" s="31"/>
      <c r="F27" s="31"/>
      <c r="G27" s="31"/>
      <c r="H27" s="85">
        <f>+Rates!$D$140</f>
        <v>750</v>
      </c>
      <c r="I27" s="86" t="s">
        <v>15</v>
      </c>
      <c r="J27" s="31"/>
      <c r="K27" s="31"/>
      <c r="L27" s="31"/>
    </row>
    <row r="28" spans="2:12" ht="12.75" thickBot="1">
      <c r="B28" s="31"/>
      <c r="C28" s="31"/>
      <c r="D28" s="61"/>
      <c r="E28" s="31"/>
      <c r="F28" s="31"/>
      <c r="G28" s="31"/>
      <c r="H28" s="31"/>
      <c r="I28" s="31"/>
      <c r="J28" s="31"/>
      <c r="K28" s="31"/>
      <c r="L28" s="31"/>
    </row>
    <row r="29" spans="2:12" ht="13.5" customHeight="1">
      <c r="B29" s="188" t="str">
        <f>B3</f>
        <v>General Service Less Than 50kW</v>
      </c>
      <c r="C29" s="120"/>
      <c r="D29" s="190" t="str">
        <f>+D3</f>
        <v>Current Approved Rates</v>
      </c>
      <c r="E29" s="190"/>
      <c r="F29" s="190"/>
      <c r="G29" s="190" t="str">
        <f>+E3</f>
        <v>Proposed Rates</v>
      </c>
      <c r="H29" s="190"/>
      <c r="I29" s="190"/>
      <c r="J29" s="120"/>
      <c r="K29" s="120"/>
      <c r="L29" s="121"/>
    </row>
    <row r="30" spans="2:12" ht="12.75" customHeight="1">
      <c r="B30" s="189"/>
      <c r="C30" s="186" t="str">
        <f>+C3</f>
        <v>Metric</v>
      </c>
      <c r="D30" s="186" t="s">
        <v>55</v>
      </c>
      <c r="E30" s="92" t="s">
        <v>23</v>
      </c>
      <c r="F30" s="92" t="s">
        <v>24</v>
      </c>
      <c r="G30" s="186" t="s">
        <v>55</v>
      </c>
      <c r="H30" s="92" t="s">
        <v>23</v>
      </c>
      <c r="I30" s="92" t="s">
        <v>24</v>
      </c>
      <c r="J30" s="184" t="s">
        <v>30</v>
      </c>
      <c r="K30" s="184"/>
      <c r="L30" s="185"/>
    </row>
    <row r="31" spans="2:12" ht="12" customHeight="1">
      <c r="B31" s="189"/>
      <c r="C31" s="187"/>
      <c r="D31" s="187"/>
      <c r="E31" s="92" t="s">
        <v>8</v>
      </c>
      <c r="F31" s="92" t="s">
        <v>8</v>
      </c>
      <c r="G31" s="187"/>
      <c r="H31" s="92" t="s">
        <v>8</v>
      </c>
      <c r="I31" s="92" t="s">
        <v>8</v>
      </c>
      <c r="J31" s="92" t="s">
        <v>8</v>
      </c>
      <c r="K31" s="140" t="s">
        <v>12</v>
      </c>
      <c r="L31" s="122" t="s">
        <v>20</v>
      </c>
    </row>
    <row r="32" spans="2:12" ht="12">
      <c r="B32" s="123" t="s">
        <v>21</v>
      </c>
      <c r="C32" s="28" t="str">
        <f>+Rates!B137</f>
        <v>$/kWh</v>
      </c>
      <c r="D32" s="11">
        <f>IF(C26&gt;C27,C27,C26)</f>
        <v>750</v>
      </c>
      <c r="E32" s="12">
        <f>Rates!D137</f>
        <v>0.075</v>
      </c>
      <c r="F32" s="93">
        <f>D32*E32</f>
        <v>56.25</v>
      </c>
      <c r="G32" s="11">
        <f>IF(H26&gt;H27,H27,H26)</f>
        <v>750</v>
      </c>
      <c r="H32" s="12">
        <f>+E32</f>
        <v>0.075</v>
      </c>
      <c r="I32" s="93">
        <f>G32*H32</f>
        <v>56.25</v>
      </c>
      <c r="J32" s="13">
        <f>I32-F32</f>
        <v>0</v>
      </c>
      <c r="K32" s="14">
        <f>IF(ISERROR(J32/F32),1,J32/F32)</f>
        <v>0</v>
      </c>
      <c r="L32" s="15">
        <f aca="true" t="shared" si="0" ref="L32:L62">IF(ISERROR(I32/I$62),0,I32/I$62)</f>
        <v>0.18133477101342504</v>
      </c>
    </row>
    <row r="33" spans="2:12" ht="12">
      <c r="B33" s="123" t="s">
        <v>22</v>
      </c>
      <c r="C33" s="28" t="str">
        <f>+Rates!B138</f>
        <v>$/kWh</v>
      </c>
      <c r="D33" s="11">
        <f>IF(C26&gt;=C27,C26-C27,0)</f>
        <v>1394</v>
      </c>
      <c r="E33" s="12">
        <f>Rates!D138</f>
        <v>0.088</v>
      </c>
      <c r="F33" s="13">
        <f>D33*E33</f>
        <v>122.672</v>
      </c>
      <c r="G33" s="11">
        <f>IF(H26&gt;=H27,H26-H27,0)</f>
        <v>1473</v>
      </c>
      <c r="H33" s="12">
        <f>+E33</f>
        <v>0.088</v>
      </c>
      <c r="I33" s="13">
        <f>G33*H33</f>
        <v>129.624</v>
      </c>
      <c r="J33" s="13">
        <f>I33-F33</f>
        <v>6.951999999999998</v>
      </c>
      <c r="K33" s="14">
        <f aca="true" t="shared" si="1" ref="K33:K62">IF(ISERROR(J33/F33),0,J33/F33)</f>
        <v>0.05667144906743184</v>
      </c>
      <c r="L33" s="15">
        <f t="shared" si="0"/>
        <v>0.41787268191723037</v>
      </c>
    </row>
    <row r="34" spans="2:12" ht="12">
      <c r="B34" s="124" t="s">
        <v>25</v>
      </c>
      <c r="C34" s="94"/>
      <c r="D34" s="95"/>
      <c r="E34" s="96"/>
      <c r="F34" s="97">
        <f>SUM(F32:F33)</f>
        <v>178.922</v>
      </c>
      <c r="G34" s="96"/>
      <c r="H34" s="96"/>
      <c r="I34" s="97">
        <f>SUM(I32:I33)</f>
        <v>185.874</v>
      </c>
      <c r="J34" s="97">
        <f aca="true" t="shared" si="2" ref="J34:J62">I34-F34</f>
        <v>6.951999999999998</v>
      </c>
      <c r="K34" s="98">
        <f t="shared" si="1"/>
        <v>0.03885492002101473</v>
      </c>
      <c r="L34" s="125">
        <f t="shared" si="0"/>
        <v>0.5992074529306555</v>
      </c>
    </row>
    <row r="35" spans="2:12" ht="12">
      <c r="B35" s="24" t="str">
        <f aca="true" t="shared" si="3" ref="B35:B40">B4</f>
        <v>Monthly Service Charge</v>
      </c>
      <c r="C35" s="27" t="str">
        <f aca="true" t="shared" si="4" ref="C35:C40">+C4</f>
        <v>$</v>
      </c>
      <c r="D35" s="99">
        <v>1</v>
      </c>
      <c r="E35" s="93">
        <f aca="true" t="shared" si="5" ref="E35:E40">D4</f>
        <v>20.98</v>
      </c>
      <c r="F35" s="93">
        <f>D35*E35</f>
        <v>20.98</v>
      </c>
      <c r="G35" s="64">
        <f aca="true" t="shared" si="6" ref="G35:G47">+D35</f>
        <v>1</v>
      </c>
      <c r="H35" s="93">
        <f aca="true" t="shared" si="7" ref="H35:H40">E4</f>
        <v>24.66</v>
      </c>
      <c r="I35" s="13">
        <f>G35*H35</f>
        <v>24.66</v>
      </c>
      <c r="J35" s="13">
        <f t="shared" si="2"/>
        <v>3.6799999999999997</v>
      </c>
      <c r="K35" s="14">
        <f t="shared" si="1"/>
        <v>0.1754051477597712</v>
      </c>
      <c r="L35" s="15">
        <f t="shared" si="0"/>
        <v>0.07949716361228554</v>
      </c>
    </row>
    <row r="36" spans="2:12" ht="12">
      <c r="B36" s="24" t="str">
        <f t="shared" si="3"/>
        <v>Monthly Service Charge Rate Rider</v>
      </c>
      <c r="C36" s="27" t="str">
        <f t="shared" si="4"/>
        <v>$</v>
      </c>
      <c r="D36" s="11">
        <f>D35</f>
        <v>1</v>
      </c>
      <c r="E36" s="93">
        <f t="shared" si="5"/>
        <v>0</v>
      </c>
      <c r="F36" s="13">
        <f>D36*E36</f>
        <v>0</v>
      </c>
      <c r="G36" s="64">
        <f t="shared" si="6"/>
        <v>1</v>
      </c>
      <c r="H36" s="93">
        <f t="shared" si="7"/>
        <v>0</v>
      </c>
      <c r="I36" s="13">
        <f aca="true" t="shared" si="8" ref="I36:I43">G36*H36</f>
        <v>0</v>
      </c>
      <c r="J36" s="13">
        <f t="shared" si="2"/>
        <v>0</v>
      </c>
      <c r="K36" s="14">
        <f t="shared" si="1"/>
        <v>0</v>
      </c>
      <c r="L36" s="15">
        <f t="shared" si="0"/>
        <v>0</v>
      </c>
    </row>
    <row r="37" spans="2:12" ht="12">
      <c r="B37" s="24" t="str">
        <f t="shared" si="3"/>
        <v>Smart Meter Rate Rider</v>
      </c>
      <c r="C37" s="27" t="str">
        <f t="shared" si="4"/>
        <v>$</v>
      </c>
      <c r="D37" s="11">
        <f>D35</f>
        <v>1</v>
      </c>
      <c r="E37" s="93">
        <f t="shared" si="5"/>
        <v>0</v>
      </c>
      <c r="F37" s="13">
        <f aca="true" t="shared" si="9" ref="F37:F43">D37*E37</f>
        <v>0</v>
      </c>
      <c r="G37" s="64">
        <f t="shared" si="6"/>
        <v>1</v>
      </c>
      <c r="H37" s="93">
        <f t="shared" si="7"/>
        <v>0</v>
      </c>
      <c r="I37" s="13">
        <f t="shared" si="8"/>
        <v>0</v>
      </c>
      <c r="J37" s="13">
        <f t="shared" si="2"/>
        <v>0</v>
      </c>
      <c r="K37" s="14">
        <f t="shared" si="1"/>
        <v>0</v>
      </c>
      <c r="L37" s="15">
        <f t="shared" si="0"/>
        <v>0</v>
      </c>
    </row>
    <row r="38" spans="2:12" ht="12">
      <c r="B38" s="24" t="str">
        <f t="shared" si="3"/>
        <v>Distribution Volumetric Rate</v>
      </c>
      <c r="C38" s="27" t="str">
        <f t="shared" si="4"/>
        <v>$/kWh</v>
      </c>
      <c r="D38" s="11">
        <f aca="true" t="shared" si="10" ref="D38:D44">+$C$24</f>
        <v>2000</v>
      </c>
      <c r="E38" s="93">
        <f t="shared" si="5"/>
        <v>0.0226</v>
      </c>
      <c r="F38" s="13">
        <f t="shared" si="9"/>
        <v>45.199999999999996</v>
      </c>
      <c r="G38" s="64">
        <f t="shared" si="6"/>
        <v>2000</v>
      </c>
      <c r="H38" s="93">
        <f t="shared" si="7"/>
        <v>0.0251</v>
      </c>
      <c r="I38" s="13">
        <f t="shared" si="8"/>
        <v>50.2</v>
      </c>
      <c r="J38" s="13">
        <f t="shared" si="2"/>
        <v>5.000000000000007</v>
      </c>
      <c r="K38" s="14">
        <f t="shared" si="1"/>
        <v>0.11061946902654884</v>
      </c>
      <c r="L38" s="15">
        <f t="shared" si="0"/>
        <v>0.16183120897553668</v>
      </c>
    </row>
    <row r="39" spans="2:12" ht="12">
      <c r="B39" s="24" t="str">
        <f t="shared" si="3"/>
        <v>Distribution Volumetric Rate Rider</v>
      </c>
      <c r="C39" s="27" t="str">
        <f t="shared" si="4"/>
        <v>$/kWh</v>
      </c>
      <c r="D39" s="11">
        <f t="shared" si="10"/>
        <v>2000</v>
      </c>
      <c r="E39" s="93">
        <f t="shared" si="5"/>
        <v>0</v>
      </c>
      <c r="F39" s="13">
        <f t="shared" si="9"/>
        <v>0</v>
      </c>
      <c r="G39" s="64">
        <f t="shared" si="6"/>
        <v>2000</v>
      </c>
      <c r="H39" s="93">
        <f t="shared" si="7"/>
        <v>0</v>
      </c>
      <c r="I39" s="13">
        <f t="shared" si="8"/>
        <v>0</v>
      </c>
      <c r="J39" s="13">
        <f t="shared" si="2"/>
        <v>0</v>
      </c>
      <c r="K39" s="14">
        <f t="shared" si="1"/>
        <v>0</v>
      </c>
      <c r="L39" s="15">
        <f t="shared" si="0"/>
        <v>0</v>
      </c>
    </row>
    <row r="40" spans="2:12" ht="12">
      <c r="B40" s="24" t="str">
        <f t="shared" si="3"/>
        <v>Low Voltage Service Rate</v>
      </c>
      <c r="C40" s="27" t="str">
        <f t="shared" si="4"/>
        <v>$/kWh</v>
      </c>
      <c r="D40" s="11">
        <f t="shared" si="10"/>
        <v>2000</v>
      </c>
      <c r="E40" s="93">
        <f t="shared" si="5"/>
        <v>0.0013</v>
      </c>
      <c r="F40" s="13">
        <f>D40*E40</f>
        <v>2.6</v>
      </c>
      <c r="G40" s="64">
        <f>+D40</f>
        <v>2000</v>
      </c>
      <c r="H40" s="93">
        <f t="shared" si="7"/>
        <v>0.0014</v>
      </c>
      <c r="I40" s="13">
        <f>G40*H40</f>
        <v>2.8</v>
      </c>
      <c r="J40" s="13">
        <f>I40-F40</f>
        <v>0.19999999999999973</v>
      </c>
      <c r="K40" s="14">
        <f>IF(ISERROR(J40/F40),0,J40/F40)</f>
        <v>0.07692307692307682</v>
      </c>
      <c r="L40" s="15">
        <f>IF(ISERROR(I40/I$62),0,I40/I$62)</f>
        <v>0.009026441934890491</v>
      </c>
    </row>
    <row r="41" spans="2:12" ht="12">
      <c r="B41" s="24" t="str">
        <f aca="true" t="shared" si="11" ref="B41:B47">B10</f>
        <v>Rate Rider for Deferral/Variance Account Disposition (2012) - effective until April 30, 2013</v>
      </c>
      <c r="C41" s="27" t="str">
        <f aca="true" t="shared" si="12" ref="C41:C47">+C10</f>
        <v>$/kWh</v>
      </c>
      <c r="D41" s="11">
        <f t="shared" si="10"/>
        <v>2000</v>
      </c>
      <c r="E41" s="93">
        <f aca="true" t="shared" si="13" ref="E41:E47">D10</f>
        <v>0</v>
      </c>
      <c r="F41" s="13">
        <f t="shared" si="9"/>
        <v>0</v>
      </c>
      <c r="G41" s="64">
        <f t="shared" si="6"/>
        <v>2000</v>
      </c>
      <c r="H41" s="93">
        <f aca="true" t="shared" si="14" ref="H41:H47">E10</f>
        <v>0</v>
      </c>
      <c r="I41" s="13">
        <f t="shared" si="8"/>
        <v>0</v>
      </c>
      <c r="J41" s="13">
        <f t="shared" si="2"/>
        <v>0</v>
      </c>
      <c r="K41" s="14">
        <f t="shared" si="1"/>
        <v>0</v>
      </c>
      <c r="L41" s="15">
        <f t="shared" si="0"/>
        <v>0</v>
      </c>
    </row>
    <row r="42" spans="2:12" ht="12">
      <c r="B42" s="24" t="str">
        <f t="shared" si="11"/>
        <v>Rate Rider for Deferral/Variance Account Disposition (2013) - effective until December 31, 2013</v>
      </c>
      <c r="C42" s="27" t="str">
        <f t="shared" si="12"/>
        <v>$/kWh</v>
      </c>
      <c r="D42" s="11">
        <f t="shared" si="10"/>
        <v>2000</v>
      </c>
      <c r="E42" s="93">
        <f t="shared" si="13"/>
        <v>0</v>
      </c>
      <c r="F42" s="13">
        <f t="shared" si="9"/>
        <v>0</v>
      </c>
      <c r="G42" s="64">
        <f t="shared" si="6"/>
        <v>2000</v>
      </c>
      <c r="H42" s="93">
        <f t="shared" si="14"/>
        <v>-0.0018</v>
      </c>
      <c r="I42" s="13">
        <f t="shared" si="8"/>
        <v>-3.6</v>
      </c>
      <c r="J42" s="13">
        <f t="shared" si="2"/>
        <v>-3.6</v>
      </c>
      <c r="K42" s="14">
        <f t="shared" si="1"/>
        <v>0</v>
      </c>
      <c r="L42" s="15">
        <f t="shared" si="0"/>
        <v>-0.011605425344859205</v>
      </c>
    </row>
    <row r="43" spans="2:12" ht="12">
      <c r="B43" s="24" t="str">
        <f t="shared" si="11"/>
        <v>Rate Rider for Tax Change - effective until April 30, 2013</v>
      </c>
      <c r="C43" s="27" t="str">
        <f t="shared" si="12"/>
        <v>$/kWh</v>
      </c>
      <c r="D43" s="11">
        <f t="shared" si="10"/>
        <v>2000</v>
      </c>
      <c r="E43" s="93">
        <f t="shared" si="13"/>
        <v>-0.0004</v>
      </c>
      <c r="F43" s="13">
        <f t="shared" si="9"/>
        <v>-0.8</v>
      </c>
      <c r="G43" s="64">
        <f t="shared" si="6"/>
        <v>2000</v>
      </c>
      <c r="H43" s="93">
        <f t="shared" si="14"/>
        <v>-0.0004</v>
      </c>
      <c r="I43" s="13">
        <f t="shared" si="8"/>
        <v>-0.8</v>
      </c>
      <c r="J43" s="13">
        <f t="shared" si="2"/>
        <v>0</v>
      </c>
      <c r="K43" s="14">
        <f t="shared" si="1"/>
        <v>0</v>
      </c>
      <c r="L43" s="15">
        <f t="shared" si="0"/>
        <v>-0.002578983409968712</v>
      </c>
    </row>
    <row r="44" spans="2:12" ht="12">
      <c r="B44" s="24" t="str">
        <f t="shared" si="11"/>
        <v>Rate Rider for Tax Change - effective until December 31, 2013</v>
      </c>
      <c r="C44" s="27" t="str">
        <f t="shared" si="12"/>
        <v>$/kWh</v>
      </c>
      <c r="D44" s="11">
        <f t="shared" si="10"/>
        <v>2000</v>
      </c>
      <c r="E44" s="93">
        <f t="shared" si="13"/>
        <v>0</v>
      </c>
      <c r="F44" s="13">
        <f>D44*E44</f>
        <v>0</v>
      </c>
      <c r="G44" s="64">
        <f t="shared" si="6"/>
        <v>2000</v>
      </c>
      <c r="H44" s="93">
        <f t="shared" si="14"/>
        <v>0</v>
      </c>
      <c r="I44" s="13">
        <f>G44*H44</f>
        <v>0</v>
      </c>
      <c r="J44" s="13">
        <f>I44-F44</f>
        <v>0</v>
      </c>
      <c r="K44" s="14">
        <f>IF(ISERROR(J44/F44),0,J44/F44)</f>
        <v>0</v>
      </c>
      <c r="L44" s="15">
        <f t="shared" si="0"/>
        <v>0</v>
      </c>
    </row>
    <row r="45" spans="2:12" ht="12">
      <c r="B45" s="24" t="str">
        <f t="shared" si="11"/>
        <v>Rate Rider for Stranded Meters - effective until December 31, 2013</v>
      </c>
      <c r="C45" s="27" t="str">
        <f t="shared" si="12"/>
        <v>$</v>
      </c>
      <c r="D45" s="11">
        <f>D35</f>
        <v>1</v>
      </c>
      <c r="E45" s="93">
        <f t="shared" si="13"/>
        <v>0</v>
      </c>
      <c r="F45" s="13">
        <f>D45*E45</f>
        <v>0</v>
      </c>
      <c r="G45" s="64">
        <f t="shared" si="6"/>
        <v>1</v>
      </c>
      <c r="H45" s="93">
        <f t="shared" si="14"/>
        <v>3.04</v>
      </c>
      <c r="I45" s="13">
        <f>G45*H45</f>
        <v>3.04</v>
      </c>
      <c r="J45" s="13">
        <f>I45-F45</f>
        <v>3.04</v>
      </c>
      <c r="K45" s="14">
        <f>IF(ISERROR(J45/F45),0,J45/F45)</f>
        <v>0</v>
      </c>
      <c r="L45" s="15">
        <f t="shared" si="0"/>
        <v>0.009800136957881105</v>
      </c>
    </row>
    <row r="46" spans="2:12" ht="12">
      <c r="B46" s="24" t="str">
        <f t="shared" si="11"/>
        <v>Rate Rider for Smart Meter Disposition - effective until December 31, 2013</v>
      </c>
      <c r="C46" s="27" t="str">
        <f t="shared" si="12"/>
        <v>$</v>
      </c>
      <c r="D46" s="11">
        <f>D35</f>
        <v>1</v>
      </c>
      <c r="E46" s="93">
        <f t="shared" si="13"/>
        <v>0</v>
      </c>
      <c r="F46" s="13">
        <f>D46*E46</f>
        <v>0</v>
      </c>
      <c r="G46" s="64">
        <f t="shared" si="6"/>
        <v>1</v>
      </c>
      <c r="H46" s="93">
        <f t="shared" si="14"/>
        <v>3.38</v>
      </c>
      <c r="I46" s="13">
        <f>G46*H46</f>
        <v>3.38</v>
      </c>
      <c r="J46" s="13">
        <f>I46-F46</f>
        <v>3.38</v>
      </c>
      <c r="K46" s="14">
        <f>IF(ISERROR(J46/F46),0,J46/F46)</f>
        <v>0</v>
      </c>
      <c r="L46" s="15">
        <f t="shared" si="0"/>
        <v>0.010896204907117808</v>
      </c>
    </row>
    <row r="47" spans="2:12" ht="12">
      <c r="B47" s="24" t="str">
        <f t="shared" si="11"/>
        <v>Rate Rider for PILS - effective until December 31, 2014</v>
      </c>
      <c r="C47" s="27" t="str">
        <f t="shared" si="12"/>
        <v>$/kWh</v>
      </c>
      <c r="D47" s="11">
        <f>+$C$24</f>
        <v>2000</v>
      </c>
      <c r="E47" s="93">
        <f t="shared" si="13"/>
        <v>0</v>
      </c>
      <c r="F47" s="13">
        <f>D47*E47</f>
        <v>0</v>
      </c>
      <c r="G47" s="64">
        <f t="shared" si="6"/>
        <v>2000</v>
      </c>
      <c r="H47" s="93">
        <f t="shared" si="14"/>
        <v>-0.0005</v>
      </c>
      <c r="I47" s="13">
        <f>G47*H47</f>
        <v>-1</v>
      </c>
      <c r="J47" s="13">
        <f>I47-F47</f>
        <v>-1</v>
      </c>
      <c r="K47" s="14">
        <f>IF(ISERROR(J47/F47),0,J47/F47)</f>
        <v>0</v>
      </c>
      <c r="L47" s="15">
        <f t="shared" si="0"/>
        <v>-0.0032237292624608897</v>
      </c>
    </row>
    <row r="48" spans="2:12" ht="12">
      <c r="B48" s="126" t="s">
        <v>26</v>
      </c>
      <c r="C48" s="100"/>
      <c r="D48" s="101"/>
      <c r="E48" s="102"/>
      <c r="F48" s="103">
        <f>SUM(F35:F47)</f>
        <v>67.97999999999999</v>
      </c>
      <c r="G48" s="102"/>
      <c r="H48" s="102"/>
      <c r="I48" s="103">
        <f>SUM(I35:I47)</f>
        <v>78.68</v>
      </c>
      <c r="J48" s="104">
        <f>I48-F48</f>
        <v>10.700000000000017</v>
      </c>
      <c r="K48" s="105">
        <f>IF(ISERROR(J48/F48),0,J48/F48)</f>
        <v>0.15739923506913825</v>
      </c>
      <c r="L48" s="127">
        <f t="shared" si="0"/>
        <v>0.25364301837042286</v>
      </c>
    </row>
    <row r="49" spans="2:12" ht="12">
      <c r="B49" s="24" t="str">
        <f>B17</f>
        <v>Retail Transmission Rate - Network Service Rate</v>
      </c>
      <c r="C49" s="27" t="str">
        <f>C17</f>
        <v>$/kWh</v>
      </c>
      <c r="D49" s="11">
        <f>+$C$26</f>
        <v>2144</v>
      </c>
      <c r="E49" s="12">
        <f>D17</f>
        <v>0.0035</v>
      </c>
      <c r="F49" s="13">
        <f>D49*E49</f>
        <v>7.5040000000000004</v>
      </c>
      <c r="G49" s="11">
        <f>+$H$26</f>
        <v>2223</v>
      </c>
      <c r="H49" s="12">
        <f>E17</f>
        <v>0.0038</v>
      </c>
      <c r="I49" s="13">
        <f>G49*H49</f>
        <v>8.4474</v>
      </c>
      <c r="J49" s="13">
        <f t="shared" si="2"/>
        <v>0.9433999999999996</v>
      </c>
      <c r="K49" s="14">
        <f t="shared" si="1"/>
        <v>0.12571961620469077</v>
      </c>
      <c r="L49" s="15">
        <f t="shared" si="0"/>
        <v>0.027232130571712122</v>
      </c>
    </row>
    <row r="50" spans="2:12" ht="12">
      <c r="B50" s="24" t="str">
        <f>B18</f>
        <v>Retail Transmission Rate - Line and Transformation Connection Service Rate</v>
      </c>
      <c r="C50" s="27" t="str">
        <f>C18</f>
        <v>$/kWh</v>
      </c>
      <c r="D50" s="11">
        <f>+$C$26</f>
        <v>2144</v>
      </c>
      <c r="E50" s="12">
        <f>D18</f>
        <v>0.0033</v>
      </c>
      <c r="F50" s="13">
        <f>D50*E50</f>
        <v>7.0752</v>
      </c>
      <c r="G50" s="11">
        <f>+$H$26</f>
        <v>2223</v>
      </c>
      <c r="H50" s="12">
        <f>E18</f>
        <v>0.0034</v>
      </c>
      <c r="I50" s="13">
        <f>G50*H50</f>
        <v>7.558199999999999</v>
      </c>
      <c r="J50" s="13">
        <f>I50-F50</f>
        <v>0.48299999999999965</v>
      </c>
      <c r="K50" s="14">
        <f>IF(ISERROR(J50/F50),0,J50/F50)</f>
        <v>0.06826662143826319</v>
      </c>
      <c r="L50" s="15">
        <f t="shared" si="0"/>
        <v>0.024365590511531896</v>
      </c>
    </row>
    <row r="51" spans="2:12" ht="12">
      <c r="B51" s="126" t="s">
        <v>18</v>
      </c>
      <c r="C51" s="100"/>
      <c r="D51" s="101"/>
      <c r="E51" s="102"/>
      <c r="F51" s="104">
        <f>+SUM(F49:F50)</f>
        <v>14.5792</v>
      </c>
      <c r="G51" s="102"/>
      <c r="H51" s="102"/>
      <c r="I51" s="104">
        <f>+SUM(I49:I50)</f>
        <v>16.0056</v>
      </c>
      <c r="J51" s="104">
        <f>I51-F51</f>
        <v>1.426400000000001</v>
      </c>
      <c r="K51" s="105">
        <f>IF(ISERROR(J51/F51),0,J51/F51)</f>
        <v>0.09783801580333633</v>
      </c>
      <c r="L51" s="127">
        <f t="shared" si="0"/>
        <v>0.05159772108324402</v>
      </c>
    </row>
    <row r="52" spans="2:12" ht="12">
      <c r="B52" s="128" t="s">
        <v>27</v>
      </c>
      <c r="C52" s="107"/>
      <c r="D52" s="108"/>
      <c r="E52" s="109"/>
      <c r="F52" s="110">
        <f>F48+F51</f>
        <v>82.55919999999999</v>
      </c>
      <c r="G52" s="109"/>
      <c r="H52" s="109"/>
      <c r="I52" s="110">
        <f>I48+I51</f>
        <v>94.68560000000001</v>
      </c>
      <c r="J52" s="110">
        <f t="shared" si="2"/>
        <v>12.126400000000018</v>
      </c>
      <c r="K52" s="111">
        <f t="shared" si="1"/>
        <v>0.14688126822934355</v>
      </c>
      <c r="L52" s="129">
        <f t="shared" si="0"/>
        <v>0.30524073945366686</v>
      </c>
    </row>
    <row r="53" spans="2:12" ht="12">
      <c r="B53" s="24" t="str">
        <f>B19</f>
        <v>Wholesale Market Service Rate</v>
      </c>
      <c r="C53" s="27" t="str">
        <f>+C19</f>
        <v>$/kWh</v>
      </c>
      <c r="D53" s="11">
        <f>+$C$26</f>
        <v>2144</v>
      </c>
      <c r="E53" s="12">
        <f>D19</f>
        <v>0.0052</v>
      </c>
      <c r="F53" s="13">
        <f>D53*E53</f>
        <v>11.1488</v>
      </c>
      <c r="G53" s="11">
        <f>+$H$26</f>
        <v>2223</v>
      </c>
      <c r="H53" s="12">
        <f>E19</f>
        <v>0.0052</v>
      </c>
      <c r="I53" s="13">
        <f>G53*H53</f>
        <v>11.5596</v>
      </c>
      <c r="J53" s="13">
        <f t="shared" si="2"/>
        <v>0.41080000000000005</v>
      </c>
      <c r="K53" s="14">
        <f t="shared" si="1"/>
        <v>0.036847014925373144</v>
      </c>
      <c r="L53" s="15">
        <f t="shared" si="0"/>
        <v>0.0372650207823429</v>
      </c>
    </row>
    <row r="54" spans="2:12" ht="12">
      <c r="B54" s="24" t="str">
        <f>B20</f>
        <v>Rural Rate Protection Charge</v>
      </c>
      <c r="C54" s="27" t="str">
        <f>+C20</f>
        <v>$/kWh</v>
      </c>
      <c r="D54" s="11">
        <f>+$C$26</f>
        <v>2144</v>
      </c>
      <c r="E54" s="12">
        <f>D20</f>
        <v>0.0011</v>
      </c>
      <c r="F54" s="13">
        <f>D54*E54</f>
        <v>2.3584</v>
      </c>
      <c r="G54" s="11">
        <f>+$H$26</f>
        <v>2223</v>
      </c>
      <c r="H54" s="12">
        <f>E20</f>
        <v>0.0011</v>
      </c>
      <c r="I54" s="13">
        <f>G54*H54</f>
        <v>2.4453</v>
      </c>
      <c r="J54" s="13">
        <f t="shared" si="2"/>
        <v>0.08689999999999998</v>
      </c>
      <c r="K54" s="14">
        <f t="shared" si="1"/>
        <v>0.03684701492537312</v>
      </c>
      <c r="L54" s="15">
        <f t="shared" si="0"/>
        <v>0.007882985165495614</v>
      </c>
    </row>
    <row r="55" spans="2:12" ht="12">
      <c r="B55" s="24" t="str">
        <f>B21</f>
        <v>Standard Supply Service - Administrative Charge (if applicable)</v>
      </c>
      <c r="C55" s="27" t="str">
        <f>+C21</f>
        <v>$</v>
      </c>
      <c r="D55" s="11">
        <f>+$D$35</f>
        <v>1</v>
      </c>
      <c r="E55" s="13">
        <f>D21</f>
        <v>0.25</v>
      </c>
      <c r="F55" s="13">
        <f>D55*E55</f>
        <v>0.25</v>
      </c>
      <c r="G55" s="11">
        <f>+D55</f>
        <v>1</v>
      </c>
      <c r="H55" s="13">
        <f>E21</f>
        <v>0.25</v>
      </c>
      <c r="I55" s="13">
        <f>G55*H55</f>
        <v>0.25</v>
      </c>
      <c r="J55" s="13">
        <f t="shared" si="2"/>
        <v>0</v>
      </c>
      <c r="K55" s="14">
        <f t="shared" si="1"/>
        <v>0</v>
      </c>
      <c r="L55" s="15">
        <f t="shared" si="0"/>
        <v>0.0008059323156152224</v>
      </c>
    </row>
    <row r="56" spans="2:12" ht="12">
      <c r="B56" s="128" t="s">
        <v>28</v>
      </c>
      <c r="C56" s="106"/>
      <c r="D56" s="95"/>
      <c r="E56" s="96"/>
      <c r="F56" s="97">
        <f>SUM(F53:F55)</f>
        <v>13.7572</v>
      </c>
      <c r="G56" s="96"/>
      <c r="H56" s="96"/>
      <c r="I56" s="97">
        <f>SUM(I53:I55)</f>
        <v>14.2549</v>
      </c>
      <c r="J56" s="97">
        <f t="shared" si="2"/>
        <v>0.49770000000000003</v>
      </c>
      <c r="K56" s="98">
        <f t="shared" si="1"/>
        <v>0.036177419823801356</v>
      </c>
      <c r="L56" s="125">
        <f t="shared" si="0"/>
        <v>0.04595393826345374</v>
      </c>
    </row>
    <row r="57" spans="2:12" ht="12">
      <c r="B57" s="130" t="s">
        <v>11</v>
      </c>
      <c r="C57" s="180" t="s">
        <v>9</v>
      </c>
      <c r="D57" s="112">
        <f>C24</f>
        <v>2000</v>
      </c>
      <c r="E57" s="113">
        <v>0.0051</v>
      </c>
      <c r="F57" s="97">
        <f>D57*E57</f>
        <v>10.200000000000001</v>
      </c>
      <c r="G57" s="112">
        <f>D57</f>
        <v>2000</v>
      </c>
      <c r="H57" s="113">
        <f>E57</f>
        <v>0.0051</v>
      </c>
      <c r="I57" s="97">
        <f>G57*H57</f>
        <v>10.200000000000001</v>
      </c>
      <c r="J57" s="97">
        <f t="shared" si="2"/>
        <v>0</v>
      </c>
      <c r="K57" s="98">
        <f t="shared" si="1"/>
        <v>0</v>
      </c>
      <c r="L57" s="125">
        <f t="shared" si="0"/>
        <v>0.032882038477101076</v>
      </c>
    </row>
    <row r="58" spans="2:12" ht="12">
      <c r="B58" s="131" t="s">
        <v>58</v>
      </c>
      <c r="C58" s="114"/>
      <c r="D58" s="79"/>
      <c r="E58" s="115"/>
      <c r="F58" s="116">
        <f>F34+F52+F56+F57</f>
        <v>285.4384</v>
      </c>
      <c r="G58" s="115"/>
      <c r="H58" s="115"/>
      <c r="I58" s="116">
        <f>I34+I52+I56+I57</f>
        <v>305.0145</v>
      </c>
      <c r="J58" s="116">
        <f t="shared" si="2"/>
        <v>19.576099999999997</v>
      </c>
      <c r="K58" s="117">
        <f t="shared" si="1"/>
        <v>0.06858257333281015</v>
      </c>
      <c r="L58" s="132">
        <f t="shared" si="0"/>
        <v>0.983284169124877</v>
      </c>
    </row>
    <row r="59" spans="2:12" ht="12">
      <c r="B59" s="130" t="s">
        <v>57</v>
      </c>
      <c r="C59" s="118"/>
      <c r="D59" s="95"/>
      <c r="E59" s="119">
        <f>+Rates!$D$145</f>
        <v>0.13</v>
      </c>
      <c r="F59" s="97">
        <f>E59*F58</f>
        <v>37.106992</v>
      </c>
      <c r="G59" s="96"/>
      <c r="H59" s="119">
        <f>+E59</f>
        <v>0.13</v>
      </c>
      <c r="I59" s="97">
        <f>H59*I58</f>
        <v>39.651885</v>
      </c>
      <c r="J59" s="97">
        <f t="shared" si="2"/>
        <v>2.544893000000002</v>
      </c>
      <c r="K59" s="98">
        <f t="shared" si="1"/>
        <v>0.06858257333281022</v>
      </c>
      <c r="L59" s="125">
        <f t="shared" si="0"/>
        <v>0.127826941986234</v>
      </c>
    </row>
    <row r="60" spans="2:12" ht="12">
      <c r="B60" s="131" t="s">
        <v>59</v>
      </c>
      <c r="C60" s="114"/>
      <c r="D60" s="79"/>
      <c r="E60" s="115"/>
      <c r="F60" s="116">
        <f>+F58+F59</f>
        <v>322.545392</v>
      </c>
      <c r="G60" s="115"/>
      <c r="H60" s="115"/>
      <c r="I60" s="116">
        <f>+I58+I59</f>
        <v>344.666385</v>
      </c>
      <c r="J60" s="116">
        <f t="shared" si="2"/>
        <v>22.120993</v>
      </c>
      <c r="K60" s="117">
        <f t="shared" si="1"/>
        <v>0.06858257333281016</v>
      </c>
      <c r="L60" s="132">
        <f t="shared" si="0"/>
        <v>1.1111111111111112</v>
      </c>
    </row>
    <row r="61" spans="2:12" ht="12">
      <c r="B61" s="130" t="s">
        <v>61</v>
      </c>
      <c r="C61" s="118"/>
      <c r="D61" s="95"/>
      <c r="E61" s="119">
        <f>+Rates!$D$147</f>
        <v>-0.1</v>
      </c>
      <c r="F61" s="97">
        <f>E61*F60</f>
        <v>-32.2545392</v>
      </c>
      <c r="G61" s="96"/>
      <c r="H61" s="119">
        <f>+E61</f>
        <v>-0.1</v>
      </c>
      <c r="I61" s="97">
        <f>H61*I60</f>
        <v>-34.4666385</v>
      </c>
      <c r="J61" s="97">
        <f t="shared" si="2"/>
        <v>-2.2120992999999984</v>
      </c>
      <c r="K61" s="98">
        <f t="shared" si="1"/>
        <v>0.0685825733328101</v>
      </c>
      <c r="L61" s="125">
        <f t="shared" si="0"/>
        <v>-0.11111111111111112</v>
      </c>
    </row>
    <row r="62" spans="2:12" ht="12.75" thickBot="1">
      <c r="B62" s="133" t="s">
        <v>19</v>
      </c>
      <c r="C62" s="134"/>
      <c r="D62" s="135"/>
      <c r="E62" s="136"/>
      <c r="F62" s="137">
        <f>+F60+F61</f>
        <v>290.2908528</v>
      </c>
      <c r="G62" s="136"/>
      <c r="H62" s="136"/>
      <c r="I62" s="137">
        <f>+I60+I61</f>
        <v>310.1997465</v>
      </c>
      <c r="J62" s="137">
        <f t="shared" si="2"/>
        <v>19.90889370000002</v>
      </c>
      <c r="K62" s="138">
        <f t="shared" si="1"/>
        <v>0.06858257333281025</v>
      </c>
      <c r="L62" s="139">
        <f t="shared" si="0"/>
        <v>1</v>
      </c>
    </row>
    <row r="63" spans="2:12" ht="12">
      <c r="B63" s="31"/>
      <c r="C63" s="31"/>
      <c r="D63" s="61"/>
      <c r="E63" s="31"/>
      <c r="F63" s="31"/>
      <c r="G63" s="31"/>
      <c r="H63" s="31"/>
      <c r="I63" s="31"/>
      <c r="J63" s="31"/>
      <c r="K63" s="31"/>
      <c r="L63" s="31"/>
    </row>
    <row r="64" spans="2:12" ht="12">
      <c r="B64" s="31"/>
      <c r="C64" s="31"/>
      <c r="D64" s="61"/>
      <c r="E64" s="31"/>
      <c r="F64" s="31"/>
      <c r="G64" s="31"/>
      <c r="H64" s="31"/>
      <c r="I64" s="31"/>
      <c r="J64" s="31"/>
      <c r="K64" s="31"/>
      <c r="L64" s="31"/>
    </row>
    <row r="65" spans="2:12" ht="12">
      <c r="B65" s="31"/>
      <c r="C65" s="31"/>
      <c r="D65" s="61"/>
      <c r="E65" s="31"/>
      <c r="F65" s="31"/>
      <c r="G65" s="31"/>
      <c r="H65" s="31"/>
      <c r="I65" s="31"/>
      <c r="J65" s="31"/>
      <c r="K65" s="31"/>
      <c r="L65" s="31"/>
    </row>
  </sheetData>
  <sheetProtection/>
  <mergeCells count="7">
    <mergeCell ref="J30:L30"/>
    <mergeCell ref="B29:B31"/>
    <mergeCell ref="D29:F29"/>
    <mergeCell ref="G29:I29"/>
    <mergeCell ref="C30:C31"/>
    <mergeCell ref="D30:D31"/>
    <mergeCell ref="G30:G31"/>
  </mergeCells>
  <printOptions/>
  <pageMargins left="0.75" right="0.75" top="1" bottom="1" header="0.5" footer="0.5"/>
  <pageSetup fitToHeight="1" fitToWidth="1" horizontalDpi="600" verticalDpi="600" orientation="landscape" scale="63" r:id="rId1"/>
  <headerFooter alignWithMargins="0">
    <oddHeader>&amp;C&amp;"Arial,Bold"&amp;16Electricity Distribution Rate Impacts
General Service less than 50 kW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3:M66"/>
  <sheetViews>
    <sheetView showGridLines="0" zoomScalePageLayoutView="0" workbookViewId="0" topLeftCell="A25">
      <selection activeCell="H60" sqref="H60"/>
    </sheetView>
  </sheetViews>
  <sheetFormatPr defaultColWidth="9.140625" defaultRowHeight="12.75"/>
  <cols>
    <col min="1" max="1" width="3.8515625" style="7" customWidth="1"/>
    <col min="2" max="2" width="77.57421875" style="7" customWidth="1"/>
    <col min="3" max="3" width="10.140625" style="7" customWidth="1"/>
    <col min="4" max="4" width="10.421875" style="10" bestFit="1" customWidth="1"/>
    <col min="5" max="5" width="10.00390625" style="7" bestFit="1" customWidth="1"/>
    <col min="6" max="6" width="11.8515625" style="7" bestFit="1" customWidth="1"/>
    <col min="7" max="7" width="9.28125" style="7" bestFit="1" customWidth="1"/>
    <col min="8" max="8" width="11.140625" style="7" customWidth="1"/>
    <col min="9" max="9" width="11.57421875" style="7" bestFit="1" customWidth="1"/>
    <col min="10" max="10" width="10.57421875" style="7" bestFit="1" customWidth="1"/>
    <col min="11" max="11" width="9.28125" style="7" bestFit="1" customWidth="1"/>
    <col min="12" max="12" width="11.7109375" style="7" bestFit="1" customWidth="1"/>
    <col min="13" max="16384" width="9.140625" style="7" customWidth="1"/>
  </cols>
  <sheetData>
    <row r="2" ht="12.75" thickBot="1"/>
    <row r="3" spans="2:13" ht="36">
      <c r="B3" s="67" t="str">
        <f>Rates!A27</f>
        <v>General Service Less Than 50kW</v>
      </c>
      <c r="C3" s="68" t="str">
        <f>Rates!B4</f>
        <v>Metric</v>
      </c>
      <c r="D3" s="69" t="str">
        <f>Rates!D4</f>
        <v>Current Approved Rates</v>
      </c>
      <c r="E3" s="70" t="str">
        <f>Rates!F4</f>
        <v>Proposed Rates</v>
      </c>
      <c r="F3" s="31"/>
      <c r="G3" s="31"/>
      <c r="H3" s="31"/>
      <c r="I3" s="31"/>
      <c r="J3" s="31"/>
      <c r="K3" s="31"/>
      <c r="L3" s="31"/>
      <c r="M3" s="31"/>
    </row>
    <row r="4" spans="2:13" ht="12">
      <c r="B4" s="71" t="str">
        <f>Rates!A6</f>
        <v>Monthly Service Charge</v>
      </c>
      <c r="C4" s="64" t="str">
        <f>Rates!B6</f>
        <v>$</v>
      </c>
      <c r="D4" s="65">
        <f>Rates!D28</f>
        <v>20.98</v>
      </c>
      <c r="E4" s="72">
        <f>Rates!F28</f>
        <v>24.66</v>
      </c>
      <c r="F4" s="31"/>
      <c r="G4" s="31"/>
      <c r="H4" s="31"/>
      <c r="I4" s="31"/>
      <c r="J4" s="31"/>
      <c r="K4" s="31"/>
      <c r="L4" s="31"/>
      <c r="M4" s="31"/>
    </row>
    <row r="5" spans="2:13" ht="12">
      <c r="B5" s="71" t="str">
        <f>Rates!A7</f>
        <v>Monthly Service Charge Rate Rider</v>
      </c>
      <c r="C5" s="64" t="str">
        <f>Rates!B7</f>
        <v>$</v>
      </c>
      <c r="D5" s="65">
        <f>Rates!D29</f>
        <v>0</v>
      </c>
      <c r="E5" s="72">
        <f>Rates!F29</f>
        <v>0</v>
      </c>
      <c r="F5" s="31"/>
      <c r="G5" s="31"/>
      <c r="H5" s="31"/>
      <c r="I5" s="31"/>
      <c r="J5" s="31"/>
      <c r="K5" s="31"/>
      <c r="L5" s="31"/>
      <c r="M5" s="31"/>
    </row>
    <row r="6" spans="2:13" ht="12">
      <c r="B6" s="71" t="str">
        <f>Rates!A8</f>
        <v>Smart Meter Rate Rider</v>
      </c>
      <c r="C6" s="64" t="str">
        <f>Rates!B8</f>
        <v>$</v>
      </c>
      <c r="D6" s="65">
        <f>Rates!D30</f>
        <v>0</v>
      </c>
      <c r="E6" s="72">
        <f>Rates!F30</f>
        <v>0</v>
      </c>
      <c r="F6" s="31"/>
      <c r="G6" s="31"/>
      <c r="H6" s="31"/>
      <c r="I6" s="31"/>
      <c r="J6" s="31"/>
      <c r="K6" s="31"/>
      <c r="L6" s="31"/>
      <c r="M6" s="31"/>
    </row>
    <row r="7" spans="2:13" ht="12">
      <c r="B7" s="71" t="str">
        <f>Rates!A9</f>
        <v>Distribution Volumetric Rate</v>
      </c>
      <c r="C7" s="64" t="str">
        <f>Rates!B9</f>
        <v>$/kWh</v>
      </c>
      <c r="D7" s="66">
        <f>Rates!D31</f>
        <v>0.0226</v>
      </c>
      <c r="E7" s="73">
        <f>Rates!F31</f>
        <v>0.0251</v>
      </c>
      <c r="F7" s="31"/>
      <c r="G7" s="31"/>
      <c r="H7" s="31"/>
      <c r="I7" s="31"/>
      <c r="J7" s="31"/>
      <c r="K7" s="31"/>
      <c r="L7" s="31"/>
      <c r="M7" s="31"/>
    </row>
    <row r="8" spans="2:13" ht="12">
      <c r="B8" s="71" t="str">
        <f>Rates!A10</f>
        <v>Distribution Volumetric Rate Rider</v>
      </c>
      <c r="C8" s="64" t="str">
        <f>Rates!B10</f>
        <v>$/kWh</v>
      </c>
      <c r="D8" s="66">
        <f>Rates!D32</f>
        <v>0</v>
      </c>
      <c r="E8" s="73">
        <f>Rates!F32</f>
        <v>0</v>
      </c>
      <c r="F8" s="31"/>
      <c r="G8" s="31"/>
      <c r="H8" s="31"/>
      <c r="I8" s="31"/>
      <c r="J8" s="31"/>
      <c r="K8" s="31"/>
      <c r="L8" s="31"/>
      <c r="M8" s="31"/>
    </row>
    <row r="9" spans="2:13" ht="12">
      <c r="B9" s="71" t="str">
        <f>Rates!A11</f>
        <v>Low Voltage Service Rate</v>
      </c>
      <c r="C9" s="64" t="str">
        <f>Rates!B11</f>
        <v>$/kWh</v>
      </c>
      <c r="D9" s="66">
        <f>Rates!D33</f>
        <v>0.0013</v>
      </c>
      <c r="E9" s="73">
        <f>Rates!F33</f>
        <v>0.0014</v>
      </c>
      <c r="F9" s="31"/>
      <c r="G9" s="31"/>
      <c r="H9" s="31"/>
      <c r="I9" s="31"/>
      <c r="J9" s="31"/>
      <c r="K9" s="31"/>
      <c r="L9" s="31"/>
      <c r="M9" s="31"/>
    </row>
    <row r="10" spans="2:13" ht="12">
      <c r="B10" s="71" t="str">
        <f>Rates!A12</f>
        <v>Rate Rider for Deferral/Variance Account Disposition (2012) - effective until April 30, 2013</v>
      </c>
      <c r="C10" s="64" t="str">
        <f>Rates!B12</f>
        <v>$/kWh</v>
      </c>
      <c r="D10" s="66">
        <f>Rates!D34</f>
        <v>0</v>
      </c>
      <c r="E10" s="73">
        <f>Rates!F34</f>
        <v>0</v>
      </c>
      <c r="F10" s="31"/>
      <c r="G10" s="31"/>
      <c r="H10" s="31"/>
      <c r="I10" s="31"/>
      <c r="J10" s="31"/>
      <c r="K10" s="31"/>
      <c r="L10" s="31"/>
      <c r="M10" s="31"/>
    </row>
    <row r="11" spans="2:13" ht="12">
      <c r="B11" s="71" t="str">
        <f>Rates!A13</f>
        <v>Rate Rider for Deferral/Variance Account Disposition (2013) - effective until December 31, 2013</v>
      </c>
      <c r="C11" s="64" t="str">
        <f>Rates!B13</f>
        <v>$/kWh</v>
      </c>
      <c r="D11" s="66">
        <f>Rates!D35</f>
        <v>0</v>
      </c>
      <c r="E11" s="73">
        <f>Rates!F35</f>
        <v>-0.0018</v>
      </c>
      <c r="F11" s="31"/>
      <c r="G11" s="31"/>
      <c r="H11" s="31"/>
      <c r="I11" s="31"/>
      <c r="J11" s="31"/>
      <c r="K11" s="31"/>
      <c r="L11" s="31"/>
      <c r="M11" s="31"/>
    </row>
    <row r="12" spans="2:13" ht="24">
      <c r="B12" s="71" t="str">
        <f>Rates!A14</f>
        <v>Rate Rider for Global Adjustment Sub-Account Disposition (2012) - effective until April 30, 2013 Applicable only for Non-RPP Customers</v>
      </c>
      <c r="C12" s="64" t="str">
        <f>Rates!B14</f>
        <v>$/kWh</v>
      </c>
      <c r="D12" s="66">
        <f>Rates!D36</f>
        <v>0</v>
      </c>
      <c r="E12" s="73">
        <f>Rates!F36</f>
        <v>0</v>
      </c>
      <c r="F12" s="31"/>
      <c r="G12" s="31"/>
      <c r="H12" s="31"/>
      <c r="I12" s="31"/>
      <c r="J12" s="31"/>
      <c r="K12" s="31"/>
      <c r="L12" s="31"/>
      <c r="M12" s="31"/>
    </row>
    <row r="13" spans="2:13" ht="24">
      <c r="B13" s="71" t="str">
        <f>Rates!A15</f>
        <v>Rate Rider for Global Adjustment Sub-Account Disposition (2013) - effective until December 31, 2013 Applicable only for Non-RPP Customers</v>
      </c>
      <c r="C13" s="64" t="str">
        <f>Rates!B15</f>
        <v>$/kWh</v>
      </c>
      <c r="D13" s="66">
        <f>Rates!D37</f>
        <v>0</v>
      </c>
      <c r="E13" s="73">
        <f>Rates!F37</f>
        <v>0.0043</v>
      </c>
      <c r="F13" s="31"/>
      <c r="G13" s="31"/>
      <c r="H13" s="31"/>
      <c r="I13" s="31"/>
      <c r="J13" s="31"/>
      <c r="K13" s="31"/>
      <c r="L13" s="31"/>
      <c r="M13" s="31"/>
    </row>
    <row r="14" spans="2:13" ht="12">
      <c r="B14" s="71" t="str">
        <f>Rates!A16</f>
        <v>Rate Rider for Tax Change - effective until April 30, 2013</v>
      </c>
      <c r="C14" s="64" t="str">
        <f>Rates!B16</f>
        <v>$/kWh</v>
      </c>
      <c r="D14" s="66">
        <f>Rates!D38</f>
        <v>-0.0004</v>
      </c>
      <c r="E14" s="73">
        <f>Rates!F38</f>
        <v>-0.0004</v>
      </c>
      <c r="F14" s="31"/>
      <c r="G14" s="31"/>
      <c r="H14" s="31"/>
      <c r="I14" s="31"/>
      <c r="J14" s="31"/>
      <c r="K14" s="31"/>
      <c r="L14" s="31"/>
      <c r="M14" s="31"/>
    </row>
    <row r="15" spans="2:13" ht="12">
      <c r="B15" s="71" t="str">
        <f>Rates!A17</f>
        <v>Rate Rider for Tax Change - effective until December 31, 2013</v>
      </c>
      <c r="C15" s="64" t="str">
        <f>Rates!B17</f>
        <v>$/kWh</v>
      </c>
      <c r="D15" s="66">
        <f>Rates!D39</f>
        <v>0</v>
      </c>
      <c r="E15" s="73">
        <f>Rates!F39</f>
        <v>0</v>
      </c>
      <c r="F15" s="31"/>
      <c r="G15" s="31"/>
      <c r="H15" s="31"/>
      <c r="I15" s="31"/>
      <c r="J15" s="31"/>
      <c r="K15" s="31"/>
      <c r="L15" s="31"/>
      <c r="M15" s="31"/>
    </row>
    <row r="16" spans="2:13" ht="12">
      <c r="B16" s="71" t="str">
        <f>Rates!A18</f>
        <v>Rate Rider for Stranded Meters - effective until December 31, 2013</v>
      </c>
      <c r="C16" s="64" t="str">
        <f>Rates!B18</f>
        <v>$</v>
      </c>
      <c r="D16" s="66">
        <f>Rates!D40</f>
        <v>0</v>
      </c>
      <c r="E16" s="72">
        <f>Rates!F40</f>
        <v>3.04</v>
      </c>
      <c r="F16" s="31"/>
      <c r="G16" s="31"/>
      <c r="H16" s="31"/>
      <c r="I16" s="31"/>
      <c r="J16" s="31"/>
      <c r="K16" s="31"/>
      <c r="L16" s="31"/>
      <c r="M16" s="31"/>
    </row>
    <row r="17" spans="2:13" ht="12">
      <c r="B17" s="71" t="str">
        <f>Rates!A19</f>
        <v>Rate Rider for Smart Meter Disposition - effective until December 31, 2013</v>
      </c>
      <c r="C17" s="64" t="str">
        <f>Rates!B19</f>
        <v>$</v>
      </c>
      <c r="D17" s="66">
        <f>Rates!D41</f>
        <v>0</v>
      </c>
      <c r="E17" s="72">
        <f>Rates!F41</f>
        <v>3.38</v>
      </c>
      <c r="F17" s="31"/>
      <c r="G17" s="31"/>
      <c r="H17" s="31"/>
      <c r="I17" s="31"/>
      <c r="J17" s="31"/>
      <c r="K17" s="31"/>
      <c r="L17" s="31"/>
      <c r="M17" s="31"/>
    </row>
    <row r="18" spans="2:13" ht="12">
      <c r="B18" s="71" t="str">
        <f>Rates!A20</f>
        <v>Rate Rider for PILS - effective until December 31, 2014</v>
      </c>
      <c r="C18" s="64" t="str">
        <f>Rates!B20</f>
        <v>$/kWh</v>
      </c>
      <c r="D18" s="66">
        <f>Rates!D42</f>
        <v>0</v>
      </c>
      <c r="E18" s="73">
        <f>Rates!F42</f>
        <v>-0.0005</v>
      </c>
      <c r="F18" s="31"/>
      <c r="G18" s="31"/>
      <c r="H18" s="31"/>
      <c r="I18" s="31"/>
      <c r="J18" s="31"/>
      <c r="K18" s="31"/>
      <c r="L18" s="31"/>
      <c r="M18" s="31"/>
    </row>
    <row r="19" spans="2:13" ht="12">
      <c r="B19" s="71" t="str">
        <f>Rates!A21</f>
        <v>Retail Transmission Rate - Network Service Rate</v>
      </c>
      <c r="C19" s="64" t="str">
        <f>Rates!B21</f>
        <v>$/kWh</v>
      </c>
      <c r="D19" s="66">
        <f>Rates!D43</f>
        <v>0.0035</v>
      </c>
      <c r="E19" s="73">
        <f>Rates!F43</f>
        <v>0.0038</v>
      </c>
      <c r="F19" s="31"/>
      <c r="G19" s="31"/>
      <c r="H19" s="31"/>
      <c r="I19" s="31"/>
      <c r="J19" s="31"/>
      <c r="K19" s="31"/>
      <c r="L19" s="31"/>
      <c r="M19" s="31"/>
    </row>
    <row r="20" spans="2:13" ht="12">
      <c r="B20" s="71" t="str">
        <f>Rates!A22</f>
        <v>Retail Transmission Rate - Line and Transformation Connection Service Rate</v>
      </c>
      <c r="C20" s="64" t="str">
        <f>Rates!B22</f>
        <v>$/kWh</v>
      </c>
      <c r="D20" s="66">
        <f>Rates!D44</f>
        <v>0.0033</v>
      </c>
      <c r="E20" s="73">
        <f>Rates!F44</f>
        <v>0.0034</v>
      </c>
      <c r="F20" s="31"/>
      <c r="G20" s="31"/>
      <c r="H20" s="31"/>
      <c r="I20" s="31"/>
      <c r="J20" s="31"/>
      <c r="K20" s="31"/>
      <c r="L20" s="31"/>
      <c r="M20" s="31"/>
    </row>
    <row r="21" spans="2:13" ht="12.75" thickBot="1">
      <c r="B21" s="71" t="str">
        <f>Rates!A23</f>
        <v>Wholesale Market Service Rate</v>
      </c>
      <c r="C21" s="64" t="str">
        <f>Rates!B23</f>
        <v>$/kWh</v>
      </c>
      <c r="D21" s="66">
        <f>Rates!D45</f>
        <v>0.0052</v>
      </c>
      <c r="E21" s="73">
        <f>Rates!F45</f>
        <v>0.0052</v>
      </c>
      <c r="F21" s="31"/>
      <c r="G21" s="31"/>
      <c r="H21" s="31"/>
      <c r="I21" s="31"/>
      <c r="J21" s="31"/>
      <c r="K21" s="31"/>
      <c r="L21" s="31"/>
      <c r="M21" s="31"/>
    </row>
    <row r="22" spans="2:13" ht="12">
      <c r="B22" s="71" t="str">
        <f>Rates!A24</f>
        <v>Rural Rate Protection Charge</v>
      </c>
      <c r="C22" s="64" t="str">
        <f>Rates!B24</f>
        <v>$/kWh</v>
      </c>
      <c r="D22" s="66">
        <f>Rates!D46</f>
        <v>0.0011</v>
      </c>
      <c r="E22" s="73">
        <f>Rates!F46</f>
        <v>0.0011</v>
      </c>
      <c r="F22" s="31"/>
      <c r="G22" s="31"/>
      <c r="H22" s="160"/>
      <c r="I22" s="152" t="s">
        <v>72</v>
      </c>
      <c r="J22" s="161" t="s">
        <v>90</v>
      </c>
      <c r="K22" s="31"/>
      <c r="L22" s="31"/>
      <c r="M22" s="31"/>
    </row>
    <row r="23" spans="2:13" ht="12.75" thickBot="1">
      <c r="B23" s="74" t="str">
        <f>Rates!A25</f>
        <v>Standard Supply Service - Administrative Charge (if applicable)</v>
      </c>
      <c r="C23" s="75" t="str">
        <f>Rates!B25</f>
        <v>$</v>
      </c>
      <c r="D23" s="76">
        <f>Rates!D47</f>
        <v>0.25</v>
      </c>
      <c r="E23" s="77">
        <f>Rates!F47</f>
        <v>0.25</v>
      </c>
      <c r="F23" s="31"/>
      <c r="G23" s="31"/>
      <c r="H23" s="162" t="s">
        <v>13</v>
      </c>
      <c r="I23" s="135">
        <f>Rates!$D$134</f>
        <v>1.0719</v>
      </c>
      <c r="J23" s="163">
        <f>Rates!$F$134</f>
        <v>1.1113</v>
      </c>
      <c r="K23" s="31"/>
      <c r="L23" s="31"/>
      <c r="M23" s="31"/>
    </row>
    <row r="24" spans="2:13" ht="12">
      <c r="B24" s="60"/>
      <c r="C24" s="61"/>
      <c r="D24" s="62"/>
      <c r="E24" s="62"/>
      <c r="F24" s="31"/>
      <c r="G24" s="31"/>
      <c r="H24" s="31"/>
      <c r="I24" s="31"/>
      <c r="J24" s="31"/>
      <c r="K24" s="31"/>
      <c r="L24" s="31"/>
      <c r="M24" s="31"/>
    </row>
    <row r="25" spans="2:13" ht="12.75" thickBot="1">
      <c r="B25" s="31"/>
      <c r="C25" s="6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2:13" ht="13.5" thickBot="1">
      <c r="B26" s="80" t="s">
        <v>88</v>
      </c>
      <c r="C26" s="81">
        <v>2000</v>
      </c>
      <c r="D26" s="89" t="s">
        <v>15</v>
      </c>
      <c r="E26" s="88"/>
      <c r="F26" s="87" t="s">
        <v>16</v>
      </c>
      <c r="G26" s="31"/>
      <c r="H26" s="170">
        <f>C26</f>
        <v>2000</v>
      </c>
      <c r="I26" s="89" t="s">
        <v>15</v>
      </c>
      <c r="J26" s="172">
        <f>E26</f>
        <v>0</v>
      </c>
      <c r="K26" s="87" t="s">
        <v>16</v>
      </c>
      <c r="L26" s="31"/>
      <c r="M26" s="31"/>
    </row>
    <row r="27" spans="2:13" ht="12.75">
      <c r="B27" s="82" t="s">
        <v>53</v>
      </c>
      <c r="C27" s="78">
        <f>ROUND(C26*I23-C26,0)</f>
        <v>144</v>
      </c>
      <c r="D27" s="83" t="s">
        <v>15</v>
      </c>
      <c r="E27" s="31"/>
      <c r="F27" s="32"/>
      <c r="G27" s="31"/>
      <c r="H27" s="78">
        <f>ROUND(H26*J23-H26,0)</f>
        <v>223</v>
      </c>
      <c r="I27" s="83" t="s">
        <v>15</v>
      </c>
      <c r="J27" s="31"/>
      <c r="K27" s="32"/>
      <c r="L27" s="31"/>
      <c r="M27" s="31"/>
    </row>
    <row r="28" spans="2:13" ht="13.5" thickBot="1">
      <c r="B28" s="84" t="s">
        <v>54</v>
      </c>
      <c r="C28" s="85">
        <f>+C26+C27</f>
        <v>2144</v>
      </c>
      <c r="D28" s="86" t="s">
        <v>15</v>
      </c>
      <c r="E28" s="33"/>
      <c r="F28" s="32"/>
      <c r="G28" s="31"/>
      <c r="H28" s="85">
        <f>+H26+H27</f>
        <v>2223</v>
      </c>
      <c r="I28" s="86" t="s">
        <v>15</v>
      </c>
      <c r="J28" s="33"/>
      <c r="K28" s="32"/>
      <c r="L28" s="31"/>
      <c r="M28" s="31"/>
    </row>
    <row r="29" spans="2:13" ht="12.75" thickBot="1">
      <c r="B29" s="31"/>
      <c r="C29" s="31"/>
      <c r="D29" s="61"/>
      <c r="E29" s="31"/>
      <c r="F29" s="31"/>
      <c r="G29" s="31"/>
      <c r="H29" s="31"/>
      <c r="I29" s="31"/>
      <c r="J29" s="31"/>
      <c r="K29" s="31"/>
      <c r="L29" s="31"/>
      <c r="M29" s="31"/>
    </row>
    <row r="30" spans="2:13" ht="13.5" customHeight="1">
      <c r="B30" s="188" t="str">
        <f>B3</f>
        <v>General Service Less Than 50kW</v>
      </c>
      <c r="C30" s="120"/>
      <c r="D30" s="190" t="str">
        <f>+D3</f>
        <v>Current Approved Rates</v>
      </c>
      <c r="E30" s="190"/>
      <c r="F30" s="190"/>
      <c r="G30" s="190" t="str">
        <f>+E3</f>
        <v>Proposed Rates</v>
      </c>
      <c r="H30" s="190"/>
      <c r="I30" s="190"/>
      <c r="J30" s="120"/>
      <c r="K30" s="120"/>
      <c r="L30" s="121"/>
      <c r="M30" s="31"/>
    </row>
    <row r="31" spans="2:13" ht="12.75" customHeight="1">
      <c r="B31" s="189"/>
      <c r="C31" s="186" t="str">
        <f>+C3</f>
        <v>Metric</v>
      </c>
      <c r="D31" s="186" t="s">
        <v>55</v>
      </c>
      <c r="E31" s="92" t="s">
        <v>23</v>
      </c>
      <c r="F31" s="92" t="s">
        <v>24</v>
      </c>
      <c r="G31" s="186" t="s">
        <v>55</v>
      </c>
      <c r="H31" s="92" t="s">
        <v>23</v>
      </c>
      <c r="I31" s="92" t="s">
        <v>24</v>
      </c>
      <c r="J31" s="184" t="s">
        <v>30</v>
      </c>
      <c r="K31" s="184"/>
      <c r="L31" s="185"/>
      <c r="M31" s="31"/>
    </row>
    <row r="32" spans="2:13" ht="12" customHeight="1">
      <c r="B32" s="189"/>
      <c r="C32" s="187"/>
      <c r="D32" s="187"/>
      <c r="E32" s="92" t="s">
        <v>8</v>
      </c>
      <c r="F32" s="92" t="s">
        <v>8</v>
      </c>
      <c r="G32" s="187"/>
      <c r="H32" s="92" t="s">
        <v>8</v>
      </c>
      <c r="I32" s="92" t="s">
        <v>8</v>
      </c>
      <c r="J32" s="92" t="s">
        <v>8</v>
      </c>
      <c r="K32" s="141" t="s">
        <v>12</v>
      </c>
      <c r="L32" s="122" t="s">
        <v>20</v>
      </c>
      <c r="M32" s="31"/>
    </row>
    <row r="33" spans="2:13" ht="12">
      <c r="B33" s="145" t="s">
        <v>68</v>
      </c>
      <c r="C33" s="142" t="str">
        <f>+Rates!B142</f>
        <v>$/kWh</v>
      </c>
      <c r="D33" s="112">
        <f>+$C$28</f>
        <v>2144</v>
      </c>
      <c r="E33" s="113">
        <f>Rates!D142</f>
        <v>0.035</v>
      </c>
      <c r="F33" s="143">
        <f>D33*E33</f>
        <v>75.04</v>
      </c>
      <c r="G33" s="112">
        <f>+$H$28</f>
        <v>2223</v>
      </c>
      <c r="H33" s="113">
        <f>+E33</f>
        <v>0.035</v>
      </c>
      <c r="I33" s="143">
        <f>G33*H33</f>
        <v>77.805</v>
      </c>
      <c r="J33" s="97">
        <f>I33-F33</f>
        <v>2.7650000000000006</v>
      </c>
      <c r="K33" s="98">
        <f>IF(ISERROR(J33/F33),1,J33/F33)</f>
        <v>0.03684701492537314</v>
      </c>
      <c r="L33" s="125">
        <f>IF(ISERROR(I33/I$62),0,I33/I$62)</f>
        <v>0.23382699263881496</v>
      </c>
      <c r="M33" s="31"/>
    </row>
    <row r="34" spans="2:13" ht="12">
      <c r="B34" s="145" t="s">
        <v>67</v>
      </c>
      <c r="C34" s="142" t="str">
        <f>+Rates!B143</f>
        <v>$/kWh</v>
      </c>
      <c r="D34" s="112">
        <f>+$C$28</f>
        <v>2144</v>
      </c>
      <c r="E34" s="113">
        <f>Rates!D143</f>
        <v>0.04</v>
      </c>
      <c r="F34" s="97">
        <f>D34*E34</f>
        <v>85.76</v>
      </c>
      <c r="G34" s="112">
        <f>+$H$28</f>
        <v>2223</v>
      </c>
      <c r="H34" s="113">
        <f>+E34</f>
        <v>0.04</v>
      </c>
      <c r="I34" s="97">
        <f>G34*H34</f>
        <v>88.92</v>
      </c>
      <c r="J34" s="97">
        <f>I34-F34</f>
        <v>3.1599999999999966</v>
      </c>
      <c r="K34" s="98">
        <f>IF(ISERROR(J34/F34),1,J34/F34)</f>
        <v>0.036847014925373095</v>
      </c>
      <c r="L34" s="125">
        <f>IF(ISERROR(I34/I$62),0,I34/I$62)</f>
        <v>0.2672308487300742</v>
      </c>
      <c r="M34" s="31"/>
    </row>
    <row r="35" spans="2:13" ht="12">
      <c r="B35" s="24" t="str">
        <f aca="true" t="shared" si="0" ref="B35:B40">B4</f>
        <v>Monthly Service Charge</v>
      </c>
      <c r="C35" s="27" t="str">
        <f aca="true" t="shared" si="1" ref="C35:C40">+C4</f>
        <v>$</v>
      </c>
      <c r="D35" s="144">
        <v>1</v>
      </c>
      <c r="E35" s="93">
        <f aca="true" t="shared" si="2" ref="E35:E40">D4</f>
        <v>20.98</v>
      </c>
      <c r="F35" s="93">
        <f>D35*E35</f>
        <v>20.98</v>
      </c>
      <c r="G35" s="64">
        <f aca="true" t="shared" si="3" ref="G35:G49">+D35</f>
        <v>1</v>
      </c>
      <c r="H35" s="93">
        <f aca="true" t="shared" si="4" ref="H35:H40">E4</f>
        <v>24.66</v>
      </c>
      <c r="I35" s="93">
        <f>G35*H35</f>
        <v>24.66</v>
      </c>
      <c r="J35" s="13">
        <f aca="true" t="shared" si="5" ref="J35:J62">I35-F35</f>
        <v>3.6799999999999997</v>
      </c>
      <c r="K35" s="14">
        <f aca="true" t="shared" si="6" ref="K35:K62">IF(ISERROR(J35/F35),0,J35/F35)</f>
        <v>0.1754051477597712</v>
      </c>
      <c r="L35" s="15">
        <f>IF(ISERROR(I35/I$62),0,I35/I$62)</f>
        <v>0.07411057950611369</v>
      </c>
      <c r="M35" s="31"/>
    </row>
    <row r="36" spans="2:13" ht="12">
      <c r="B36" s="24" t="str">
        <f t="shared" si="0"/>
        <v>Monthly Service Charge Rate Rider</v>
      </c>
      <c r="C36" s="27" t="str">
        <f t="shared" si="1"/>
        <v>$</v>
      </c>
      <c r="D36" s="11">
        <f>D35</f>
        <v>1</v>
      </c>
      <c r="E36" s="93">
        <f t="shared" si="2"/>
        <v>0</v>
      </c>
      <c r="F36" s="13">
        <f aca="true" t="shared" si="7" ref="F36:F49">D36*E36</f>
        <v>0</v>
      </c>
      <c r="G36" s="64">
        <f t="shared" si="3"/>
        <v>1</v>
      </c>
      <c r="H36" s="93">
        <f t="shared" si="4"/>
        <v>0</v>
      </c>
      <c r="I36" s="13">
        <f aca="true" t="shared" si="8" ref="I36:I49">G36*H36</f>
        <v>0</v>
      </c>
      <c r="J36" s="13">
        <f t="shared" si="5"/>
        <v>0</v>
      </c>
      <c r="K36" s="14">
        <f t="shared" si="6"/>
        <v>0</v>
      </c>
      <c r="L36" s="15">
        <f>IF(ISERROR(I36/I$62),0,I36/I$62)</f>
        <v>0</v>
      </c>
      <c r="M36" s="31"/>
    </row>
    <row r="37" spans="2:13" ht="12">
      <c r="B37" s="24" t="str">
        <f t="shared" si="0"/>
        <v>Smart Meter Rate Rider</v>
      </c>
      <c r="C37" s="27" t="str">
        <f t="shared" si="1"/>
        <v>$</v>
      </c>
      <c r="D37" s="11">
        <f>D35</f>
        <v>1</v>
      </c>
      <c r="E37" s="93">
        <f t="shared" si="2"/>
        <v>0</v>
      </c>
      <c r="F37" s="13">
        <f t="shared" si="7"/>
        <v>0</v>
      </c>
      <c r="G37" s="64">
        <f t="shared" si="3"/>
        <v>1</v>
      </c>
      <c r="H37" s="93">
        <f t="shared" si="4"/>
        <v>0</v>
      </c>
      <c r="I37" s="13">
        <f t="shared" si="8"/>
        <v>0</v>
      </c>
      <c r="J37" s="13">
        <f t="shared" si="5"/>
        <v>0</v>
      </c>
      <c r="K37" s="14">
        <f t="shared" si="6"/>
        <v>0</v>
      </c>
      <c r="L37" s="15">
        <f>IF(ISERROR(I37/I$62),0,I37/I$62)</f>
        <v>0</v>
      </c>
      <c r="M37" s="31"/>
    </row>
    <row r="38" spans="2:13" ht="12">
      <c r="B38" s="24" t="str">
        <f t="shared" si="0"/>
        <v>Distribution Volumetric Rate</v>
      </c>
      <c r="C38" s="27" t="str">
        <f t="shared" si="1"/>
        <v>$/kWh</v>
      </c>
      <c r="D38" s="11">
        <f aca="true" t="shared" si="9" ref="D38:D49">+$C$26</f>
        <v>2000</v>
      </c>
      <c r="E38" s="93">
        <f t="shared" si="2"/>
        <v>0.0226</v>
      </c>
      <c r="F38" s="13">
        <f t="shared" si="7"/>
        <v>45.199999999999996</v>
      </c>
      <c r="G38" s="64">
        <f t="shared" si="3"/>
        <v>2000</v>
      </c>
      <c r="H38" s="93">
        <f t="shared" si="4"/>
        <v>0.0251</v>
      </c>
      <c r="I38" s="13">
        <f t="shared" si="8"/>
        <v>50.2</v>
      </c>
      <c r="J38" s="13">
        <f t="shared" si="5"/>
        <v>5.000000000000007</v>
      </c>
      <c r="K38" s="14">
        <f t="shared" si="6"/>
        <v>0.11061946902654884</v>
      </c>
      <c r="L38" s="15">
        <f aca="true" t="shared" si="10" ref="L38:L62">IF(ISERROR(I38/I$62),0,I38/I$62)</f>
        <v>0.15086581878373512</v>
      </c>
      <c r="M38" s="31"/>
    </row>
    <row r="39" spans="2:13" ht="12">
      <c r="B39" s="24" t="str">
        <f t="shared" si="0"/>
        <v>Distribution Volumetric Rate Rider</v>
      </c>
      <c r="C39" s="27" t="str">
        <f t="shared" si="1"/>
        <v>$/kWh</v>
      </c>
      <c r="D39" s="11">
        <f t="shared" si="9"/>
        <v>2000</v>
      </c>
      <c r="E39" s="93">
        <f t="shared" si="2"/>
        <v>0</v>
      </c>
      <c r="F39" s="13">
        <f t="shared" si="7"/>
        <v>0</v>
      </c>
      <c r="G39" s="64">
        <f t="shared" si="3"/>
        <v>2000</v>
      </c>
      <c r="H39" s="93">
        <f t="shared" si="4"/>
        <v>0</v>
      </c>
      <c r="I39" s="13">
        <f t="shared" si="8"/>
        <v>0</v>
      </c>
      <c r="J39" s="13">
        <f t="shared" si="5"/>
        <v>0</v>
      </c>
      <c r="K39" s="14">
        <f t="shared" si="6"/>
        <v>0</v>
      </c>
      <c r="L39" s="15">
        <f t="shared" si="10"/>
        <v>0</v>
      </c>
      <c r="M39" s="31"/>
    </row>
    <row r="40" spans="2:13" ht="12">
      <c r="B40" s="24" t="str">
        <f t="shared" si="0"/>
        <v>Low Voltage Service Rate</v>
      </c>
      <c r="C40" s="27" t="str">
        <f t="shared" si="1"/>
        <v>$/kWh</v>
      </c>
      <c r="D40" s="11">
        <f t="shared" si="9"/>
        <v>2000</v>
      </c>
      <c r="E40" s="93">
        <f t="shared" si="2"/>
        <v>0.0013</v>
      </c>
      <c r="F40" s="13">
        <f>D40*E40</f>
        <v>2.6</v>
      </c>
      <c r="G40" s="64">
        <f>+D40</f>
        <v>2000</v>
      </c>
      <c r="H40" s="93">
        <f t="shared" si="4"/>
        <v>0.0014</v>
      </c>
      <c r="I40" s="13">
        <f>G40*H40</f>
        <v>2.8</v>
      </c>
      <c r="J40" s="13">
        <f>I40-F40</f>
        <v>0.19999999999999973</v>
      </c>
      <c r="K40" s="14">
        <f>IF(ISERROR(J40/F40),0,J40/F40)</f>
        <v>0.07692307692307682</v>
      </c>
      <c r="L40" s="15">
        <f>IF(ISERROR(I40/I$62),0,I40/I$62)</f>
        <v>0.00841482654570634</v>
      </c>
      <c r="M40" s="31"/>
    </row>
    <row r="41" spans="2:13" ht="12">
      <c r="B41" s="24" t="str">
        <f aca="true" t="shared" si="11" ref="B41:B49">B10</f>
        <v>Rate Rider for Deferral/Variance Account Disposition (2012) - effective until April 30, 2013</v>
      </c>
      <c r="C41" s="27" t="str">
        <f aca="true" t="shared" si="12" ref="C41:C49">+C10</f>
        <v>$/kWh</v>
      </c>
      <c r="D41" s="11">
        <f t="shared" si="9"/>
        <v>2000</v>
      </c>
      <c r="E41" s="93">
        <f aca="true" t="shared" si="13" ref="E41:E49">D10</f>
        <v>0</v>
      </c>
      <c r="F41" s="13">
        <f t="shared" si="7"/>
        <v>0</v>
      </c>
      <c r="G41" s="64">
        <f t="shared" si="3"/>
        <v>2000</v>
      </c>
      <c r="H41" s="93">
        <f aca="true" t="shared" si="14" ref="H41:H49">E10</f>
        <v>0</v>
      </c>
      <c r="I41" s="13">
        <f t="shared" si="8"/>
        <v>0</v>
      </c>
      <c r="J41" s="13">
        <f t="shared" si="5"/>
        <v>0</v>
      </c>
      <c r="K41" s="14">
        <f t="shared" si="6"/>
        <v>0</v>
      </c>
      <c r="L41" s="15">
        <f t="shared" si="10"/>
        <v>0</v>
      </c>
      <c r="M41" s="31"/>
    </row>
    <row r="42" spans="2:13" ht="12">
      <c r="B42" s="24" t="str">
        <f t="shared" si="11"/>
        <v>Rate Rider for Deferral/Variance Account Disposition (2013) - effective until December 31, 2013</v>
      </c>
      <c r="C42" s="27" t="str">
        <f t="shared" si="12"/>
        <v>$/kWh</v>
      </c>
      <c r="D42" s="11">
        <f t="shared" si="9"/>
        <v>2000</v>
      </c>
      <c r="E42" s="93">
        <f t="shared" si="13"/>
        <v>0</v>
      </c>
      <c r="F42" s="13">
        <f t="shared" si="7"/>
        <v>0</v>
      </c>
      <c r="G42" s="64">
        <f t="shared" si="3"/>
        <v>2000</v>
      </c>
      <c r="H42" s="93">
        <f t="shared" si="14"/>
        <v>-0.0018</v>
      </c>
      <c r="I42" s="13">
        <f t="shared" si="8"/>
        <v>-3.6</v>
      </c>
      <c r="J42" s="13">
        <f t="shared" si="5"/>
        <v>-3.6</v>
      </c>
      <c r="K42" s="14">
        <f t="shared" si="6"/>
        <v>0</v>
      </c>
      <c r="L42" s="15">
        <f t="shared" si="10"/>
        <v>-0.010819062701622438</v>
      </c>
      <c r="M42" s="31"/>
    </row>
    <row r="43" spans="2:13" ht="24">
      <c r="B43" s="24" t="str">
        <f t="shared" si="11"/>
        <v>Rate Rider for Global Adjustment Sub-Account Disposition (2012) - effective until April 30, 2013 Applicable only for Non-RPP Customers</v>
      </c>
      <c r="C43" s="27" t="str">
        <f t="shared" si="12"/>
        <v>$/kWh</v>
      </c>
      <c r="D43" s="11">
        <f t="shared" si="9"/>
        <v>2000</v>
      </c>
      <c r="E43" s="93">
        <f t="shared" si="13"/>
        <v>0</v>
      </c>
      <c r="F43" s="13">
        <f t="shared" si="7"/>
        <v>0</v>
      </c>
      <c r="G43" s="64">
        <f t="shared" si="3"/>
        <v>2000</v>
      </c>
      <c r="H43" s="93">
        <f t="shared" si="14"/>
        <v>0</v>
      </c>
      <c r="I43" s="13">
        <f t="shared" si="8"/>
        <v>0</v>
      </c>
      <c r="J43" s="13">
        <f t="shared" si="5"/>
        <v>0</v>
      </c>
      <c r="K43" s="14">
        <f t="shared" si="6"/>
        <v>0</v>
      </c>
      <c r="L43" s="15">
        <f t="shared" si="10"/>
        <v>0</v>
      </c>
      <c r="M43" s="31"/>
    </row>
    <row r="44" spans="2:13" ht="24">
      <c r="B44" s="24" t="str">
        <f t="shared" si="11"/>
        <v>Rate Rider for Global Adjustment Sub-Account Disposition (2013) - effective until December 31, 2013 Applicable only for Non-RPP Customers</v>
      </c>
      <c r="C44" s="27" t="str">
        <f t="shared" si="12"/>
        <v>$/kWh</v>
      </c>
      <c r="D44" s="11">
        <f t="shared" si="9"/>
        <v>2000</v>
      </c>
      <c r="E44" s="93">
        <f t="shared" si="13"/>
        <v>0</v>
      </c>
      <c r="F44" s="13">
        <f t="shared" si="7"/>
        <v>0</v>
      </c>
      <c r="G44" s="64">
        <f t="shared" si="3"/>
        <v>2000</v>
      </c>
      <c r="H44" s="93">
        <f t="shared" si="14"/>
        <v>0.0043</v>
      </c>
      <c r="I44" s="13">
        <f t="shared" si="8"/>
        <v>8.6</v>
      </c>
      <c r="J44" s="13">
        <f t="shared" si="5"/>
        <v>8.6</v>
      </c>
      <c r="K44" s="14">
        <f t="shared" si="6"/>
        <v>0</v>
      </c>
      <c r="L44" s="15">
        <f t="shared" si="10"/>
        <v>0.025845538676098043</v>
      </c>
      <c r="M44" s="31"/>
    </row>
    <row r="45" spans="2:13" ht="12">
      <c r="B45" s="24" t="str">
        <f t="shared" si="11"/>
        <v>Rate Rider for Tax Change - effective until April 30, 2013</v>
      </c>
      <c r="C45" s="27" t="str">
        <f t="shared" si="12"/>
        <v>$/kWh</v>
      </c>
      <c r="D45" s="11">
        <f t="shared" si="9"/>
        <v>2000</v>
      </c>
      <c r="E45" s="93">
        <f t="shared" si="13"/>
        <v>-0.0004</v>
      </c>
      <c r="F45" s="13">
        <f t="shared" si="7"/>
        <v>-0.8</v>
      </c>
      <c r="G45" s="64">
        <f t="shared" si="3"/>
        <v>2000</v>
      </c>
      <c r="H45" s="93">
        <f t="shared" si="14"/>
        <v>-0.0004</v>
      </c>
      <c r="I45" s="13">
        <f t="shared" si="8"/>
        <v>-0.8</v>
      </c>
      <c r="J45" s="13">
        <f t="shared" si="5"/>
        <v>0</v>
      </c>
      <c r="K45" s="14">
        <f t="shared" si="6"/>
        <v>0</v>
      </c>
      <c r="L45" s="15">
        <f t="shared" si="10"/>
        <v>-0.0024042361559160974</v>
      </c>
      <c r="M45" s="31"/>
    </row>
    <row r="46" spans="2:13" ht="12">
      <c r="B46" s="24" t="str">
        <f t="shared" si="11"/>
        <v>Rate Rider for Tax Change - effective until December 31, 2013</v>
      </c>
      <c r="C46" s="27" t="str">
        <f t="shared" si="12"/>
        <v>$/kWh</v>
      </c>
      <c r="D46" s="11">
        <f t="shared" si="9"/>
        <v>2000</v>
      </c>
      <c r="E46" s="93">
        <f t="shared" si="13"/>
        <v>0</v>
      </c>
      <c r="F46" s="13">
        <f t="shared" si="7"/>
        <v>0</v>
      </c>
      <c r="G46" s="64">
        <f t="shared" si="3"/>
        <v>2000</v>
      </c>
      <c r="H46" s="93">
        <f t="shared" si="14"/>
        <v>0</v>
      </c>
      <c r="I46" s="13">
        <f t="shared" si="8"/>
        <v>0</v>
      </c>
      <c r="J46" s="13">
        <f t="shared" si="5"/>
        <v>0</v>
      </c>
      <c r="K46" s="14">
        <f t="shared" si="6"/>
        <v>0</v>
      </c>
      <c r="L46" s="15">
        <f t="shared" si="10"/>
        <v>0</v>
      </c>
      <c r="M46" s="31"/>
    </row>
    <row r="47" spans="2:13" ht="12">
      <c r="B47" s="24" t="str">
        <f t="shared" si="11"/>
        <v>Rate Rider for Stranded Meters - effective until December 31, 2013</v>
      </c>
      <c r="C47" s="27" t="str">
        <f t="shared" si="12"/>
        <v>$</v>
      </c>
      <c r="D47" s="11">
        <f>D35</f>
        <v>1</v>
      </c>
      <c r="E47" s="93">
        <f t="shared" si="13"/>
        <v>0</v>
      </c>
      <c r="F47" s="13">
        <f t="shared" si="7"/>
        <v>0</v>
      </c>
      <c r="G47" s="64">
        <f t="shared" si="3"/>
        <v>1</v>
      </c>
      <c r="H47" s="93">
        <f t="shared" si="14"/>
        <v>3.04</v>
      </c>
      <c r="I47" s="13">
        <f t="shared" si="8"/>
        <v>3.04</v>
      </c>
      <c r="J47" s="13">
        <f>I47-F47</f>
        <v>3.04</v>
      </c>
      <c r="K47" s="14">
        <f>IF(ISERROR(J47/F47),0,J47/F47)</f>
        <v>0</v>
      </c>
      <c r="L47" s="15">
        <f t="shared" si="10"/>
        <v>0.00913609739248117</v>
      </c>
      <c r="M47" s="31"/>
    </row>
    <row r="48" spans="2:13" ht="12">
      <c r="B48" s="24" t="str">
        <f t="shared" si="11"/>
        <v>Rate Rider for Smart Meter Disposition - effective until December 31, 2013</v>
      </c>
      <c r="C48" s="27" t="str">
        <f t="shared" si="12"/>
        <v>$</v>
      </c>
      <c r="D48" s="11">
        <f>D35</f>
        <v>1</v>
      </c>
      <c r="E48" s="93">
        <f t="shared" si="13"/>
        <v>0</v>
      </c>
      <c r="F48" s="13">
        <f t="shared" si="7"/>
        <v>0</v>
      </c>
      <c r="G48" s="64">
        <f t="shared" si="3"/>
        <v>1</v>
      </c>
      <c r="H48" s="93">
        <f t="shared" si="14"/>
        <v>3.38</v>
      </c>
      <c r="I48" s="13">
        <f t="shared" si="8"/>
        <v>3.38</v>
      </c>
      <c r="J48" s="13">
        <f>I48-F48</f>
        <v>3.38</v>
      </c>
      <c r="K48" s="14">
        <f>IF(ISERROR(J48/F48),0,J48/F48)</f>
        <v>0</v>
      </c>
      <c r="L48" s="15">
        <f t="shared" si="10"/>
        <v>0.01015789775874551</v>
      </c>
      <c r="M48" s="31"/>
    </row>
    <row r="49" spans="2:13" ht="12">
      <c r="B49" s="24" t="str">
        <f t="shared" si="11"/>
        <v>Rate Rider for PILS - effective until December 31, 2014</v>
      </c>
      <c r="C49" s="27" t="str">
        <f t="shared" si="12"/>
        <v>$/kWh</v>
      </c>
      <c r="D49" s="11">
        <f t="shared" si="9"/>
        <v>2000</v>
      </c>
      <c r="E49" s="93">
        <f t="shared" si="13"/>
        <v>0</v>
      </c>
      <c r="F49" s="13">
        <f t="shared" si="7"/>
        <v>0</v>
      </c>
      <c r="G49" s="64">
        <f t="shared" si="3"/>
        <v>2000</v>
      </c>
      <c r="H49" s="93">
        <f t="shared" si="14"/>
        <v>-0.0005</v>
      </c>
      <c r="I49" s="13">
        <f t="shared" si="8"/>
        <v>-1</v>
      </c>
      <c r="J49" s="13">
        <f>I49-F49</f>
        <v>-1</v>
      </c>
      <c r="K49" s="14">
        <f>IF(ISERROR(J49/F49),0,J49/F49)</f>
        <v>0</v>
      </c>
      <c r="L49" s="15">
        <f t="shared" si="10"/>
        <v>-0.0030052951948951216</v>
      </c>
      <c r="M49" s="31"/>
    </row>
    <row r="50" spans="2:13" ht="12">
      <c r="B50" s="126" t="s">
        <v>26</v>
      </c>
      <c r="C50" s="100"/>
      <c r="D50" s="101"/>
      <c r="E50" s="102"/>
      <c r="F50" s="103">
        <f>SUM(F35:F49)</f>
        <v>67.97999999999999</v>
      </c>
      <c r="G50" s="102"/>
      <c r="H50" s="102"/>
      <c r="I50" s="103">
        <f>SUM(I35:I49)</f>
        <v>87.28</v>
      </c>
      <c r="J50" s="104">
        <f>I50-F50</f>
        <v>19.30000000000001</v>
      </c>
      <c r="K50" s="105">
        <f>IF(ISERROR(J50/F50),0,J50/F50)</f>
        <v>0.28390703147984725</v>
      </c>
      <c r="L50" s="127">
        <f t="shared" si="10"/>
        <v>0.2623021646104462</v>
      </c>
      <c r="M50" s="31"/>
    </row>
    <row r="51" spans="2:13" ht="12">
      <c r="B51" s="24" t="str">
        <f>B19</f>
        <v>Retail Transmission Rate - Network Service Rate</v>
      </c>
      <c r="C51" s="27" t="str">
        <f>C19</f>
        <v>$/kWh</v>
      </c>
      <c r="D51" s="11">
        <f>+$C$28</f>
        <v>2144</v>
      </c>
      <c r="E51" s="12">
        <f>D19</f>
        <v>0.0035</v>
      </c>
      <c r="F51" s="13">
        <f>D51*E51</f>
        <v>7.5040000000000004</v>
      </c>
      <c r="G51" s="11">
        <f>+$H$28</f>
        <v>2223</v>
      </c>
      <c r="H51" s="12">
        <f>E19</f>
        <v>0.0038</v>
      </c>
      <c r="I51" s="13">
        <f>G51*H51</f>
        <v>8.4474</v>
      </c>
      <c r="J51" s="13">
        <f t="shared" si="5"/>
        <v>0.9433999999999996</v>
      </c>
      <c r="K51" s="14">
        <f t="shared" si="6"/>
        <v>0.12571961620469077</v>
      </c>
      <c r="L51" s="15">
        <f t="shared" si="10"/>
        <v>0.025386930629357048</v>
      </c>
      <c r="M51" s="31"/>
    </row>
    <row r="52" spans="2:13" ht="12">
      <c r="B52" s="24" t="str">
        <f>B20</f>
        <v>Retail Transmission Rate - Line and Transformation Connection Service Rate</v>
      </c>
      <c r="C52" s="27" t="str">
        <f>C20</f>
        <v>$/kWh</v>
      </c>
      <c r="D52" s="11">
        <f>+$C$28</f>
        <v>2144</v>
      </c>
      <c r="E52" s="12">
        <f>D20</f>
        <v>0.0033</v>
      </c>
      <c r="F52" s="13">
        <f>D52*E52</f>
        <v>7.0752</v>
      </c>
      <c r="G52" s="11">
        <f>+$H$28</f>
        <v>2223</v>
      </c>
      <c r="H52" s="12">
        <f>E20</f>
        <v>0.0034</v>
      </c>
      <c r="I52" s="13">
        <f>G52*H52</f>
        <v>7.558199999999999</v>
      </c>
      <c r="J52" s="13">
        <f>I52-F52</f>
        <v>0.48299999999999965</v>
      </c>
      <c r="K52" s="14">
        <f>IF(ISERROR(J52/F52),0,J52/F52)</f>
        <v>0.06826662143826319</v>
      </c>
      <c r="L52" s="15">
        <f t="shared" si="10"/>
        <v>0.022714622142056305</v>
      </c>
      <c r="M52" s="31"/>
    </row>
    <row r="53" spans="2:13" ht="12">
      <c r="B53" s="126" t="s">
        <v>18</v>
      </c>
      <c r="C53" s="100"/>
      <c r="D53" s="101"/>
      <c r="E53" s="102"/>
      <c r="F53" s="104">
        <f>+SUM(F51:F52)</f>
        <v>14.5792</v>
      </c>
      <c r="G53" s="102"/>
      <c r="H53" s="102"/>
      <c r="I53" s="104">
        <f>+SUM(I51:I52)</f>
        <v>16.0056</v>
      </c>
      <c r="J53" s="104">
        <f>I53-F53</f>
        <v>1.426400000000001</v>
      </c>
      <c r="K53" s="105">
        <f>IF(ISERROR(J53/F53),0,J53/F53)</f>
        <v>0.09783801580333633</v>
      </c>
      <c r="L53" s="127">
        <f>IF(ISERROR(I53/I$62),0,I53/I$62)</f>
        <v>0.04810155277141336</v>
      </c>
      <c r="M53" s="31"/>
    </row>
    <row r="54" spans="2:13" ht="12">
      <c r="B54" s="128" t="s">
        <v>27</v>
      </c>
      <c r="C54" s="107"/>
      <c r="D54" s="108"/>
      <c r="E54" s="109"/>
      <c r="F54" s="110">
        <f>F50+F53</f>
        <v>82.55919999999999</v>
      </c>
      <c r="G54" s="109"/>
      <c r="H54" s="109"/>
      <c r="I54" s="110">
        <f>I50+I53</f>
        <v>103.2856</v>
      </c>
      <c r="J54" s="110">
        <f t="shared" si="5"/>
        <v>20.726400000000012</v>
      </c>
      <c r="K54" s="111">
        <f t="shared" si="6"/>
        <v>0.251048944272716</v>
      </c>
      <c r="L54" s="129">
        <f t="shared" si="10"/>
        <v>0.31040371738185957</v>
      </c>
      <c r="M54" s="31"/>
    </row>
    <row r="55" spans="2:13" ht="12">
      <c r="B55" s="24" t="str">
        <f>B21</f>
        <v>Wholesale Market Service Rate</v>
      </c>
      <c r="C55" s="27" t="str">
        <f>C21</f>
        <v>$/kWh</v>
      </c>
      <c r="D55" s="11">
        <f>+$C$28</f>
        <v>2144</v>
      </c>
      <c r="E55" s="12">
        <f>D21</f>
        <v>0.0052</v>
      </c>
      <c r="F55" s="13">
        <f>D55*E55</f>
        <v>11.1488</v>
      </c>
      <c r="G55" s="11">
        <f>+$H$28</f>
        <v>2223</v>
      </c>
      <c r="H55" s="12">
        <f>E21</f>
        <v>0.0052</v>
      </c>
      <c r="I55" s="13">
        <f>G55*H55</f>
        <v>11.5596</v>
      </c>
      <c r="J55" s="13">
        <f t="shared" si="5"/>
        <v>0.41080000000000005</v>
      </c>
      <c r="K55" s="14">
        <f t="shared" si="6"/>
        <v>0.036847014925373144</v>
      </c>
      <c r="L55" s="15">
        <f t="shared" si="10"/>
        <v>0.03474001033490964</v>
      </c>
      <c r="M55" s="31"/>
    </row>
    <row r="56" spans="2:13" ht="12">
      <c r="B56" s="24" t="str">
        <f>B22</f>
        <v>Rural Rate Protection Charge</v>
      </c>
      <c r="C56" s="27" t="str">
        <f>C22</f>
        <v>$/kWh</v>
      </c>
      <c r="D56" s="11">
        <f>+$C$28</f>
        <v>2144</v>
      </c>
      <c r="E56" s="12">
        <f>D22</f>
        <v>0.0011</v>
      </c>
      <c r="F56" s="13">
        <f>D56*E56</f>
        <v>2.3584</v>
      </c>
      <c r="G56" s="11">
        <f>+$H$28</f>
        <v>2223</v>
      </c>
      <c r="H56" s="12">
        <f>E22</f>
        <v>0.0011</v>
      </c>
      <c r="I56" s="13">
        <f>G56*H56</f>
        <v>2.4453</v>
      </c>
      <c r="J56" s="13">
        <f t="shared" si="5"/>
        <v>0.08689999999999998</v>
      </c>
      <c r="K56" s="14">
        <f t="shared" si="6"/>
        <v>0.03684701492537312</v>
      </c>
      <c r="L56" s="15">
        <f t="shared" si="10"/>
        <v>0.00734884834007704</v>
      </c>
      <c r="M56" s="31"/>
    </row>
    <row r="57" spans="2:13" ht="12">
      <c r="B57" s="24" t="str">
        <f>B23</f>
        <v>Standard Supply Service - Administrative Charge (if applicable)</v>
      </c>
      <c r="C57" s="27" t="str">
        <f>C23</f>
        <v>$</v>
      </c>
      <c r="D57" s="11">
        <f>+$D$35</f>
        <v>1</v>
      </c>
      <c r="E57" s="13">
        <f>D23</f>
        <v>0.25</v>
      </c>
      <c r="F57" s="13">
        <f>D57*E57</f>
        <v>0.25</v>
      </c>
      <c r="G57" s="11">
        <f>+D57</f>
        <v>1</v>
      </c>
      <c r="H57" s="13">
        <f>E23</f>
        <v>0.25</v>
      </c>
      <c r="I57" s="13">
        <f>G57*H57</f>
        <v>0.25</v>
      </c>
      <c r="J57" s="13">
        <f t="shared" si="5"/>
        <v>0</v>
      </c>
      <c r="K57" s="14">
        <f t="shared" si="6"/>
        <v>0</v>
      </c>
      <c r="L57" s="15">
        <f t="shared" si="10"/>
        <v>0.0007513237987237804</v>
      </c>
      <c r="M57" s="31"/>
    </row>
    <row r="58" spans="2:13" ht="12">
      <c r="B58" s="128" t="s">
        <v>28</v>
      </c>
      <c r="C58" s="106"/>
      <c r="D58" s="95"/>
      <c r="E58" s="96"/>
      <c r="F58" s="97">
        <f>SUM(F55:F57)</f>
        <v>13.7572</v>
      </c>
      <c r="G58" s="96"/>
      <c r="H58" s="96"/>
      <c r="I58" s="97">
        <f>SUM(I55:I57)</f>
        <v>14.2549</v>
      </c>
      <c r="J58" s="97">
        <f t="shared" si="5"/>
        <v>0.49770000000000003</v>
      </c>
      <c r="K58" s="98">
        <f t="shared" si="6"/>
        <v>0.036177419823801356</v>
      </c>
      <c r="L58" s="125">
        <f t="shared" si="10"/>
        <v>0.042840182473710464</v>
      </c>
      <c r="M58" s="31"/>
    </row>
    <row r="59" spans="2:13" ht="12">
      <c r="B59" s="130" t="s">
        <v>11</v>
      </c>
      <c r="C59" s="180" t="s">
        <v>9</v>
      </c>
      <c r="D59" s="112">
        <f>C26</f>
        <v>2000</v>
      </c>
      <c r="E59" s="113">
        <v>0.0051</v>
      </c>
      <c r="F59" s="97">
        <f>D59*E59</f>
        <v>10.200000000000001</v>
      </c>
      <c r="G59" s="112">
        <f>D59</f>
        <v>2000</v>
      </c>
      <c r="H59" s="113">
        <f>E59</f>
        <v>0.0051</v>
      </c>
      <c r="I59" s="97">
        <f>G59*H59</f>
        <v>10.200000000000001</v>
      </c>
      <c r="J59" s="97">
        <f t="shared" si="5"/>
        <v>0</v>
      </c>
      <c r="K59" s="98">
        <f t="shared" si="6"/>
        <v>0</v>
      </c>
      <c r="L59" s="125">
        <f t="shared" si="10"/>
        <v>0.030654010987930243</v>
      </c>
      <c r="M59" s="31"/>
    </row>
    <row r="60" spans="2:13" ht="12">
      <c r="B60" s="131" t="s">
        <v>29</v>
      </c>
      <c r="C60" s="114"/>
      <c r="D60" s="79"/>
      <c r="E60" s="115"/>
      <c r="F60" s="116">
        <f>F33+F34+F54+F58+F59</f>
        <v>267.3164</v>
      </c>
      <c r="G60" s="115"/>
      <c r="H60" s="115"/>
      <c r="I60" s="116">
        <f>I33+I34+I54+I58+I59</f>
        <v>294.4655</v>
      </c>
      <c r="J60" s="116">
        <f t="shared" si="5"/>
        <v>27.149100000000033</v>
      </c>
      <c r="K60" s="117">
        <f t="shared" si="6"/>
        <v>0.10156166999106689</v>
      </c>
      <c r="L60" s="132">
        <f t="shared" si="10"/>
        <v>0.8849557522123894</v>
      </c>
      <c r="M60" s="31"/>
    </row>
    <row r="61" spans="2:13" ht="12">
      <c r="B61" s="130" t="s">
        <v>57</v>
      </c>
      <c r="C61" s="118"/>
      <c r="D61" s="95"/>
      <c r="E61" s="119">
        <f>+Rates!$D$145</f>
        <v>0.13</v>
      </c>
      <c r="F61" s="97">
        <f>E61*F60</f>
        <v>34.751132</v>
      </c>
      <c r="G61" s="96"/>
      <c r="H61" s="119">
        <f>+E61</f>
        <v>0.13</v>
      </c>
      <c r="I61" s="97">
        <f>H61*I60</f>
        <v>38.280515</v>
      </c>
      <c r="J61" s="97">
        <f t="shared" si="5"/>
        <v>3.529383000000003</v>
      </c>
      <c r="K61" s="98">
        <f t="shared" si="6"/>
        <v>0.10156166999106685</v>
      </c>
      <c r="L61" s="125">
        <f t="shared" si="10"/>
        <v>0.11504424778761062</v>
      </c>
      <c r="M61" s="31"/>
    </row>
    <row r="62" spans="2:13" ht="12.75" thickBot="1">
      <c r="B62" s="133" t="s">
        <v>19</v>
      </c>
      <c r="C62" s="134"/>
      <c r="D62" s="135"/>
      <c r="E62" s="136"/>
      <c r="F62" s="137">
        <f>+F60+F61</f>
        <v>302.06753199999997</v>
      </c>
      <c r="G62" s="136"/>
      <c r="H62" s="136"/>
      <c r="I62" s="137">
        <f>+I60+I61</f>
        <v>332.746015</v>
      </c>
      <c r="J62" s="137">
        <f t="shared" si="5"/>
        <v>30.67848300000003</v>
      </c>
      <c r="K62" s="138">
        <f t="shared" si="6"/>
        <v>0.10156166999106687</v>
      </c>
      <c r="L62" s="139">
        <f t="shared" si="10"/>
        <v>1</v>
      </c>
      <c r="M62" s="31"/>
    </row>
    <row r="63" spans="2:13" ht="12">
      <c r="B63" s="31"/>
      <c r="C63" s="31"/>
      <c r="D63" s="61"/>
      <c r="E63" s="31"/>
      <c r="F63" s="31"/>
      <c r="G63" s="31"/>
      <c r="H63" s="31"/>
      <c r="I63" s="31"/>
      <c r="J63" s="31"/>
      <c r="K63" s="31"/>
      <c r="L63" s="31"/>
      <c r="M63" s="31"/>
    </row>
    <row r="64" spans="2:13" ht="12">
      <c r="B64" s="31"/>
      <c r="C64" s="31"/>
      <c r="D64" s="61"/>
      <c r="E64" s="31"/>
      <c r="F64" s="31"/>
      <c r="G64" s="31"/>
      <c r="H64" s="31"/>
      <c r="I64" s="31"/>
      <c r="J64" s="31"/>
      <c r="K64" s="31"/>
      <c r="L64" s="31"/>
      <c r="M64" s="31"/>
    </row>
    <row r="65" spans="2:13" ht="12">
      <c r="B65" s="31"/>
      <c r="C65" s="31"/>
      <c r="D65" s="61"/>
      <c r="E65" s="31"/>
      <c r="F65" s="31"/>
      <c r="G65" s="31"/>
      <c r="H65" s="31"/>
      <c r="I65" s="31"/>
      <c r="J65" s="31"/>
      <c r="K65" s="31"/>
      <c r="L65" s="31"/>
      <c r="M65" s="31"/>
    </row>
    <row r="66" spans="2:13" ht="12">
      <c r="B66" s="31"/>
      <c r="C66" s="31"/>
      <c r="D66" s="61"/>
      <c r="E66" s="31"/>
      <c r="F66" s="31"/>
      <c r="G66" s="31"/>
      <c r="H66" s="31"/>
      <c r="I66" s="31"/>
      <c r="J66" s="31"/>
      <c r="K66" s="31"/>
      <c r="L66" s="31"/>
      <c r="M66" s="31"/>
    </row>
  </sheetData>
  <sheetProtection/>
  <mergeCells count="7">
    <mergeCell ref="J31:L31"/>
    <mergeCell ref="B30:B32"/>
    <mergeCell ref="D30:F30"/>
    <mergeCell ref="G30:I30"/>
    <mergeCell ref="C31:C32"/>
    <mergeCell ref="D31:D32"/>
    <mergeCell ref="G31:G32"/>
  </mergeCells>
  <printOptions/>
  <pageMargins left="0.75" right="0.75" top="1" bottom="1" header="0.5" footer="0.5"/>
  <pageSetup fitToHeight="1" fitToWidth="1" horizontalDpi="600" verticalDpi="600" orientation="landscape" scale="60" r:id="rId1"/>
  <headerFooter alignWithMargins="0">
    <oddHeader>&amp;C&amp;"Arial,Bold"&amp;16Electricity Distribution Rate Impacts
General Service less than 50 kW Non-RPP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3:L59"/>
  <sheetViews>
    <sheetView showGridLines="0" zoomScalePageLayoutView="0" workbookViewId="0" topLeftCell="A13">
      <selection activeCell="H54" sqref="H54"/>
    </sheetView>
  </sheetViews>
  <sheetFormatPr defaultColWidth="9.140625" defaultRowHeight="12.75"/>
  <cols>
    <col min="1" max="1" width="3.00390625" style="7" customWidth="1"/>
    <col min="2" max="2" width="77.421875" style="7" customWidth="1"/>
    <col min="3" max="3" width="10.140625" style="7" customWidth="1"/>
    <col min="4" max="4" width="10.421875" style="10" bestFit="1" customWidth="1"/>
    <col min="5" max="5" width="10.00390625" style="7" bestFit="1" customWidth="1"/>
    <col min="6" max="6" width="11.8515625" style="7" bestFit="1" customWidth="1"/>
    <col min="7" max="7" width="9.28125" style="7" bestFit="1" customWidth="1"/>
    <col min="8" max="8" width="11.57421875" style="7" customWidth="1"/>
    <col min="9" max="9" width="11.57421875" style="7" bestFit="1" customWidth="1"/>
    <col min="10" max="10" width="10.57421875" style="7" bestFit="1" customWidth="1"/>
    <col min="11" max="11" width="9.28125" style="7" bestFit="1" customWidth="1"/>
    <col min="12" max="12" width="11.7109375" style="7" bestFit="1" customWidth="1"/>
    <col min="13" max="16384" width="9.140625" style="7" customWidth="1"/>
  </cols>
  <sheetData>
    <row r="2" ht="12.75" thickBot="1"/>
    <row r="3" spans="2:5" ht="36">
      <c r="B3" s="67" t="str">
        <f>+Rates!A49</f>
        <v>General Service 50kW to 4,999kW</v>
      </c>
      <c r="C3" s="68" t="str">
        <f>Rates!B4</f>
        <v>Metric</v>
      </c>
      <c r="D3" s="69" t="str">
        <f>Rates!D4</f>
        <v>Current Approved Rates</v>
      </c>
      <c r="E3" s="70" t="str">
        <f>Rates!F4</f>
        <v>Proposed Rates</v>
      </c>
    </row>
    <row r="4" spans="2:5" ht="12">
      <c r="B4" s="71" t="str">
        <f>+Rates!A50</f>
        <v>Monthly Service Charge</v>
      </c>
      <c r="C4" s="64" t="str">
        <f>Rates!B50</f>
        <v>$</v>
      </c>
      <c r="D4" s="65">
        <f>Rates!D50</f>
        <v>133.68</v>
      </c>
      <c r="E4" s="72">
        <f>Rates!F50</f>
        <v>133.68</v>
      </c>
    </row>
    <row r="5" spans="2:5" ht="12">
      <c r="B5" s="71" t="str">
        <f>+Rates!A51</f>
        <v>Monthly Service Charge Rate Rider</v>
      </c>
      <c r="C5" s="64" t="str">
        <f>Rates!B51</f>
        <v>$</v>
      </c>
      <c r="D5" s="65">
        <f>Rates!D51</f>
        <v>0</v>
      </c>
      <c r="E5" s="72">
        <f>Rates!F51</f>
        <v>0</v>
      </c>
    </row>
    <row r="6" spans="2:5" ht="12">
      <c r="B6" s="71" t="str">
        <f>+Rates!A52</f>
        <v>Smart Meter Rate Rider</v>
      </c>
      <c r="C6" s="64" t="str">
        <f>Rates!B52</f>
        <v>$</v>
      </c>
      <c r="D6" s="65">
        <f>Rates!D52</f>
        <v>0</v>
      </c>
      <c r="E6" s="72">
        <f>Rates!F52</f>
        <v>0</v>
      </c>
    </row>
    <row r="7" spans="2:5" ht="12">
      <c r="B7" s="71" t="str">
        <f>+Rates!A53</f>
        <v>Distribution Volumetric Rate</v>
      </c>
      <c r="C7" s="64" t="str">
        <f>Rates!B53</f>
        <v>$/kW</v>
      </c>
      <c r="D7" s="66">
        <f>Rates!D53</f>
        <v>7.2561</v>
      </c>
      <c r="E7" s="73">
        <f>Rates!F53</f>
        <v>7.8923</v>
      </c>
    </row>
    <row r="8" spans="2:5" ht="12">
      <c r="B8" s="71" t="str">
        <f>+Rates!A54</f>
        <v>Distribution Volumetric Rate Rider</v>
      </c>
      <c r="C8" s="64" t="str">
        <f>Rates!B54</f>
        <v>$/kW</v>
      </c>
      <c r="D8" s="66">
        <f>Rates!D54</f>
        <v>0</v>
      </c>
      <c r="E8" s="73">
        <f>Rates!F54</f>
        <v>0</v>
      </c>
    </row>
    <row r="9" spans="2:5" ht="12">
      <c r="B9" s="71" t="str">
        <f>+Rates!A55</f>
        <v>Low Voltage Service Rate</v>
      </c>
      <c r="C9" s="64" t="str">
        <f>Rates!B55</f>
        <v>$/kW</v>
      </c>
      <c r="D9" s="66">
        <f>Rates!D55</f>
        <v>0.5826</v>
      </c>
      <c r="E9" s="73">
        <f>Rates!F55</f>
        <v>0.5914</v>
      </c>
    </row>
    <row r="10" spans="2:5" ht="12">
      <c r="B10" s="71" t="str">
        <f>+Rates!A56</f>
        <v>Rate Rider for Deferral/Variance Account Disposition (2012) - effective until April 30, 2013</v>
      </c>
      <c r="C10" s="64" t="str">
        <f>Rates!B56</f>
        <v>$/kW</v>
      </c>
      <c r="D10" s="66">
        <f>Rates!D56</f>
        <v>1.3007</v>
      </c>
      <c r="E10" s="73">
        <f>Rates!F56</f>
        <v>1.3007</v>
      </c>
    </row>
    <row r="11" spans="2:5" ht="12">
      <c r="B11" s="71" t="str">
        <f>+Rates!A57</f>
        <v>Rate Rider for Deferral/Variance Account Disposition (2013) - effective until December 31, 2013</v>
      </c>
      <c r="C11" s="64" t="str">
        <f>Rates!B57</f>
        <v>$/kW</v>
      </c>
      <c r="D11" s="66">
        <f>Rates!D57</f>
        <v>0</v>
      </c>
      <c r="E11" s="73">
        <f>Rates!F57</f>
        <v>-0.6273</v>
      </c>
    </row>
    <row r="12" spans="2:5" ht="12">
      <c r="B12" s="71" t="str">
        <f>+Rates!A60</f>
        <v>Rate Rider for Tax Change - effective until April 30, 2013</v>
      </c>
      <c r="C12" s="64" t="str">
        <f>Rates!B60</f>
        <v>$/kW</v>
      </c>
      <c r="D12" s="66">
        <f>Rates!D60</f>
        <v>-0.0941</v>
      </c>
      <c r="E12" s="73">
        <f>Rates!F60</f>
        <v>-0.0941</v>
      </c>
    </row>
    <row r="13" spans="2:5" ht="12">
      <c r="B13" s="71" t="str">
        <f>+Rates!A61</f>
        <v>Rate Rider for Tax Change - effective until December 31, 2013</v>
      </c>
      <c r="C13" s="64" t="str">
        <f>Rates!B61</f>
        <v>$/kW</v>
      </c>
      <c r="D13" s="66">
        <f>Rates!D61</f>
        <v>0</v>
      </c>
      <c r="E13" s="73">
        <f>Rates!F61</f>
        <v>0</v>
      </c>
    </row>
    <row r="14" spans="2:5" ht="12">
      <c r="B14" s="71" t="str">
        <f>+Rates!A62</f>
        <v>Rate Rider for PILS - effective until December 31, 2014</v>
      </c>
      <c r="C14" s="64" t="str">
        <f>Rates!B62</f>
        <v>$/kW</v>
      </c>
      <c r="D14" s="66">
        <f>Rates!D62</f>
        <v>0</v>
      </c>
      <c r="E14" s="73">
        <f>Rates!F62</f>
        <v>-0.24412</v>
      </c>
    </row>
    <row r="15" spans="2:5" ht="12">
      <c r="B15" s="71" t="str">
        <f>+Rates!A63</f>
        <v>Retail Transmission Rate - Network Service Rate</v>
      </c>
      <c r="C15" s="64" t="str">
        <f>Rates!B63</f>
        <v>$/kW</v>
      </c>
      <c r="D15" s="66">
        <f>Rates!D63</f>
        <v>1.6621</v>
      </c>
      <c r="E15" s="73">
        <f>Rates!F63</f>
        <v>1.7821</v>
      </c>
    </row>
    <row r="16" spans="2:5" ht="12">
      <c r="B16" s="71" t="str">
        <f>+Rates!A64</f>
        <v>Retail Transmission Rate - Line and Transformation Connection Service Rate</v>
      </c>
      <c r="C16" s="64" t="str">
        <f>Rates!B64</f>
        <v>$/kW</v>
      </c>
      <c r="D16" s="66">
        <f>Rates!D64</f>
        <v>1.3742</v>
      </c>
      <c r="E16" s="73">
        <f>Rates!F64</f>
        <v>1.3967</v>
      </c>
    </row>
    <row r="17" spans="2:5" ht="12.75" thickBot="1">
      <c r="B17" s="71" t="str">
        <f>+Rates!A65</f>
        <v>Wholesale Market Service Rate</v>
      </c>
      <c r="C17" s="64" t="str">
        <f>Rates!B65</f>
        <v>$/kWh</v>
      </c>
      <c r="D17" s="66">
        <f>Rates!D65</f>
        <v>0.0052</v>
      </c>
      <c r="E17" s="73">
        <f>Rates!F65</f>
        <v>0.0052</v>
      </c>
    </row>
    <row r="18" spans="2:10" ht="12">
      <c r="B18" s="71" t="str">
        <f>+Rates!A66</f>
        <v>Rural Rate Protection Charge</v>
      </c>
      <c r="C18" s="64" t="str">
        <f>Rates!B66</f>
        <v>$/kWh</v>
      </c>
      <c r="D18" s="66">
        <f>Rates!D66</f>
        <v>0.0011</v>
      </c>
      <c r="E18" s="73">
        <f>Rates!F66</f>
        <v>0.0011</v>
      </c>
      <c r="H18" s="160"/>
      <c r="I18" s="164" t="s">
        <v>72</v>
      </c>
      <c r="J18" s="165" t="s">
        <v>90</v>
      </c>
    </row>
    <row r="19" spans="2:10" ht="12.75" thickBot="1">
      <c r="B19" s="74" t="str">
        <f>+Rates!A67</f>
        <v>Standard Supply Service - Administrative Charge (if applicable)</v>
      </c>
      <c r="C19" s="75" t="str">
        <f>Rates!B67</f>
        <v>$</v>
      </c>
      <c r="D19" s="76">
        <f>Rates!D67</f>
        <v>0.25</v>
      </c>
      <c r="E19" s="77">
        <f>Rates!F67</f>
        <v>0.25</v>
      </c>
      <c r="H19" s="166" t="s">
        <v>13</v>
      </c>
      <c r="I19" s="79">
        <f>Rates!$D$134</f>
        <v>1.0719</v>
      </c>
      <c r="J19" s="167">
        <f>Rates!$F$134</f>
        <v>1.1113</v>
      </c>
    </row>
    <row r="20" spans="2:10" ht="12.75" thickBot="1">
      <c r="B20" s="60"/>
      <c r="C20" s="61"/>
      <c r="D20" s="63"/>
      <c r="E20" s="63"/>
      <c r="H20" s="148" t="s">
        <v>89</v>
      </c>
      <c r="I20" s="168">
        <f>C22/(E22*24*365/12)</f>
        <v>0.43658224105646987</v>
      </c>
      <c r="J20" s="169"/>
    </row>
    <row r="21" spans="3:4" ht="12.75" thickBot="1">
      <c r="C21" s="10"/>
      <c r="D21" s="7"/>
    </row>
    <row r="22" spans="2:11" ht="13.5" thickBot="1">
      <c r="B22" s="80" t="s">
        <v>88</v>
      </c>
      <c r="C22" s="81">
        <v>44300</v>
      </c>
      <c r="D22" s="146" t="s">
        <v>15</v>
      </c>
      <c r="E22" s="147">
        <v>139</v>
      </c>
      <c r="F22" s="87" t="s">
        <v>16</v>
      </c>
      <c r="G22" s="31"/>
      <c r="H22" s="170">
        <f>C22</f>
        <v>44300</v>
      </c>
      <c r="I22" s="146" t="s">
        <v>15</v>
      </c>
      <c r="J22" s="171">
        <f>E22</f>
        <v>139</v>
      </c>
      <c r="K22" s="87" t="s">
        <v>16</v>
      </c>
    </row>
    <row r="23" spans="2:11" ht="12.75">
      <c r="B23" s="82" t="s">
        <v>53</v>
      </c>
      <c r="C23" s="78">
        <f>ROUND(C22*I19-C22,0)</f>
        <v>3185</v>
      </c>
      <c r="D23" s="83" t="s">
        <v>15</v>
      </c>
      <c r="E23" s="155"/>
      <c r="F23" s="32"/>
      <c r="G23" s="31"/>
      <c r="H23" s="78">
        <f>ROUND(H22*J19-H22,0)</f>
        <v>4931</v>
      </c>
      <c r="I23" s="83" t="s">
        <v>15</v>
      </c>
      <c r="J23" s="155"/>
      <c r="K23" s="32"/>
    </row>
    <row r="24" spans="2:11" ht="12.75">
      <c r="B24" s="82" t="s">
        <v>54</v>
      </c>
      <c r="C24" s="78">
        <f>+C22+C23</f>
        <v>47485</v>
      </c>
      <c r="D24" s="83" t="s">
        <v>15</v>
      </c>
      <c r="E24" s="154"/>
      <c r="F24" s="32"/>
      <c r="G24" s="31"/>
      <c r="H24" s="78">
        <f>+H22+H23</f>
        <v>49231</v>
      </c>
      <c r="I24" s="83" t="s">
        <v>15</v>
      </c>
      <c r="J24" s="154"/>
      <c r="K24" s="32"/>
    </row>
    <row r="25" spans="2:11" ht="13.5" thickBot="1">
      <c r="B25" s="84" t="s">
        <v>17</v>
      </c>
      <c r="C25" s="85">
        <f>+Rates!$D$140</f>
        <v>750</v>
      </c>
      <c r="D25" s="86" t="s">
        <v>15</v>
      </c>
      <c r="E25" s="31"/>
      <c r="F25" s="31"/>
      <c r="G25" s="31"/>
      <c r="H25" s="85">
        <f>+Rates!$D$140</f>
        <v>750</v>
      </c>
      <c r="I25" s="86" t="s">
        <v>15</v>
      </c>
      <c r="J25" s="31"/>
      <c r="K25" s="31"/>
    </row>
    <row r="26" ht="12.75" thickBot="1"/>
    <row r="27" spans="2:12" ht="13.5" customHeight="1">
      <c r="B27" s="188" t="str">
        <f>B3</f>
        <v>General Service 50kW to 4,999kW</v>
      </c>
      <c r="C27" s="120"/>
      <c r="D27" s="190" t="str">
        <f>+D3</f>
        <v>Current Approved Rates</v>
      </c>
      <c r="E27" s="190"/>
      <c r="F27" s="190"/>
      <c r="G27" s="190" t="str">
        <f>+E3</f>
        <v>Proposed Rates</v>
      </c>
      <c r="H27" s="190"/>
      <c r="I27" s="190"/>
      <c r="J27" s="120"/>
      <c r="K27" s="120"/>
      <c r="L27" s="121"/>
    </row>
    <row r="28" spans="2:12" ht="12.75" customHeight="1">
      <c r="B28" s="189"/>
      <c r="C28" s="186" t="str">
        <f>+C3</f>
        <v>Metric</v>
      </c>
      <c r="D28" s="186" t="s">
        <v>55</v>
      </c>
      <c r="E28" s="92" t="s">
        <v>23</v>
      </c>
      <c r="F28" s="92" t="s">
        <v>24</v>
      </c>
      <c r="G28" s="186" t="s">
        <v>55</v>
      </c>
      <c r="H28" s="92" t="s">
        <v>23</v>
      </c>
      <c r="I28" s="92" t="s">
        <v>24</v>
      </c>
      <c r="J28" s="184" t="s">
        <v>30</v>
      </c>
      <c r="K28" s="184"/>
      <c r="L28" s="185"/>
    </row>
    <row r="29" spans="2:12" ht="12" customHeight="1">
      <c r="B29" s="189"/>
      <c r="C29" s="187"/>
      <c r="D29" s="187"/>
      <c r="E29" s="92" t="s">
        <v>8</v>
      </c>
      <c r="F29" s="92" t="s">
        <v>8</v>
      </c>
      <c r="G29" s="187"/>
      <c r="H29" s="92" t="s">
        <v>8</v>
      </c>
      <c r="I29" s="92" t="s">
        <v>8</v>
      </c>
      <c r="J29" s="92" t="s">
        <v>8</v>
      </c>
      <c r="K29" s="141" t="s">
        <v>12</v>
      </c>
      <c r="L29" s="122" t="s">
        <v>20</v>
      </c>
    </row>
    <row r="30" spans="2:12" ht="12">
      <c r="B30" s="123" t="s">
        <v>21</v>
      </c>
      <c r="C30" s="28" t="str">
        <f>+Rates!B137</f>
        <v>$/kWh</v>
      </c>
      <c r="D30" s="11">
        <f>IF(C24&gt;C25,C25,C24)</f>
        <v>750</v>
      </c>
      <c r="E30" s="12">
        <f>Rates!D137</f>
        <v>0.075</v>
      </c>
      <c r="F30" s="93">
        <f>D30*E30</f>
        <v>56.25</v>
      </c>
      <c r="G30" s="11">
        <f>IF(H24&gt;H25,H25,H24)</f>
        <v>750</v>
      </c>
      <c r="H30" s="12">
        <f>+E30</f>
        <v>0.075</v>
      </c>
      <c r="I30" s="93">
        <f>G30*H30</f>
        <v>56.25</v>
      </c>
      <c r="J30" s="13">
        <f>I30-F30</f>
        <v>0</v>
      </c>
      <c r="K30" s="14">
        <f>IF(ISERROR(J30/F30),1,J30/F30)</f>
        <v>0</v>
      </c>
      <c r="L30" s="15">
        <f aca="true" t="shared" si="0" ref="L30:L42">IF(ISERROR(I30/I$58),0,I30/I$58)</f>
        <v>0.008262332406428088</v>
      </c>
    </row>
    <row r="31" spans="2:12" ht="12">
      <c r="B31" s="123" t="s">
        <v>22</v>
      </c>
      <c r="C31" s="28" t="str">
        <f>+Rates!B138</f>
        <v>$/kWh</v>
      </c>
      <c r="D31" s="11">
        <f>IF(C24&gt;=C25,C24-C25,0)</f>
        <v>46735</v>
      </c>
      <c r="E31" s="12">
        <f>Rates!D138</f>
        <v>0.088</v>
      </c>
      <c r="F31" s="13">
        <f>D31*E31</f>
        <v>4112.679999999999</v>
      </c>
      <c r="G31" s="11">
        <f>IF(H24&gt;=H25,H24-H25,0)</f>
        <v>48481</v>
      </c>
      <c r="H31" s="12">
        <f>+E31</f>
        <v>0.088</v>
      </c>
      <c r="I31" s="13">
        <f>G31*H31</f>
        <v>4266.3279999999995</v>
      </c>
      <c r="J31" s="13">
        <f>I31-F31</f>
        <v>153.64800000000014</v>
      </c>
      <c r="K31" s="14">
        <f aca="true" t="shared" si="1" ref="K31:K58">IF(ISERROR(J31/F31),0,J31/F31)</f>
        <v>0.03735958061410082</v>
      </c>
      <c r="L31" s="15">
        <f t="shared" si="0"/>
        <v>0.626663468281805</v>
      </c>
    </row>
    <row r="32" spans="2:12" ht="12">
      <c r="B32" s="124" t="s">
        <v>25</v>
      </c>
      <c r="C32" s="94"/>
      <c r="D32" s="95"/>
      <c r="E32" s="96"/>
      <c r="F32" s="97">
        <f>SUM(F30:F31)</f>
        <v>4168.929999999999</v>
      </c>
      <c r="G32" s="96"/>
      <c r="H32" s="96"/>
      <c r="I32" s="97">
        <f>SUM(I30:I31)</f>
        <v>4322.5779999999995</v>
      </c>
      <c r="J32" s="97">
        <f aca="true" t="shared" si="2" ref="J32:J58">I32-F32</f>
        <v>153.64800000000014</v>
      </c>
      <c r="K32" s="98">
        <f t="shared" si="1"/>
        <v>0.03685550009234988</v>
      </c>
      <c r="L32" s="125">
        <f t="shared" si="0"/>
        <v>0.634925800688233</v>
      </c>
    </row>
    <row r="33" spans="2:12" ht="12">
      <c r="B33" s="24" t="str">
        <f aca="true" t="shared" si="3" ref="B33:B38">B4</f>
        <v>Monthly Service Charge</v>
      </c>
      <c r="C33" s="27" t="str">
        <f aca="true" t="shared" si="4" ref="C33:C38">+C4</f>
        <v>$</v>
      </c>
      <c r="D33" s="144">
        <v>1</v>
      </c>
      <c r="E33" s="93">
        <f aca="true" t="shared" si="5" ref="E33:E38">D4</f>
        <v>133.68</v>
      </c>
      <c r="F33" s="13">
        <f>D33*E33</f>
        <v>133.68</v>
      </c>
      <c r="G33" s="64">
        <f aca="true" t="shared" si="6" ref="G33:G43">+D33</f>
        <v>1</v>
      </c>
      <c r="H33" s="93">
        <f aca="true" t="shared" si="7" ref="H33:H38">E4</f>
        <v>133.68</v>
      </c>
      <c r="I33" s="13">
        <f>G33*H33</f>
        <v>133.68</v>
      </c>
      <c r="J33" s="13">
        <f t="shared" si="2"/>
        <v>0</v>
      </c>
      <c r="K33" s="14">
        <f t="shared" si="1"/>
        <v>0</v>
      </c>
      <c r="L33" s="15">
        <f t="shared" si="0"/>
        <v>0.019635708374956568</v>
      </c>
    </row>
    <row r="34" spans="2:12" ht="12">
      <c r="B34" s="24" t="str">
        <f t="shared" si="3"/>
        <v>Monthly Service Charge Rate Rider</v>
      </c>
      <c r="C34" s="27" t="str">
        <f t="shared" si="4"/>
        <v>$</v>
      </c>
      <c r="D34" s="11">
        <f>D33</f>
        <v>1</v>
      </c>
      <c r="E34" s="93">
        <f t="shared" si="5"/>
        <v>0</v>
      </c>
      <c r="F34" s="13">
        <f aca="true" t="shared" si="8" ref="F34:F43">D34*E34</f>
        <v>0</v>
      </c>
      <c r="G34" s="64">
        <f t="shared" si="6"/>
        <v>1</v>
      </c>
      <c r="H34" s="93">
        <f t="shared" si="7"/>
        <v>0</v>
      </c>
      <c r="I34" s="13">
        <f aca="true" t="shared" si="9" ref="I34:I43">G34*H34</f>
        <v>0</v>
      </c>
      <c r="J34" s="13">
        <f t="shared" si="2"/>
        <v>0</v>
      </c>
      <c r="K34" s="14">
        <f t="shared" si="1"/>
        <v>0</v>
      </c>
      <c r="L34" s="15">
        <f t="shared" si="0"/>
        <v>0</v>
      </c>
    </row>
    <row r="35" spans="2:12" ht="12">
      <c r="B35" s="24" t="str">
        <f t="shared" si="3"/>
        <v>Smart Meter Rate Rider</v>
      </c>
      <c r="C35" s="27" t="str">
        <f t="shared" si="4"/>
        <v>$</v>
      </c>
      <c r="D35" s="11">
        <f>D33</f>
        <v>1</v>
      </c>
      <c r="E35" s="93">
        <f t="shared" si="5"/>
        <v>0</v>
      </c>
      <c r="F35" s="13">
        <f t="shared" si="8"/>
        <v>0</v>
      </c>
      <c r="G35" s="64">
        <f t="shared" si="6"/>
        <v>1</v>
      </c>
      <c r="H35" s="93">
        <f t="shared" si="7"/>
        <v>0</v>
      </c>
      <c r="I35" s="13">
        <f t="shared" si="9"/>
        <v>0</v>
      </c>
      <c r="J35" s="13">
        <f t="shared" si="2"/>
        <v>0</v>
      </c>
      <c r="K35" s="14">
        <f t="shared" si="1"/>
        <v>0</v>
      </c>
      <c r="L35" s="15">
        <f t="shared" si="0"/>
        <v>0</v>
      </c>
    </row>
    <row r="36" spans="2:12" ht="12">
      <c r="B36" s="24" t="str">
        <f t="shared" si="3"/>
        <v>Distribution Volumetric Rate</v>
      </c>
      <c r="C36" s="27" t="str">
        <f t="shared" si="4"/>
        <v>$/kW</v>
      </c>
      <c r="D36" s="11">
        <f>+$E$22</f>
        <v>139</v>
      </c>
      <c r="E36" s="93">
        <f t="shared" si="5"/>
        <v>7.2561</v>
      </c>
      <c r="F36" s="13">
        <f t="shared" si="8"/>
        <v>1008.5979</v>
      </c>
      <c r="G36" s="64">
        <f t="shared" si="6"/>
        <v>139</v>
      </c>
      <c r="H36" s="93">
        <f t="shared" si="7"/>
        <v>7.8923</v>
      </c>
      <c r="I36" s="13">
        <f t="shared" si="9"/>
        <v>1097.0297</v>
      </c>
      <c r="J36" s="13">
        <f>I36-F36</f>
        <v>88.43180000000007</v>
      </c>
      <c r="K36" s="14">
        <f>IF(ISERROR(J36/F36),0,J36/F36)</f>
        <v>0.08767795372169629</v>
      </c>
      <c r="L36" s="15">
        <f t="shared" si="0"/>
        <v>0.16113820517553926</v>
      </c>
    </row>
    <row r="37" spans="2:12" ht="12">
      <c r="B37" s="24" t="str">
        <f t="shared" si="3"/>
        <v>Distribution Volumetric Rate Rider</v>
      </c>
      <c r="C37" s="27" t="str">
        <f t="shared" si="4"/>
        <v>$/kW</v>
      </c>
      <c r="D37" s="11">
        <f>+$E$22</f>
        <v>139</v>
      </c>
      <c r="E37" s="93">
        <f t="shared" si="5"/>
        <v>0</v>
      </c>
      <c r="F37" s="13">
        <f t="shared" si="8"/>
        <v>0</v>
      </c>
      <c r="G37" s="64">
        <f t="shared" si="6"/>
        <v>139</v>
      </c>
      <c r="H37" s="93">
        <f t="shared" si="7"/>
        <v>0</v>
      </c>
      <c r="I37" s="13">
        <f t="shared" si="9"/>
        <v>0</v>
      </c>
      <c r="J37" s="13">
        <f>I37-F37</f>
        <v>0</v>
      </c>
      <c r="K37" s="14">
        <f>IF(ISERROR(J37/F37),0,J37/F37)</f>
        <v>0</v>
      </c>
      <c r="L37" s="15">
        <f t="shared" si="0"/>
        <v>0</v>
      </c>
    </row>
    <row r="38" spans="2:12" ht="12">
      <c r="B38" s="24" t="str">
        <f t="shared" si="3"/>
        <v>Low Voltage Service Rate</v>
      </c>
      <c r="C38" s="27" t="str">
        <f t="shared" si="4"/>
        <v>$/kW</v>
      </c>
      <c r="D38" s="11">
        <f>+$E$22</f>
        <v>139</v>
      </c>
      <c r="E38" s="93">
        <f t="shared" si="5"/>
        <v>0.5826</v>
      </c>
      <c r="F38" s="13">
        <f>D38*E38</f>
        <v>80.98140000000001</v>
      </c>
      <c r="G38" s="64">
        <f>+D38</f>
        <v>139</v>
      </c>
      <c r="H38" s="93">
        <f t="shared" si="7"/>
        <v>0.5914</v>
      </c>
      <c r="I38" s="13">
        <f>G38*H38</f>
        <v>82.2046</v>
      </c>
      <c r="J38" s="13">
        <f>I38-F38</f>
        <v>1.2231999999999914</v>
      </c>
      <c r="K38" s="14">
        <f>IF(ISERROR(J38/F38),0,J38/F38)</f>
        <v>0.015104703055269375</v>
      </c>
      <c r="L38" s="15">
        <f>IF(ISERROR(I38/I$58),0,I38/I$58)</f>
        <v>0.012074697431777038</v>
      </c>
    </row>
    <row r="39" spans="2:12" ht="12">
      <c r="B39" s="24" t="str">
        <f>B10</f>
        <v>Rate Rider for Deferral/Variance Account Disposition (2012) - effective until April 30, 2013</v>
      </c>
      <c r="C39" s="27" t="str">
        <f>+C10</f>
        <v>$/kW</v>
      </c>
      <c r="D39" s="11">
        <f>+$E$22</f>
        <v>139</v>
      </c>
      <c r="E39" s="93">
        <f>D10</f>
        <v>1.3007</v>
      </c>
      <c r="F39" s="13">
        <f t="shared" si="8"/>
        <v>180.7973</v>
      </c>
      <c r="G39" s="64">
        <f t="shared" si="6"/>
        <v>139</v>
      </c>
      <c r="H39" s="93">
        <f>E10</f>
        <v>1.3007</v>
      </c>
      <c r="I39" s="13">
        <f t="shared" si="9"/>
        <v>180.7973</v>
      </c>
      <c r="J39" s="13">
        <f>I39-F39</f>
        <v>0</v>
      </c>
      <c r="K39" s="14">
        <f>IF(ISERROR(J39/F39),0,J39/F39)</f>
        <v>0</v>
      </c>
      <c r="L39" s="15">
        <f t="shared" si="0"/>
        <v>0.026556575836172464</v>
      </c>
    </row>
    <row r="40" spans="2:12" ht="12">
      <c r="B40" s="24" t="str">
        <f>B11</f>
        <v>Rate Rider for Deferral/Variance Account Disposition (2013) - effective until December 31, 2013</v>
      </c>
      <c r="C40" s="27" t="str">
        <f>+C11</f>
        <v>$/kW</v>
      </c>
      <c r="D40" s="11">
        <f>+$E$22</f>
        <v>139</v>
      </c>
      <c r="E40" s="93">
        <f>D11</f>
        <v>0</v>
      </c>
      <c r="F40" s="13">
        <f t="shared" si="8"/>
        <v>0</v>
      </c>
      <c r="G40" s="64">
        <f t="shared" si="6"/>
        <v>139</v>
      </c>
      <c r="H40" s="93">
        <f>E11</f>
        <v>-0.6273</v>
      </c>
      <c r="I40" s="13">
        <f t="shared" si="9"/>
        <v>-87.1947</v>
      </c>
      <c r="J40" s="13">
        <f>I40-F40</f>
        <v>-87.1947</v>
      </c>
      <c r="K40" s="14">
        <f>IF(ISERROR(J40/F40),0,J40/F40)</f>
        <v>0</v>
      </c>
      <c r="L40" s="15">
        <f t="shared" si="0"/>
        <v>-0.012807672808511559</v>
      </c>
    </row>
    <row r="41" spans="2:12" ht="12">
      <c r="B41" s="24" t="str">
        <f>B12</f>
        <v>Rate Rider for Tax Change - effective until April 30, 2013</v>
      </c>
      <c r="C41" s="27" t="str">
        <f>+C12</f>
        <v>$/kW</v>
      </c>
      <c r="D41" s="11">
        <f>+$E$22</f>
        <v>139</v>
      </c>
      <c r="E41" s="93">
        <f>D12</f>
        <v>-0.0941</v>
      </c>
      <c r="F41" s="13">
        <f t="shared" si="8"/>
        <v>-13.0799</v>
      </c>
      <c r="G41" s="64">
        <f t="shared" si="6"/>
        <v>139</v>
      </c>
      <c r="H41" s="93">
        <f>E12</f>
        <v>-0.0941</v>
      </c>
      <c r="I41" s="13">
        <f t="shared" si="9"/>
        <v>-13.0799</v>
      </c>
      <c r="J41" s="13">
        <f>I41-F41</f>
        <v>0</v>
      </c>
      <c r="K41" s="14">
        <f>IF(ISERROR(J41/F41),0,J41/F41)</f>
        <v>0</v>
      </c>
      <c r="L41" s="15">
        <f t="shared" si="0"/>
        <v>-0.0019212530069838</v>
      </c>
    </row>
    <row r="42" spans="2:12" ht="12">
      <c r="B42" s="24" t="str">
        <f>B13</f>
        <v>Rate Rider for Tax Change - effective until December 31, 2013</v>
      </c>
      <c r="C42" s="27" t="str">
        <f>+C13</f>
        <v>$/kW</v>
      </c>
      <c r="D42" s="11">
        <f>+$E$22</f>
        <v>139</v>
      </c>
      <c r="E42" s="93">
        <f>D13</f>
        <v>0</v>
      </c>
      <c r="F42" s="13">
        <f t="shared" si="8"/>
        <v>0</v>
      </c>
      <c r="G42" s="64">
        <f t="shared" si="6"/>
        <v>139</v>
      </c>
      <c r="H42" s="93">
        <f>E13</f>
        <v>0</v>
      </c>
      <c r="I42" s="13">
        <f t="shared" si="9"/>
        <v>0</v>
      </c>
      <c r="J42" s="13">
        <f>I42-F42</f>
        <v>0</v>
      </c>
      <c r="K42" s="14">
        <f>IF(ISERROR(J42/F42),0,J42/F42)</f>
        <v>0</v>
      </c>
      <c r="L42" s="15">
        <f t="shared" si="0"/>
        <v>0</v>
      </c>
    </row>
    <row r="43" spans="2:12" ht="12">
      <c r="B43" s="24" t="str">
        <f>B14</f>
        <v>Rate Rider for PILS - effective until December 31, 2014</v>
      </c>
      <c r="C43" s="27" t="str">
        <f>+C14</f>
        <v>$/kW</v>
      </c>
      <c r="D43" s="11">
        <f>+$E$22</f>
        <v>139</v>
      </c>
      <c r="E43" s="93">
        <f>D14</f>
        <v>0</v>
      </c>
      <c r="F43" s="13">
        <f t="shared" si="8"/>
        <v>0</v>
      </c>
      <c r="G43" s="64">
        <f t="shared" si="6"/>
        <v>139</v>
      </c>
      <c r="H43" s="93">
        <f>E14</f>
        <v>-0.24412</v>
      </c>
      <c r="I43" s="13">
        <f t="shared" si="9"/>
        <v>-33.93268</v>
      </c>
      <c r="J43" s="13">
        <f>I43-F43</f>
        <v>-33.93268</v>
      </c>
      <c r="K43" s="14">
        <f>IF(ISERROR(J43/F43),0,J43/F43)</f>
        <v>0</v>
      </c>
      <c r="L43" s="15">
        <f>IF(ISERROR(I43/I$58),0,I43/I$58)</f>
        <v>-0.004984232561794742</v>
      </c>
    </row>
    <row r="44" spans="2:12" ht="12">
      <c r="B44" s="126" t="s">
        <v>26</v>
      </c>
      <c r="C44" s="100"/>
      <c r="D44" s="101"/>
      <c r="E44" s="102"/>
      <c r="F44" s="103">
        <f>SUM(F33:F42)</f>
        <v>1390.9767000000002</v>
      </c>
      <c r="G44" s="102"/>
      <c r="H44" s="102"/>
      <c r="I44" s="103">
        <f>SUM(I33:I42)</f>
        <v>1393.4370000000001</v>
      </c>
      <c r="J44" s="104">
        <f>I44-F44</f>
        <v>2.460299999999961</v>
      </c>
      <c r="K44" s="105">
        <f>IF(ISERROR(J44/F44),0,J44/F44)</f>
        <v>0.001768757161784206</v>
      </c>
      <c r="L44" s="127">
        <f aca="true" t="shared" si="10" ref="L44:L58">IF(ISERROR(I44/I$58),0,I44/I$58)</f>
        <v>0.20467626100294997</v>
      </c>
    </row>
    <row r="45" spans="2:12" ht="12">
      <c r="B45" s="24" t="str">
        <f>B15</f>
        <v>Retail Transmission Rate - Network Service Rate</v>
      </c>
      <c r="C45" s="27" t="str">
        <f>+C15</f>
        <v>$/kW</v>
      </c>
      <c r="D45" s="11">
        <f>+$E$22</f>
        <v>139</v>
      </c>
      <c r="E45" s="12">
        <f>D15</f>
        <v>1.6621</v>
      </c>
      <c r="F45" s="13">
        <f>D45*E45</f>
        <v>231.03189999999998</v>
      </c>
      <c r="G45" s="11">
        <f>+D45</f>
        <v>139</v>
      </c>
      <c r="H45" s="12">
        <f>E15</f>
        <v>1.7821</v>
      </c>
      <c r="I45" s="13">
        <f>G45*H45</f>
        <v>247.7119</v>
      </c>
      <c r="J45" s="13">
        <f t="shared" si="2"/>
        <v>16.680000000000035</v>
      </c>
      <c r="K45" s="14">
        <f t="shared" si="1"/>
        <v>0.07219782203236885</v>
      </c>
      <c r="L45" s="15">
        <f t="shared" si="10"/>
        <v>0.03638538771249554</v>
      </c>
    </row>
    <row r="46" spans="2:12" ht="12">
      <c r="B46" s="24" t="str">
        <f>B16</f>
        <v>Retail Transmission Rate - Line and Transformation Connection Service Rate</v>
      </c>
      <c r="C46" s="27" t="str">
        <f>+C16</f>
        <v>$/kW</v>
      </c>
      <c r="D46" s="11">
        <f>+$E$22</f>
        <v>139</v>
      </c>
      <c r="E46" s="12">
        <f>D16</f>
        <v>1.3742</v>
      </c>
      <c r="F46" s="13">
        <f>D46*E46</f>
        <v>191.0138</v>
      </c>
      <c r="G46" s="11">
        <f>+D46</f>
        <v>139</v>
      </c>
      <c r="H46" s="12">
        <f>E16</f>
        <v>1.3967</v>
      </c>
      <c r="I46" s="13">
        <f>G46*H46</f>
        <v>194.1413</v>
      </c>
      <c r="J46" s="13">
        <f>I46-F46</f>
        <v>3.1274999999999977</v>
      </c>
      <c r="K46" s="14">
        <f>IF(ISERROR(J46/F46),0,J46/F46)</f>
        <v>0.016373162567311878</v>
      </c>
      <c r="L46" s="15">
        <f t="shared" si="10"/>
        <v>0.028516621411841376</v>
      </c>
    </row>
    <row r="47" spans="2:12" ht="12">
      <c r="B47" s="126" t="s">
        <v>18</v>
      </c>
      <c r="C47" s="100"/>
      <c r="D47" s="101"/>
      <c r="E47" s="102"/>
      <c r="F47" s="104">
        <f>+SUM(F45:F46)</f>
        <v>422.0457</v>
      </c>
      <c r="G47" s="102"/>
      <c r="H47" s="102"/>
      <c r="I47" s="104">
        <f>+SUM(I45:I46)</f>
        <v>441.8532</v>
      </c>
      <c r="J47" s="104">
        <f>I47-F47</f>
        <v>19.807500000000005</v>
      </c>
      <c r="K47" s="105">
        <f>IF(ISERROR(J47/F47),0,J47/F47)</f>
        <v>0.04693212133188421</v>
      </c>
      <c r="L47" s="127">
        <f t="shared" si="10"/>
        <v>0.06490200912433691</v>
      </c>
    </row>
    <row r="48" spans="2:12" ht="12">
      <c r="B48" s="128" t="s">
        <v>27</v>
      </c>
      <c r="C48" s="107"/>
      <c r="D48" s="108"/>
      <c r="E48" s="109"/>
      <c r="F48" s="110">
        <f>F44+F47</f>
        <v>1813.0224000000003</v>
      </c>
      <c r="G48" s="109"/>
      <c r="H48" s="109"/>
      <c r="I48" s="110">
        <f>I44+I47</f>
        <v>1835.2902000000001</v>
      </c>
      <c r="J48" s="110">
        <f t="shared" si="2"/>
        <v>22.267799999999852</v>
      </c>
      <c r="K48" s="111">
        <f t="shared" si="1"/>
        <v>0.012282142790954954</v>
      </c>
      <c r="L48" s="129">
        <f t="shared" si="10"/>
        <v>0.2695782701272869</v>
      </c>
    </row>
    <row r="49" spans="2:12" ht="12">
      <c r="B49" s="24" t="str">
        <f>B17</f>
        <v>Wholesale Market Service Rate</v>
      </c>
      <c r="C49" s="27" t="str">
        <f>C17</f>
        <v>$/kWh</v>
      </c>
      <c r="D49" s="11">
        <f>+$C$24</f>
        <v>47485</v>
      </c>
      <c r="E49" s="12">
        <f>D17</f>
        <v>0.0052</v>
      </c>
      <c r="F49" s="13">
        <f>D49*E49</f>
        <v>246.922</v>
      </c>
      <c r="G49" s="11">
        <f>+$H$24</f>
        <v>49231</v>
      </c>
      <c r="H49" s="12">
        <f>E17</f>
        <v>0.0052</v>
      </c>
      <c r="I49" s="13">
        <f>G49*H49</f>
        <v>256.0012</v>
      </c>
      <c r="J49" s="13">
        <f t="shared" si="2"/>
        <v>9.079199999999986</v>
      </c>
      <c r="K49" s="14">
        <f t="shared" si="1"/>
        <v>0.03676950615983989</v>
      </c>
      <c r="L49" s="15">
        <f t="shared" si="10"/>
        <v>0.03760296908167961</v>
      </c>
    </row>
    <row r="50" spans="2:12" ht="12">
      <c r="B50" s="24" t="str">
        <f>B18</f>
        <v>Rural Rate Protection Charge</v>
      </c>
      <c r="C50" s="27" t="str">
        <f>C18</f>
        <v>$/kWh</v>
      </c>
      <c r="D50" s="11">
        <f>+$C$24</f>
        <v>47485</v>
      </c>
      <c r="E50" s="12">
        <f>D18</f>
        <v>0.0011</v>
      </c>
      <c r="F50" s="13">
        <f>D50*E50</f>
        <v>52.23350000000001</v>
      </c>
      <c r="G50" s="11">
        <f>+$H$24</f>
        <v>49231</v>
      </c>
      <c r="H50" s="12">
        <f>E18</f>
        <v>0.0011</v>
      </c>
      <c r="I50" s="13">
        <f>G50*H50</f>
        <v>54.15410000000001</v>
      </c>
      <c r="J50" s="13">
        <f t="shared" si="2"/>
        <v>1.9206000000000003</v>
      </c>
      <c r="K50" s="14">
        <f t="shared" si="1"/>
        <v>0.036769506159839954</v>
      </c>
      <c r="L50" s="15">
        <f t="shared" si="10"/>
        <v>0.007954474228816842</v>
      </c>
    </row>
    <row r="51" spans="2:12" ht="12">
      <c r="B51" s="24" t="str">
        <f>B19</f>
        <v>Standard Supply Service - Administrative Charge (if applicable)</v>
      </c>
      <c r="C51" s="27" t="str">
        <f>C19</f>
        <v>$</v>
      </c>
      <c r="D51" s="11">
        <f>D33</f>
        <v>1</v>
      </c>
      <c r="E51" s="13">
        <f>D19</f>
        <v>0.25</v>
      </c>
      <c r="F51" s="13">
        <f>D51*E51</f>
        <v>0.25</v>
      </c>
      <c r="G51" s="11">
        <f>+D51</f>
        <v>1</v>
      </c>
      <c r="H51" s="13">
        <f>E19</f>
        <v>0.25</v>
      </c>
      <c r="I51" s="13">
        <f>G51*H51</f>
        <v>0.25</v>
      </c>
      <c r="J51" s="13">
        <f t="shared" si="2"/>
        <v>0</v>
      </c>
      <c r="K51" s="14">
        <f t="shared" si="1"/>
        <v>0</v>
      </c>
      <c r="L51" s="15">
        <f t="shared" si="10"/>
        <v>3.6721477361902614E-05</v>
      </c>
    </row>
    <row r="52" spans="2:12" ht="12">
      <c r="B52" s="128" t="s">
        <v>28</v>
      </c>
      <c r="C52" s="106"/>
      <c r="D52" s="95"/>
      <c r="E52" s="96"/>
      <c r="F52" s="97">
        <f>SUM(F49:F51)</f>
        <v>299.4055</v>
      </c>
      <c r="G52" s="96"/>
      <c r="H52" s="96"/>
      <c r="I52" s="97">
        <f>SUM(I49:I51)</f>
        <v>310.4053</v>
      </c>
      <c r="J52" s="97">
        <f t="shared" si="2"/>
        <v>10.999799999999993</v>
      </c>
      <c r="K52" s="98">
        <f t="shared" si="1"/>
        <v>0.03673880406338558</v>
      </c>
      <c r="L52" s="125">
        <f t="shared" si="10"/>
        <v>0.04559416478785836</v>
      </c>
    </row>
    <row r="53" spans="2:12" ht="12">
      <c r="B53" s="130" t="s">
        <v>11</v>
      </c>
      <c r="C53" s="180" t="s">
        <v>9</v>
      </c>
      <c r="D53" s="112">
        <f>C22</f>
        <v>44300</v>
      </c>
      <c r="E53" s="113">
        <v>0.0051</v>
      </c>
      <c r="F53" s="97">
        <f>D53*E53</f>
        <v>225.93</v>
      </c>
      <c r="G53" s="112">
        <f>D53</f>
        <v>44300</v>
      </c>
      <c r="H53" s="113">
        <f>E53</f>
        <v>0.0051</v>
      </c>
      <c r="I53" s="97">
        <f>G53*H53</f>
        <v>225.93</v>
      </c>
      <c r="J53" s="97">
        <f t="shared" si="2"/>
        <v>0</v>
      </c>
      <c r="K53" s="98">
        <f t="shared" si="1"/>
        <v>0</v>
      </c>
      <c r="L53" s="125">
        <f t="shared" si="10"/>
        <v>0.03318593352149863</v>
      </c>
    </row>
    <row r="54" spans="2:12" ht="12">
      <c r="B54" s="131" t="s">
        <v>58</v>
      </c>
      <c r="C54" s="114"/>
      <c r="D54" s="79"/>
      <c r="E54" s="115"/>
      <c r="F54" s="116">
        <f>F32+F48+F52+F53</f>
        <v>6507.2879</v>
      </c>
      <c r="G54" s="115"/>
      <c r="H54" s="115"/>
      <c r="I54" s="116">
        <f>I32+I48+I52+I53</f>
        <v>6694.2035000000005</v>
      </c>
      <c r="J54" s="116">
        <f t="shared" si="2"/>
        <v>186.91560000000027</v>
      </c>
      <c r="K54" s="117">
        <f t="shared" si="1"/>
        <v>0.028724040317933415</v>
      </c>
      <c r="L54" s="132">
        <f t="shared" si="10"/>
        <v>0.983284169124877</v>
      </c>
    </row>
    <row r="55" spans="2:12" ht="12">
      <c r="B55" s="130" t="s">
        <v>57</v>
      </c>
      <c r="C55" s="118"/>
      <c r="D55" s="95"/>
      <c r="E55" s="119">
        <f>+Rates!$D$145</f>
        <v>0.13</v>
      </c>
      <c r="F55" s="97">
        <f>E55*F54</f>
        <v>845.9474270000001</v>
      </c>
      <c r="G55" s="96"/>
      <c r="H55" s="119">
        <f>+E55</f>
        <v>0.13</v>
      </c>
      <c r="I55" s="97">
        <f>H55*I54</f>
        <v>870.2464550000001</v>
      </c>
      <c r="J55" s="97">
        <f t="shared" si="2"/>
        <v>24.29902800000002</v>
      </c>
      <c r="K55" s="98">
        <f t="shared" si="1"/>
        <v>0.028724040317933398</v>
      </c>
      <c r="L55" s="125">
        <f t="shared" si="10"/>
        <v>0.127826941986234</v>
      </c>
    </row>
    <row r="56" spans="2:12" ht="12">
      <c r="B56" s="131" t="s">
        <v>59</v>
      </c>
      <c r="C56" s="114"/>
      <c r="D56" s="79"/>
      <c r="E56" s="115"/>
      <c r="F56" s="116">
        <f>+F54+F55</f>
        <v>7353.235327</v>
      </c>
      <c r="G56" s="115"/>
      <c r="H56" s="115"/>
      <c r="I56" s="116">
        <f>+I54+I55</f>
        <v>7564.449955000001</v>
      </c>
      <c r="J56" s="116">
        <f t="shared" si="2"/>
        <v>211.21462800000063</v>
      </c>
      <c r="K56" s="117">
        <f t="shared" si="1"/>
        <v>0.02872404031793346</v>
      </c>
      <c r="L56" s="132">
        <f t="shared" si="10"/>
        <v>1.1111111111111112</v>
      </c>
    </row>
    <row r="57" spans="2:12" ht="12">
      <c r="B57" s="130" t="s">
        <v>61</v>
      </c>
      <c r="C57" s="118"/>
      <c r="D57" s="95"/>
      <c r="E57" s="119">
        <f>+Rates!$D$147</f>
        <v>-0.1</v>
      </c>
      <c r="F57" s="97">
        <f>E57*F56</f>
        <v>-735.3235327000001</v>
      </c>
      <c r="G57" s="96"/>
      <c r="H57" s="119">
        <f>+E57</f>
        <v>-0.1</v>
      </c>
      <c r="I57" s="97">
        <f>H57*I56</f>
        <v>-756.4449955000001</v>
      </c>
      <c r="J57" s="97">
        <f t="shared" si="2"/>
        <v>-21.121462800000018</v>
      </c>
      <c r="K57" s="98">
        <f t="shared" si="1"/>
        <v>0.028724040317933394</v>
      </c>
      <c r="L57" s="125">
        <f t="shared" si="10"/>
        <v>-0.11111111111111112</v>
      </c>
    </row>
    <row r="58" spans="2:12" ht="12.75" thickBot="1">
      <c r="B58" s="133" t="s">
        <v>19</v>
      </c>
      <c r="C58" s="134"/>
      <c r="D58" s="135"/>
      <c r="E58" s="136"/>
      <c r="F58" s="137">
        <f>+F56+F57</f>
        <v>6617.9117943</v>
      </c>
      <c r="G58" s="136"/>
      <c r="H58" s="136"/>
      <c r="I58" s="137">
        <f>+I56+I57</f>
        <v>6808.004959500001</v>
      </c>
      <c r="J58" s="137">
        <f t="shared" si="2"/>
        <v>190.09316520000084</v>
      </c>
      <c r="K58" s="138">
        <f t="shared" si="1"/>
        <v>0.028724040317933502</v>
      </c>
      <c r="L58" s="139">
        <f t="shared" si="10"/>
        <v>1</v>
      </c>
    </row>
    <row r="59" spans="2:12" ht="12">
      <c r="B59" s="31"/>
      <c r="C59" s="31"/>
      <c r="D59" s="61"/>
      <c r="E59" s="31"/>
      <c r="F59" s="31"/>
      <c r="G59" s="31"/>
      <c r="H59" s="31"/>
      <c r="I59" s="31"/>
      <c r="J59" s="31"/>
      <c r="K59" s="31"/>
      <c r="L59" s="31"/>
    </row>
  </sheetData>
  <sheetProtection/>
  <mergeCells count="7">
    <mergeCell ref="J28:L28"/>
    <mergeCell ref="B27:B29"/>
    <mergeCell ref="D27:F27"/>
    <mergeCell ref="G27:I27"/>
    <mergeCell ref="C28:C29"/>
    <mergeCell ref="D28:D29"/>
    <mergeCell ref="G28:G29"/>
  </mergeCells>
  <printOptions/>
  <pageMargins left="0.75" right="0.75" top="1" bottom="1" header="0.5" footer="0.5"/>
  <pageSetup fitToHeight="1" fitToWidth="1" horizontalDpi="600" verticalDpi="600" orientation="landscape" scale="66" r:id="rId1"/>
  <headerFooter alignWithMargins="0">
    <oddHeader>&amp;C&amp;"Arial,Bold"&amp;16Electricity Distribution Rate Impacts
General Service 50 to 4,999 kW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3:L58"/>
  <sheetViews>
    <sheetView showGridLines="0" zoomScalePageLayoutView="0" workbookViewId="0" topLeftCell="A19">
      <selection activeCell="H56" sqref="H56"/>
    </sheetView>
  </sheetViews>
  <sheetFormatPr defaultColWidth="9.140625" defaultRowHeight="12.75"/>
  <cols>
    <col min="1" max="1" width="3.57421875" style="7" customWidth="1"/>
    <col min="2" max="2" width="78.140625" style="7" customWidth="1"/>
    <col min="3" max="3" width="10.140625" style="7" customWidth="1"/>
    <col min="4" max="4" width="10.421875" style="10" bestFit="1" customWidth="1"/>
    <col min="5" max="5" width="10.00390625" style="7" bestFit="1" customWidth="1"/>
    <col min="6" max="6" width="11.8515625" style="7" bestFit="1" customWidth="1"/>
    <col min="7" max="7" width="9.28125" style="7" bestFit="1" customWidth="1"/>
    <col min="8" max="8" width="10.7109375" style="7" customWidth="1"/>
    <col min="9" max="9" width="11.57421875" style="7" bestFit="1" customWidth="1"/>
    <col min="10" max="10" width="10.57421875" style="7" bestFit="1" customWidth="1"/>
    <col min="11" max="11" width="9.28125" style="7" bestFit="1" customWidth="1"/>
    <col min="12" max="12" width="11.7109375" style="7" bestFit="1" customWidth="1"/>
    <col min="13" max="16384" width="9.140625" style="7" customWidth="1"/>
  </cols>
  <sheetData>
    <row r="2" ht="12.75" thickBot="1"/>
    <row r="3" spans="2:5" ht="36">
      <c r="B3" s="67" t="str">
        <f>+Rates!A49</f>
        <v>General Service 50kW to 4,999kW</v>
      </c>
      <c r="C3" s="68" t="str">
        <f>Rates!B4</f>
        <v>Metric</v>
      </c>
      <c r="D3" s="69" t="str">
        <f>Rates!D4</f>
        <v>Current Approved Rates</v>
      </c>
      <c r="E3" s="70" t="str">
        <f>Rates!F4</f>
        <v>Proposed Rates</v>
      </c>
    </row>
    <row r="4" spans="2:5" ht="12">
      <c r="B4" s="71" t="str">
        <f>+Rates!A50</f>
        <v>Monthly Service Charge</v>
      </c>
      <c r="C4" s="64" t="str">
        <f>Rates!B50</f>
        <v>$</v>
      </c>
      <c r="D4" s="65">
        <f>Rates!D50</f>
        <v>133.68</v>
      </c>
      <c r="E4" s="72">
        <f>Rates!F50</f>
        <v>133.68</v>
      </c>
    </row>
    <row r="5" spans="2:5" ht="12">
      <c r="B5" s="71" t="str">
        <f>+Rates!A51</f>
        <v>Monthly Service Charge Rate Rider</v>
      </c>
      <c r="C5" s="64" t="str">
        <f>Rates!B51</f>
        <v>$</v>
      </c>
      <c r="D5" s="65">
        <f>Rates!D51</f>
        <v>0</v>
      </c>
      <c r="E5" s="72">
        <f>Rates!F51</f>
        <v>0</v>
      </c>
    </row>
    <row r="6" spans="2:5" ht="12">
      <c r="B6" s="71" t="str">
        <f>+Rates!A52</f>
        <v>Smart Meter Rate Rider</v>
      </c>
      <c r="C6" s="64" t="str">
        <f>Rates!B52</f>
        <v>$</v>
      </c>
      <c r="D6" s="65">
        <f>Rates!D52</f>
        <v>0</v>
      </c>
      <c r="E6" s="72">
        <f>Rates!F52</f>
        <v>0</v>
      </c>
    </row>
    <row r="7" spans="2:5" ht="12">
      <c r="B7" s="71" t="str">
        <f>+Rates!A53</f>
        <v>Distribution Volumetric Rate</v>
      </c>
      <c r="C7" s="64" t="str">
        <f>Rates!B53</f>
        <v>$/kW</v>
      </c>
      <c r="D7" s="66">
        <f>Rates!D53</f>
        <v>7.2561</v>
      </c>
      <c r="E7" s="73">
        <f>Rates!F53</f>
        <v>7.8923</v>
      </c>
    </row>
    <row r="8" spans="2:5" ht="12">
      <c r="B8" s="71" t="str">
        <f>+Rates!A54</f>
        <v>Distribution Volumetric Rate Rider</v>
      </c>
      <c r="C8" s="64" t="str">
        <f>Rates!B54</f>
        <v>$/kW</v>
      </c>
      <c r="D8" s="66">
        <f>Rates!D54</f>
        <v>0</v>
      </c>
      <c r="E8" s="73">
        <f>Rates!F54</f>
        <v>0</v>
      </c>
    </row>
    <row r="9" spans="2:5" ht="12">
      <c r="B9" s="71" t="str">
        <f>+Rates!A55</f>
        <v>Low Voltage Service Rate</v>
      </c>
      <c r="C9" s="64" t="str">
        <f>Rates!B55</f>
        <v>$/kW</v>
      </c>
      <c r="D9" s="66">
        <f>Rates!D55</f>
        <v>0.5826</v>
      </c>
      <c r="E9" s="73">
        <f>Rates!F55</f>
        <v>0.5914</v>
      </c>
    </row>
    <row r="10" spans="2:5" ht="12">
      <c r="B10" s="71" t="str">
        <f>+Rates!A56</f>
        <v>Rate Rider for Deferral/Variance Account Disposition (2012) - effective until April 30, 2013</v>
      </c>
      <c r="C10" s="64" t="str">
        <f>Rates!B56</f>
        <v>$/kW</v>
      </c>
      <c r="D10" s="66">
        <f>Rates!D56</f>
        <v>1.3007</v>
      </c>
      <c r="E10" s="73">
        <f>Rates!F56</f>
        <v>1.3007</v>
      </c>
    </row>
    <row r="11" spans="2:5" ht="12">
      <c r="B11" s="71" t="str">
        <f>+Rates!A57</f>
        <v>Rate Rider for Deferral/Variance Account Disposition (2013) - effective until December 31, 2013</v>
      </c>
      <c r="C11" s="64" t="str">
        <f>Rates!B57</f>
        <v>$/kW</v>
      </c>
      <c r="D11" s="66">
        <f>Rates!D57</f>
        <v>0</v>
      </c>
      <c r="E11" s="73">
        <f>Rates!F57</f>
        <v>-0.6273</v>
      </c>
    </row>
    <row r="12" spans="2:5" ht="24">
      <c r="B12" s="71" t="str">
        <f>+Rates!A58</f>
        <v>Rate Rider for Global Adjustment Sub-Account Disposition (2012) - effective until April 30, 2013 Applicable only for Non-RPP Customers</v>
      </c>
      <c r="C12" s="64" t="str">
        <f>Rates!B58</f>
        <v>$/kW</v>
      </c>
      <c r="D12" s="66">
        <f>Rates!D58</f>
        <v>0</v>
      </c>
      <c r="E12" s="73">
        <f>Rates!F58</f>
        <v>0</v>
      </c>
    </row>
    <row r="13" spans="2:5" ht="24">
      <c r="B13" s="71" t="str">
        <f>+Rates!A59</f>
        <v>Rate Rider for Global Adjustment Sub-Account Disposition (2013) - effective until December 31, 2013 Applicable only for Non-RPP Customers</v>
      </c>
      <c r="C13" s="64" t="str">
        <f>Rates!B59</f>
        <v>$/kW</v>
      </c>
      <c r="D13" s="66">
        <f>Rates!D59</f>
        <v>0</v>
      </c>
      <c r="E13" s="73">
        <f>Rates!F59</f>
        <v>1.5454</v>
      </c>
    </row>
    <row r="14" spans="2:5" ht="12">
      <c r="B14" s="71" t="str">
        <f>+Rates!A60</f>
        <v>Rate Rider for Tax Change - effective until April 30, 2013</v>
      </c>
      <c r="C14" s="64" t="str">
        <f>Rates!B60</f>
        <v>$/kW</v>
      </c>
      <c r="D14" s="66">
        <f>Rates!D60</f>
        <v>-0.0941</v>
      </c>
      <c r="E14" s="73">
        <f>Rates!F60</f>
        <v>-0.0941</v>
      </c>
    </row>
    <row r="15" spans="2:5" ht="12">
      <c r="B15" s="71" t="str">
        <f>+Rates!A61</f>
        <v>Rate Rider for Tax Change - effective until December 31, 2013</v>
      </c>
      <c r="C15" s="64" t="str">
        <f>Rates!B61</f>
        <v>$/kW</v>
      </c>
      <c r="D15" s="66">
        <f>Rates!D61</f>
        <v>0</v>
      </c>
      <c r="E15" s="73">
        <f>Rates!F61</f>
        <v>0</v>
      </c>
    </row>
    <row r="16" spans="2:5" ht="12">
      <c r="B16" s="71" t="str">
        <f>+Rates!A62</f>
        <v>Rate Rider for PILS - effective until December 31, 2014</v>
      </c>
      <c r="C16" s="64" t="str">
        <f>Rates!B62</f>
        <v>$/kW</v>
      </c>
      <c r="D16" s="66">
        <f>Rates!D62</f>
        <v>0</v>
      </c>
      <c r="E16" s="73">
        <f>Rates!F62</f>
        <v>-0.24412</v>
      </c>
    </row>
    <row r="17" spans="2:5" ht="12">
      <c r="B17" s="71" t="str">
        <f>+Rates!A63</f>
        <v>Retail Transmission Rate - Network Service Rate</v>
      </c>
      <c r="C17" s="64" t="str">
        <f>Rates!B63</f>
        <v>$/kW</v>
      </c>
      <c r="D17" s="66">
        <f>Rates!D63</f>
        <v>1.6621</v>
      </c>
      <c r="E17" s="73">
        <f>Rates!F63</f>
        <v>1.7821</v>
      </c>
    </row>
    <row r="18" spans="2:5" ht="12.75" thickBot="1">
      <c r="B18" s="71" t="str">
        <f>+Rates!A64</f>
        <v>Retail Transmission Rate - Line and Transformation Connection Service Rate</v>
      </c>
      <c r="C18" s="64" t="str">
        <f>Rates!B64</f>
        <v>$/kW</v>
      </c>
      <c r="D18" s="66">
        <f>Rates!D64</f>
        <v>1.3742</v>
      </c>
      <c r="E18" s="73">
        <f>Rates!F64</f>
        <v>1.3967</v>
      </c>
    </row>
    <row r="19" spans="2:10" ht="12">
      <c r="B19" s="71" t="str">
        <f>+Rates!A65</f>
        <v>Wholesale Market Service Rate</v>
      </c>
      <c r="C19" s="64" t="str">
        <f>Rates!B65</f>
        <v>$/kWh</v>
      </c>
      <c r="D19" s="66">
        <f>Rates!D65</f>
        <v>0.0052</v>
      </c>
      <c r="E19" s="73">
        <f>Rates!F65</f>
        <v>0.0052</v>
      </c>
      <c r="H19" s="160"/>
      <c r="I19" s="152" t="s">
        <v>72</v>
      </c>
      <c r="J19" s="161" t="s">
        <v>90</v>
      </c>
    </row>
    <row r="20" spans="2:10" ht="12">
      <c r="B20" s="71" t="str">
        <f>+Rates!A66</f>
        <v>Rural Rate Protection Charge</v>
      </c>
      <c r="C20" s="64" t="str">
        <f>Rates!B66</f>
        <v>$/kWh</v>
      </c>
      <c r="D20" s="66">
        <f>Rates!D66</f>
        <v>0.0011</v>
      </c>
      <c r="E20" s="73">
        <f>Rates!F66</f>
        <v>0.0011</v>
      </c>
      <c r="H20" s="166" t="s">
        <v>13</v>
      </c>
      <c r="I20" s="79">
        <f>Rates!$D$134</f>
        <v>1.0719</v>
      </c>
      <c r="J20" s="167">
        <f>Rates!$F$134</f>
        <v>1.1113</v>
      </c>
    </row>
    <row r="21" spans="2:10" ht="12.75" thickBot="1">
      <c r="B21" s="74" t="str">
        <f>+Rates!A67</f>
        <v>Standard Supply Service - Administrative Charge (if applicable)</v>
      </c>
      <c r="C21" s="75" t="str">
        <f>Rates!B67</f>
        <v>$</v>
      </c>
      <c r="D21" s="76">
        <f>Rates!D67</f>
        <v>0.25</v>
      </c>
      <c r="E21" s="77">
        <f>Rates!F67</f>
        <v>0.25</v>
      </c>
      <c r="H21" s="148" t="s">
        <v>89</v>
      </c>
      <c r="I21" s="168">
        <f>C24/(E24*24*365/12)</f>
        <v>0.43658224105646987</v>
      </c>
      <c r="J21" s="169"/>
    </row>
    <row r="22" spans="2:5" ht="12">
      <c r="B22" s="60"/>
      <c r="C22" s="61"/>
      <c r="D22" s="62"/>
      <c r="E22" s="62"/>
    </row>
    <row r="23" spans="3:4" ht="12.75" thickBot="1">
      <c r="C23" s="10"/>
      <c r="D23" s="7"/>
    </row>
    <row r="24" spans="2:11" ht="13.5" thickBot="1">
      <c r="B24" s="80" t="s">
        <v>88</v>
      </c>
      <c r="C24" s="81">
        <v>44300</v>
      </c>
      <c r="D24" s="146" t="s">
        <v>15</v>
      </c>
      <c r="E24" s="147">
        <v>139</v>
      </c>
      <c r="F24" s="87" t="s">
        <v>16</v>
      </c>
      <c r="G24" s="31"/>
      <c r="H24" s="170">
        <f>C24</f>
        <v>44300</v>
      </c>
      <c r="I24" s="146" t="s">
        <v>15</v>
      </c>
      <c r="J24" s="171">
        <f>E24</f>
        <v>139</v>
      </c>
      <c r="K24" s="87" t="s">
        <v>16</v>
      </c>
    </row>
    <row r="25" spans="2:11" ht="12.75">
      <c r="B25" s="82" t="s">
        <v>53</v>
      </c>
      <c r="C25" s="78">
        <f>ROUND(C24*I20-C24,0)</f>
        <v>3185</v>
      </c>
      <c r="D25" s="83" t="s">
        <v>15</v>
      </c>
      <c r="E25" s="155"/>
      <c r="F25" s="32"/>
      <c r="G25" s="31"/>
      <c r="H25" s="78">
        <f>ROUND(H24*J20-H24,0)</f>
        <v>4931</v>
      </c>
      <c r="I25" s="83" t="s">
        <v>15</v>
      </c>
      <c r="J25" s="155"/>
      <c r="K25" s="32"/>
    </row>
    <row r="26" spans="2:11" ht="13.5" thickBot="1">
      <c r="B26" s="84" t="s">
        <v>54</v>
      </c>
      <c r="C26" s="85">
        <f>+C24+C25</f>
        <v>47485</v>
      </c>
      <c r="D26" s="86" t="s">
        <v>15</v>
      </c>
      <c r="E26" s="154"/>
      <c r="F26" s="32"/>
      <c r="G26" s="31"/>
      <c r="H26" s="85">
        <f>+H24+H25</f>
        <v>49231</v>
      </c>
      <c r="I26" s="86" t="s">
        <v>15</v>
      </c>
      <c r="J26" s="154"/>
      <c r="K26" s="32"/>
    </row>
    <row r="27" ht="12.75" thickBot="1"/>
    <row r="28" spans="2:12" ht="13.5" customHeight="1">
      <c r="B28" s="188" t="str">
        <f>B3</f>
        <v>General Service 50kW to 4,999kW</v>
      </c>
      <c r="C28" s="120"/>
      <c r="D28" s="190" t="str">
        <f>+D3</f>
        <v>Current Approved Rates</v>
      </c>
      <c r="E28" s="190"/>
      <c r="F28" s="190"/>
      <c r="G28" s="190" t="str">
        <f>+E3</f>
        <v>Proposed Rates</v>
      </c>
      <c r="H28" s="190"/>
      <c r="I28" s="190"/>
      <c r="J28" s="120"/>
      <c r="K28" s="120"/>
      <c r="L28" s="121"/>
    </row>
    <row r="29" spans="2:12" ht="12.75" customHeight="1">
      <c r="B29" s="189"/>
      <c r="C29" s="186" t="str">
        <f>+C3</f>
        <v>Metric</v>
      </c>
      <c r="D29" s="186" t="s">
        <v>55</v>
      </c>
      <c r="E29" s="92" t="s">
        <v>23</v>
      </c>
      <c r="F29" s="92" t="s">
        <v>24</v>
      </c>
      <c r="G29" s="186" t="s">
        <v>55</v>
      </c>
      <c r="H29" s="92" t="s">
        <v>23</v>
      </c>
      <c r="I29" s="92" t="s">
        <v>24</v>
      </c>
      <c r="J29" s="184" t="s">
        <v>30</v>
      </c>
      <c r="K29" s="184"/>
      <c r="L29" s="185"/>
    </row>
    <row r="30" spans="2:12" ht="12" customHeight="1">
      <c r="B30" s="189"/>
      <c r="C30" s="187"/>
      <c r="D30" s="187"/>
      <c r="E30" s="92" t="s">
        <v>8</v>
      </c>
      <c r="F30" s="92" t="s">
        <v>8</v>
      </c>
      <c r="G30" s="187"/>
      <c r="H30" s="92" t="s">
        <v>8</v>
      </c>
      <c r="I30" s="92" t="s">
        <v>8</v>
      </c>
      <c r="J30" s="92" t="s">
        <v>8</v>
      </c>
      <c r="K30" s="141" t="s">
        <v>12</v>
      </c>
      <c r="L30" s="122" t="s">
        <v>20</v>
      </c>
    </row>
    <row r="31" spans="2:12" ht="12">
      <c r="B31" s="145" t="s">
        <v>68</v>
      </c>
      <c r="C31" s="142" t="str">
        <f>+Rates!B142</f>
        <v>$/kWh</v>
      </c>
      <c r="D31" s="112">
        <f>+$C$26</f>
        <v>47485</v>
      </c>
      <c r="E31" s="113">
        <f>Rates!D142</f>
        <v>0.035</v>
      </c>
      <c r="F31" s="143">
        <f>D31*E31</f>
        <v>1661.9750000000001</v>
      </c>
      <c r="G31" s="112">
        <f>+$H$26</f>
        <v>49231</v>
      </c>
      <c r="H31" s="113">
        <f>+E31</f>
        <v>0.035</v>
      </c>
      <c r="I31" s="143">
        <f>G31*H31</f>
        <v>1723.0850000000003</v>
      </c>
      <c r="J31" s="97">
        <f>I31-F31</f>
        <v>61.11000000000013</v>
      </c>
      <c r="K31" s="98">
        <f>IF(ISERROR(J31/F31),1,J31/F31)</f>
        <v>0.036769506159840024</v>
      </c>
      <c r="L31" s="125">
        <f>IF(ISERROR(I31/I$58),0,I31/I$58)</f>
        <v>0.24417868350350685</v>
      </c>
    </row>
    <row r="32" spans="2:12" ht="12">
      <c r="B32" s="145" t="s">
        <v>67</v>
      </c>
      <c r="C32" s="142" t="str">
        <f>+Rates!B143</f>
        <v>$/kWh</v>
      </c>
      <c r="D32" s="112">
        <f>+$C$26</f>
        <v>47485</v>
      </c>
      <c r="E32" s="113">
        <f>Rates!D143</f>
        <v>0.04</v>
      </c>
      <c r="F32" s="97">
        <f>D32*E32</f>
        <v>1899.4</v>
      </c>
      <c r="G32" s="112">
        <f>+$H$26</f>
        <v>49231</v>
      </c>
      <c r="H32" s="113">
        <f>+E32</f>
        <v>0.04</v>
      </c>
      <c r="I32" s="97">
        <f>G32*H32</f>
        <v>1969.24</v>
      </c>
      <c r="J32" s="97">
        <f>I32-F32</f>
        <v>69.83999999999992</v>
      </c>
      <c r="K32" s="98">
        <f>IF(ISERROR(J32/F32),1,J32/F32)</f>
        <v>0.036769506159839906</v>
      </c>
      <c r="L32" s="125">
        <f>IF(ISERROR(I32/I$58),0,I32/I$58)</f>
        <v>0.27906135257543635</v>
      </c>
    </row>
    <row r="33" spans="2:12" ht="12">
      <c r="B33" s="24" t="str">
        <f aca="true" t="shared" si="0" ref="B33:B38">B4</f>
        <v>Monthly Service Charge</v>
      </c>
      <c r="C33" s="27" t="str">
        <f aca="true" t="shared" si="1" ref="C33:C38">+C4</f>
        <v>$</v>
      </c>
      <c r="D33" s="144">
        <v>1</v>
      </c>
      <c r="E33" s="93">
        <f aca="true" t="shared" si="2" ref="E33:E38">D4</f>
        <v>133.68</v>
      </c>
      <c r="F33" s="93">
        <f>D33*E33</f>
        <v>133.68</v>
      </c>
      <c r="G33" s="64">
        <f aca="true" t="shared" si="3" ref="G33:G45">+D33</f>
        <v>1</v>
      </c>
      <c r="H33" s="93">
        <f aca="true" t="shared" si="4" ref="H33:H38">E4</f>
        <v>133.68</v>
      </c>
      <c r="I33" s="13">
        <f>G33*H33</f>
        <v>133.68</v>
      </c>
      <c r="J33" s="13">
        <f>I33-F33</f>
        <v>0</v>
      </c>
      <c r="K33" s="14">
        <f>IF(ISERROR(J33/F33),0,J33/F33)</f>
        <v>0</v>
      </c>
      <c r="L33" s="15">
        <f>IF(ISERROR(I33/I$58),0,I33/I$58)</f>
        <v>0.018943816707097324</v>
      </c>
    </row>
    <row r="34" spans="2:12" ht="12">
      <c r="B34" s="24" t="str">
        <f t="shared" si="0"/>
        <v>Monthly Service Charge Rate Rider</v>
      </c>
      <c r="C34" s="27" t="str">
        <f t="shared" si="1"/>
        <v>$</v>
      </c>
      <c r="D34" s="149">
        <f>D33</f>
        <v>1</v>
      </c>
      <c r="E34" s="93">
        <f t="shared" si="2"/>
        <v>0</v>
      </c>
      <c r="F34" s="93">
        <f aca="true" t="shared" si="5" ref="F34:F45">D34*E34</f>
        <v>0</v>
      </c>
      <c r="G34" s="64">
        <f t="shared" si="3"/>
        <v>1</v>
      </c>
      <c r="H34" s="93">
        <f t="shared" si="4"/>
        <v>0</v>
      </c>
      <c r="I34" s="13">
        <f aca="true" t="shared" si="6" ref="I34:I45">G34*H34</f>
        <v>0</v>
      </c>
      <c r="J34" s="13">
        <f aca="true" t="shared" si="7" ref="J34:J44">I34-F34</f>
        <v>0</v>
      </c>
      <c r="K34" s="14">
        <f aca="true" t="shared" si="8" ref="K34:K44">IF(ISERROR(J34/F34),0,J34/F34)</f>
        <v>0</v>
      </c>
      <c r="L34" s="15">
        <f aca="true" t="shared" si="9" ref="L34:L44">IF(ISERROR(I34/I$58),0,I34/I$58)</f>
        <v>0</v>
      </c>
    </row>
    <row r="35" spans="2:12" ht="12">
      <c r="B35" s="24" t="str">
        <f t="shared" si="0"/>
        <v>Smart Meter Rate Rider</v>
      </c>
      <c r="C35" s="27" t="str">
        <f t="shared" si="1"/>
        <v>$</v>
      </c>
      <c r="D35" s="149">
        <f>D33</f>
        <v>1</v>
      </c>
      <c r="E35" s="93">
        <f t="shared" si="2"/>
        <v>0</v>
      </c>
      <c r="F35" s="93">
        <f t="shared" si="5"/>
        <v>0</v>
      </c>
      <c r="G35" s="64">
        <f t="shared" si="3"/>
        <v>1</v>
      </c>
      <c r="H35" s="93">
        <f t="shared" si="4"/>
        <v>0</v>
      </c>
      <c r="I35" s="13">
        <f t="shared" si="6"/>
        <v>0</v>
      </c>
      <c r="J35" s="13">
        <f t="shared" si="7"/>
        <v>0</v>
      </c>
      <c r="K35" s="14">
        <f t="shared" si="8"/>
        <v>0</v>
      </c>
      <c r="L35" s="15">
        <f t="shared" si="9"/>
        <v>0</v>
      </c>
    </row>
    <row r="36" spans="2:12" ht="12">
      <c r="B36" s="24" t="str">
        <f t="shared" si="0"/>
        <v>Distribution Volumetric Rate</v>
      </c>
      <c r="C36" s="27" t="str">
        <f t="shared" si="1"/>
        <v>$/kW</v>
      </c>
      <c r="D36" s="11">
        <f aca="true" t="shared" si="10" ref="D36:D44">+$E$24</f>
        <v>139</v>
      </c>
      <c r="E36" s="93">
        <f t="shared" si="2"/>
        <v>7.2561</v>
      </c>
      <c r="F36" s="93">
        <f t="shared" si="5"/>
        <v>1008.5979</v>
      </c>
      <c r="G36" s="64">
        <f t="shared" si="3"/>
        <v>139</v>
      </c>
      <c r="H36" s="93">
        <f t="shared" si="4"/>
        <v>7.8923</v>
      </c>
      <c r="I36" s="13">
        <f t="shared" si="6"/>
        <v>1097.0297</v>
      </c>
      <c r="J36" s="13">
        <f t="shared" si="7"/>
        <v>88.43180000000007</v>
      </c>
      <c r="K36" s="14">
        <f t="shared" si="8"/>
        <v>0.08767795372169629</v>
      </c>
      <c r="L36" s="15">
        <f t="shared" si="9"/>
        <v>0.15546027497787226</v>
      </c>
    </row>
    <row r="37" spans="2:12" ht="12">
      <c r="B37" s="24" t="str">
        <f t="shared" si="0"/>
        <v>Distribution Volumetric Rate Rider</v>
      </c>
      <c r="C37" s="27" t="str">
        <f t="shared" si="1"/>
        <v>$/kW</v>
      </c>
      <c r="D37" s="11">
        <f t="shared" si="10"/>
        <v>139</v>
      </c>
      <c r="E37" s="93">
        <f t="shared" si="2"/>
        <v>0</v>
      </c>
      <c r="F37" s="93">
        <f t="shared" si="5"/>
        <v>0</v>
      </c>
      <c r="G37" s="64">
        <f t="shared" si="3"/>
        <v>139</v>
      </c>
      <c r="H37" s="93">
        <f t="shared" si="4"/>
        <v>0</v>
      </c>
      <c r="I37" s="13">
        <f t="shared" si="6"/>
        <v>0</v>
      </c>
      <c r="J37" s="13">
        <f t="shared" si="7"/>
        <v>0</v>
      </c>
      <c r="K37" s="14">
        <f t="shared" si="8"/>
        <v>0</v>
      </c>
      <c r="L37" s="15">
        <f t="shared" si="9"/>
        <v>0</v>
      </c>
    </row>
    <row r="38" spans="2:12" ht="12">
      <c r="B38" s="24" t="str">
        <f t="shared" si="0"/>
        <v>Low Voltage Service Rate</v>
      </c>
      <c r="C38" s="27" t="str">
        <f t="shared" si="1"/>
        <v>$/kW</v>
      </c>
      <c r="D38" s="11">
        <f t="shared" si="10"/>
        <v>139</v>
      </c>
      <c r="E38" s="93">
        <f t="shared" si="2"/>
        <v>0.5826</v>
      </c>
      <c r="F38" s="93">
        <f>D38*E38</f>
        <v>80.98140000000001</v>
      </c>
      <c r="G38" s="64">
        <f>+D38</f>
        <v>139</v>
      </c>
      <c r="H38" s="93">
        <f t="shared" si="4"/>
        <v>0.5914</v>
      </c>
      <c r="I38" s="13">
        <f>G38*H38</f>
        <v>82.2046</v>
      </c>
      <c r="J38" s="13">
        <f>I38-F38</f>
        <v>1.2231999999999914</v>
      </c>
      <c r="K38" s="14">
        <f>IF(ISERROR(J38/F38),0,J38/F38)</f>
        <v>0.015104703055269375</v>
      </c>
      <c r="L38" s="15">
        <f>IF(ISERROR(I38/I$58),0,I38/I$58)</f>
        <v>0.011649228567326845</v>
      </c>
    </row>
    <row r="39" spans="2:12" ht="12">
      <c r="B39" s="24" t="str">
        <f aca="true" t="shared" si="11" ref="B39:B45">B10</f>
        <v>Rate Rider for Deferral/Variance Account Disposition (2012) - effective until April 30, 2013</v>
      </c>
      <c r="C39" s="27" t="str">
        <f aca="true" t="shared" si="12" ref="C39:C45">+C10</f>
        <v>$/kW</v>
      </c>
      <c r="D39" s="11">
        <f t="shared" si="10"/>
        <v>139</v>
      </c>
      <c r="E39" s="93">
        <f aca="true" t="shared" si="13" ref="E39:E45">D10</f>
        <v>1.3007</v>
      </c>
      <c r="F39" s="93">
        <f t="shared" si="5"/>
        <v>180.7973</v>
      </c>
      <c r="G39" s="64">
        <f t="shared" si="3"/>
        <v>139</v>
      </c>
      <c r="H39" s="93">
        <f aca="true" t="shared" si="14" ref="H39:H45">E10</f>
        <v>1.3007</v>
      </c>
      <c r="I39" s="13">
        <f t="shared" si="6"/>
        <v>180.7973</v>
      </c>
      <c r="J39" s="13">
        <f t="shared" si="7"/>
        <v>0</v>
      </c>
      <c r="K39" s="14">
        <f t="shared" si="8"/>
        <v>0</v>
      </c>
      <c r="L39" s="15">
        <f t="shared" si="9"/>
        <v>0.025620817716472823</v>
      </c>
    </row>
    <row r="40" spans="2:12" ht="12">
      <c r="B40" s="24" t="str">
        <f t="shared" si="11"/>
        <v>Rate Rider for Deferral/Variance Account Disposition (2013) - effective until December 31, 2013</v>
      </c>
      <c r="C40" s="27" t="str">
        <f t="shared" si="12"/>
        <v>$/kW</v>
      </c>
      <c r="D40" s="11">
        <f t="shared" si="10"/>
        <v>139</v>
      </c>
      <c r="E40" s="93">
        <f t="shared" si="13"/>
        <v>0</v>
      </c>
      <c r="F40" s="93">
        <f t="shared" si="5"/>
        <v>0</v>
      </c>
      <c r="G40" s="64">
        <f t="shared" si="3"/>
        <v>139</v>
      </c>
      <c r="H40" s="93">
        <f t="shared" si="14"/>
        <v>-0.6273</v>
      </c>
      <c r="I40" s="13">
        <f t="shared" si="6"/>
        <v>-87.1947</v>
      </c>
      <c r="J40" s="13">
        <f t="shared" si="7"/>
        <v>-87.1947</v>
      </c>
      <c r="K40" s="14">
        <f t="shared" si="8"/>
        <v>0</v>
      </c>
      <c r="L40" s="15">
        <f t="shared" si="9"/>
        <v>-0.012356376530747597</v>
      </c>
    </row>
    <row r="41" spans="2:12" ht="24">
      <c r="B41" s="24" t="str">
        <f t="shared" si="11"/>
        <v>Rate Rider for Global Adjustment Sub-Account Disposition (2012) - effective until April 30, 2013 Applicable only for Non-RPP Customers</v>
      </c>
      <c r="C41" s="27" t="str">
        <f t="shared" si="12"/>
        <v>$/kW</v>
      </c>
      <c r="D41" s="11">
        <f t="shared" si="10"/>
        <v>139</v>
      </c>
      <c r="E41" s="93">
        <f t="shared" si="13"/>
        <v>0</v>
      </c>
      <c r="F41" s="93">
        <f t="shared" si="5"/>
        <v>0</v>
      </c>
      <c r="G41" s="64">
        <f t="shared" si="3"/>
        <v>139</v>
      </c>
      <c r="H41" s="93">
        <f t="shared" si="14"/>
        <v>0</v>
      </c>
      <c r="I41" s="13">
        <f t="shared" si="6"/>
        <v>0</v>
      </c>
      <c r="J41" s="13">
        <f t="shared" si="7"/>
        <v>0</v>
      </c>
      <c r="K41" s="14">
        <f t="shared" si="8"/>
        <v>0</v>
      </c>
      <c r="L41" s="15">
        <f t="shared" si="9"/>
        <v>0</v>
      </c>
    </row>
    <row r="42" spans="2:12" ht="24">
      <c r="B42" s="24" t="str">
        <f t="shared" si="11"/>
        <v>Rate Rider for Global Adjustment Sub-Account Disposition (2013) - effective until December 31, 2013 Applicable only for Non-RPP Customers</v>
      </c>
      <c r="C42" s="27" t="str">
        <f t="shared" si="12"/>
        <v>$/kW</v>
      </c>
      <c r="D42" s="11">
        <f t="shared" si="10"/>
        <v>139</v>
      </c>
      <c r="E42" s="93">
        <f t="shared" si="13"/>
        <v>0</v>
      </c>
      <c r="F42" s="93">
        <f t="shared" si="5"/>
        <v>0</v>
      </c>
      <c r="G42" s="64">
        <f t="shared" si="3"/>
        <v>139</v>
      </c>
      <c r="H42" s="93">
        <f t="shared" si="14"/>
        <v>1.5454</v>
      </c>
      <c r="I42" s="13">
        <f t="shared" si="6"/>
        <v>214.81060000000002</v>
      </c>
      <c r="J42" s="13">
        <f t="shared" si="7"/>
        <v>214.81060000000002</v>
      </c>
      <c r="K42" s="14">
        <f t="shared" si="8"/>
        <v>0</v>
      </c>
      <c r="L42" s="15">
        <f t="shared" si="9"/>
        <v>0.03044084854235189</v>
      </c>
    </row>
    <row r="43" spans="2:12" ht="12">
      <c r="B43" s="24" t="str">
        <f t="shared" si="11"/>
        <v>Rate Rider for Tax Change - effective until April 30, 2013</v>
      </c>
      <c r="C43" s="27" t="str">
        <f t="shared" si="12"/>
        <v>$/kW</v>
      </c>
      <c r="D43" s="11">
        <f t="shared" si="10"/>
        <v>139</v>
      </c>
      <c r="E43" s="93">
        <f t="shared" si="13"/>
        <v>-0.0941</v>
      </c>
      <c r="F43" s="93">
        <f t="shared" si="5"/>
        <v>-13.0799</v>
      </c>
      <c r="G43" s="64">
        <f t="shared" si="3"/>
        <v>139</v>
      </c>
      <c r="H43" s="93">
        <f t="shared" si="14"/>
        <v>-0.0941</v>
      </c>
      <c r="I43" s="13">
        <f t="shared" si="6"/>
        <v>-13.0799</v>
      </c>
      <c r="J43" s="13">
        <f t="shared" si="7"/>
        <v>0</v>
      </c>
      <c r="K43" s="14">
        <f t="shared" si="8"/>
        <v>0</v>
      </c>
      <c r="L43" s="15">
        <f t="shared" si="9"/>
        <v>-0.0018535549681864324</v>
      </c>
    </row>
    <row r="44" spans="2:12" ht="12">
      <c r="B44" s="24" t="str">
        <f t="shared" si="11"/>
        <v>Rate Rider for Tax Change - effective until December 31, 2013</v>
      </c>
      <c r="C44" s="27" t="str">
        <f t="shared" si="12"/>
        <v>$/kW</v>
      </c>
      <c r="D44" s="11">
        <f t="shared" si="10"/>
        <v>139</v>
      </c>
      <c r="E44" s="93">
        <f t="shared" si="13"/>
        <v>0</v>
      </c>
      <c r="F44" s="93">
        <f t="shared" si="5"/>
        <v>0</v>
      </c>
      <c r="G44" s="64">
        <f t="shared" si="3"/>
        <v>139</v>
      </c>
      <c r="H44" s="93">
        <f t="shared" si="14"/>
        <v>0</v>
      </c>
      <c r="I44" s="13">
        <f t="shared" si="6"/>
        <v>0</v>
      </c>
      <c r="J44" s="13">
        <f t="shared" si="7"/>
        <v>0</v>
      </c>
      <c r="K44" s="14">
        <f t="shared" si="8"/>
        <v>0</v>
      </c>
      <c r="L44" s="15">
        <f t="shared" si="9"/>
        <v>0</v>
      </c>
    </row>
    <row r="45" spans="2:12" ht="12">
      <c r="B45" s="24" t="str">
        <f t="shared" si="11"/>
        <v>Rate Rider for PILS - effective until December 31, 2014</v>
      </c>
      <c r="C45" s="27" t="str">
        <f t="shared" si="12"/>
        <v>$/kW</v>
      </c>
      <c r="D45" s="11">
        <f>+$E$24</f>
        <v>139</v>
      </c>
      <c r="E45" s="93">
        <f t="shared" si="13"/>
        <v>0</v>
      </c>
      <c r="F45" s="93">
        <f t="shared" si="5"/>
        <v>0</v>
      </c>
      <c r="G45" s="64">
        <f t="shared" si="3"/>
        <v>139</v>
      </c>
      <c r="H45" s="93">
        <f t="shared" si="14"/>
        <v>-0.24412</v>
      </c>
      <c r="I45" s="13">
        <f t="shared" si="6"/>
        <v>-33.93268</v>
      </c>
      <c r="J45" s="13">
        <f>I45-F45</f>
        <v>-33.93268</v>
      </c>
      <c r="K45" s="14">
        <f>IF(ISERROR(J45/F45),1,J45/F45)</f>
        <v>1</v>
      </c>
      <c r="L45" s="15">
        <f>IF(ISERROR(I45/I$58),0,I45/I$58)</f>
        <v>-0.004808606151261124</v>
      </c>
    </row>
    <row r="46" spans="2:12" ht="12">
      <c r="B46" s="126" t="s">
        <v>26</v>
      </c>
      <c r="C46" s="100"/>
      <c r="D46" s="101"/>
      <c r="E46" s="102"/>
      <c r="F46" s="103">
        <f>SUM(F33:F45)</f>
        <v>1390.9767000000002</v>
      </c>
      <c r="G46" s="102"/>
      <c r="H46" s="102"/>
      <c r="I46" s="103">
        <f>SUM(I33:I45)</f>
        <v>1574.3149200000003</v>
      </c>
      <c r="J46" s="104">
        <f>I46-F46</f>
        <v>183.3382200000001</v>
      </c>
      <c r="K46" s="105">
        <f>IF(ISERROR(J46/F46),0,J46/F46)</f>
        <v>0.13180538538136552</v>
      </c>
      <c r="L46" s="127">
        <f>IF(ISERROR(I46/I$58),0,I46/I$58)</f>
        <v>0.22309644886092603</v>
      </c>
    </row>
    <row r="47" spans="2:12" ht="12">
      <c r="B47" s="24" t="str">
        <f>B18</f>
        <v>Retail Transmission Rate - Line and Transformation Connection Service Rate</v>
      </c>
      <c r="C47" s="27" t="str">
        <f>+C17</f>
        <v>$/kW</v>
      </c>
      <c r="D47" s="11">
        <f>+$E$24</f>
        <v>139</v>
      </c>
      <c r="E47" s="12">
        <f>D17</f>
        <v>1.6621</v>
      </c>
      <c r="F47" s="13">
        <f>D47*E47</f>
        <v>231.03189999999998</v>
      </c>
      <c r="G47" s="11">
        <f>+D47</f>
        <v>139</v>
      </c>
      <c r="H47" s="12">
        <f>E17</f>
        <v>1.7821</v>
      </c>
      <c r="I47" s="13">
        <f>G47*H47</f>
        <v>247.7119</v>
      </c>
      <c r="J47" s="13">
        <f>I47-F47</f>
        <v>16.680000000000035</v>
      </c>
      <c r="K47" s="14">
        <f>IF(ISERROR(J47/F47),0,J47/F47)</f>
        <v>0.07219782203236885</v>
      </c>
      <c r="L47" s="15">
        <f aca="true" t="shared" si="15" ref="L47:L58">IF(ISERROR(I47/I$58),0,I47/I$58)</f>
        <v>0.03510329764936282</v>
      </c>
    </row>
    <row r="48" spans="2:12" ht="12">
      <c r="B48" s="24" t="str">
        <f>B19</f>
        <v>Wholesale Market Service Rate</v>
      </c>
      <c r="C48" s="27" t="str">
        <f>+C18</f>
        <v>$/kW</v>
      </c>
      <c r="D48" s="11">
        <f>+$E$24</f>
        <v>139</v>
      </c>
      <c r="E48" s="12">
        <f>D18</f>
        <v>1.3742</v>
      </c>
      <c r="F48" s="13">
        <f>D48*E48</f>
        <v>191.0138</v>
      </c>
      <c r="G48" s="11">
        <f>+D48</f>
        <v>139</v>
      </c>
      <c r="H48" s="12">
        <f>E18</f>
        <v>1.3967</v>
      </c>
      <c r="I48" s="13">
        <f>G48*H48</f>
        <v>194.1413</v>
      </c>
      <c r="J48" s="13">
        <f>I48-F48</f>
        <v>3.1274999999999977</v>
      </c>
      <c r="K48" s="14">
        <f>IF(ISERROR(J48/F48),0,J48/F48)</f>
        <v>0.016373162567311878</v>
      </c>
      <c r="L48" s="15">
        <f t="shared" si="15"/>
        <v>0.027511798342890435</v>
      </c>
    </row>
    <row r="49" spans="2:12" ht="12">
      <c r="B49" s="126" t="s">
        <v>18</v>
      </c>
      <c r="C49" s="100"/>
      <c r="D49" s="101"/>
      <c r="E49" s="102"/>
      <c r="F49" s="104">
        <f>+SUM(F47:F48)</f>
        <v>422.0457</v>
      </c>
      <c r="G49" s="102"/>
      <c r="H49" s="102"/>
      <c r="I49" s="104">
        <f>+SUM(I47:I48)</f>
        <v>441.8532</v>
      </c>
      <c r="J49" s="104">
        <f>I49-F49</f>
        <v>19.807500000000005</v>
      </c>
      <c r="K49" s="105">
        <f>IF(ISERROR(J49/F49),0,J49/F49)</f>
        <v>0.04693212133188421</v>
      </c>
      <c r="L49" s="127">
        <f>IF(ISERROR(I49/I$58),0,I49/I$58)</f>
        <v>0.06261509599225325</v>
      </c>
    </row>
    <row r="50" spans="2:12" ht="12">
      <c r="B50" s="128" t="s">
        <v>27</v>
      </c>
      <c r="C50" s="107"/>
      <c r="D50" s="108"/>
      <c r="E50" s="109"/>
      <c r="F50" s="110">
        <f>F46+F49</f>
        <v>1813.0224000000003</v>
      </c>
      <c r="G50" s="109"/>
      <c r="H50" s="109"/>
      <c r="I50" s="110">
        <f>I46+I49</f>
        <v>2016.1681200000003</v>
      </c>
      <c r="J50" s="110">
        <f>I50-F50</f>
        <v>203.14571999999998</v>
      </c>
      <c r="K50" s="111">
        <f>IF(ISERROR(J50/F50),0,J50/F50)</f>
        <v>0.11204810265995607</v>
      </c>
      <c r="L50" s="129">
        <f t="shared" si="15"/>
        <v>0.2857115448531793</v>
      </c>
    </row>
    <row r="51" spans="2:12" ht="12">
      <c r="B51" s="24" t="str">
        <f>B19</f>
        <v>Wholesale Market Service Rate</v>
      </c>
      <c r="C51" s="27" t="str">
        <f>+C19</f>
        <v>$/kWh</v>
      </c>
      <c r="D51" s="11">
        <f>+$C$26</f>
        <v>47485</v>
      </c>
      <c r="E51" s="12">
        <f>D19</f>
        <v>0.0052</v>
      </c>
      <c r="F51" s="13">
        <f>D51*E51</f>
        <v>246.922</v>
      </c>
      <c r="G51" s="11">
        <f>+$H$26</f>
        <v>49231</v>
      </c>
      <c r="H51" s="12">
        <f>E19</f>
        <v>0.0052</v>
      </c>
      <c r="I51" s="13">
        <f>G51*H51</f>
        <v>256.0012</v>
      </c>
      <c r="J51" s="13">
        <f>I51-F51</f>
        <v>9.079199999999986</v>
      </c>
      <c r="K51" s="14">
        <f>IF(ISERROR(J51/F51),0,J51/F51)</f>
        <v>0.03676950615983989</v>
      </c>
      <c r="L51" s="15">
        <f t="shared" si="15"/>
        <v>0.03627797583480672</v>
      </c>
    </row>
    <row r="52" spans="2:12" ht="12">
      <c r="B52" s="24" t="str">
        <f>B20</f>
        <v>Rural Rate Protection Charge</v>
      </c>
      <c r="C52" s="27" t="str">
        <f>+C20</f>
        <v>$/kWh</v>
      </c>
      <c r="D52" s="11">
        <f>+$C$26</f>
        <v>47485</v>
      </c>
      <c r="E52" s="12">
        <f>D20</f>
        <v>0.0011</v>
      </c>
      <c r="F52" s="13">
        <f>D52*E52</f>
        <v>52.23350000000001</v>
      </c>
      <c r="G52" s="11">
        <f>+$H$26</f>
        <v>49231</v>
      </c>
      <c r="H52" s="12">
        <f>E20</f>
        <v>0.0011</v>
      </c>
      <c r="I52" s="13">
        <f>G52*H52</f>
        <v>54.15410000000001</v>
      </c>
      <c r="J52" s="13">
        <f>I52-F52</f>
        <v>1.9206000000000003</v>
      </c>
      <c r="K52" s="14">
        <f>IF(ISERROR(J52/F52),0,J52/F52)</f>
        <v>0.036769506159839954</v>
      </c>
      <c r="L52" s="15">
        <f t="shared" si="15"/>
        <v>0.0076741871958245006</v>
      </c>
    </row>
    <row r="53" spans="2:12" ht="12">
      <c r="B53" s="24" t="str">
        <f>B21</f>
        <v>Standard Supply Service - Administrative Charge (if applicable)</v>
      </c>
      <c r="C53" s="27" t="str">
        <f>+C21</f>
        <v>$</v>
      </c>
      <c r="D53" s="11">
        <f>D33</f>
        <v>1</v>
      </c>
      <c r="E53" s="13">
        <f>D21</f>
        <v>0.25</v>
      </c>
      <c r="F53" s="13">
        <f>D53*E53</f>
        <v>0.25</v>
      </c>
      <c r="G53" s="11">
        <f>+D53</f>
        <v>1</v>
      </c>
      <c r="H53" s="13">
        <f>E21</f>
        <v>0.25</v>
      </c>
      <c r="I53" s="13">
        <f>G53*H53</f>
        <v>0.25</v>
      </c>
      <c r="J53" s="13">
        <f>I53-F53</f>
        <v>0</v>
      </c>
      <c r="K53" s="14">
        <f>IF(ISERROR(J53/F53),0,J53/F53)</f>
        <v>0</v>
      </c>
      <c r="L53" s="15">
        <f t="shared" si="15"/>
        <v>3.5427544709562617E-05</v>
      </c>
    </row>
    <row r="54" spans="2:12" ht="12">
      <c r="B54" s="128" t="s">
        <v>28</v>
      </c>
      <c r="C54" s="106"/>
      <c r="D54" s="95"/>
      <c r="E54" s="96"/>
      <c r="F54" s="97">
        <f>SUM(F51:F53)</f>
        <v>299.4055</v>
      </c>
      <c r="G54" s="96"/>
      <c r="H54" s="96"/>
      <c r="I54" s="97">
        <f>SUM(I51:I53)</f>
        <v>310.4053</v>
      </c>
      <c r="J54" s="97">
        <f>I54-F54</f>
        <v>10.999799999999993</v>
      </c>
      <c r="K54" s="98">
        <f>IF(ISERROR(J54/F54),0,J54/F54)</f>
        <v>0.03673880406338558</v>
      </c>
      <c r="L54" s="125">
        <f t="shared" si="15"/>
        <v>0.04398759057534079</v>
      </c>
    </row>
    <row r="55" spans="2:12" ht="12">
      <c r="B55" s="130" t="s">
        <v>11</v>
      </c>
      <c r="C55" s="180" t="s">
        <v>9</v>
      </c>
      <c r="D55" s="112">
        <f>C24</f>
        <v>44300</v>
      </c>
      <c r="E55" s="113">
        <v>0.0051</v>
      </c>
      <c r="F55" s="97">
        <f>D55*E55</f>
        <v>225.93</v>
      </c>
      <c r="G55" s="112">
        <f>D55</f>
        <v>44300</v>
      </c>
      <c r="H55" s="113">
        <f>E55</f>
        <v>0.0051</v>
      </c>
      <c r="I55" s="97">
        <f>G55*H55</f>
        <v>225.93</v>
      </c>
      <c r="J55" s="97">
        <f>I55-F55</f>
        <v>0</v>
      </c>
      <c r="K55" s="98">
        <f>IF(ISERROR(J55/F55),0,J55/F55)</f>
        <v>0</v>
      </c>
      <c r="L55" s="125">
        <f t="shared" si="15"/>
        <v>0.032016580704925926</v>
      </c>
    </row>
    <row r="56" spans="2:12" ht="12">
      <c r="B56" s="131" t="s">
        <v>29</v>
      </c>
      <c r="C56" s="114"/>
      <c r="D56" s="79"/>
      <c r="E56" s="115"/>
      <c r="F56" s="116">
        <f>+F31+F32+F50+F54+F55</f>
        <v>5899.7329</v>
      </c>
      <c r="G56" s="115"/>
      <c r="H56" s="115"/>
      <c r="I56" s="116">
        <f>+I31+I32+I50+I54+I55</f>
        <v>6244.828420000002</v>
      </c>
      <c r="J56" s="116">
        <f>I56-F56</f>
        <v>345.09552000000167</v>
      </c>
      <c r="K56" s="117">
        <f>IF(ISERROR(J56/F56),0,J56/F56)</f>
        <v>0.05849341416795355</v>
      </c>
      <c r="L56" s="132">
        <f t="shared" si="15"/>
        <v>0.8849557522123893</v>
      </c>
    </row>
    <row r="57" spans="2:12" ht="12">
      <c r="B57" s="130" t="s">
        <v>57</v>
      </c>
      <c r="C57" s="118"/>
      <c r="D57" s="95"/>
      <c r="E57" s="119">
        <f>+Rates!$D$145</f>
        <v>0.13</v>
      </c>
      <c r="F57" s="97">
        <f>E57*F56</f>
        <v>766.965277</v>
      </c>
      <c r="G57" s="96"/>
      <c r="H57" s="119">
        <f>+E57</f>
        <v>0.13</v>
      </c>
      <c r="I57" s="97">
        <f>H57*I56</f>
        <v>811.8276946000002</v>
      </c>
      <c r="J57" s="97">
        <f>I57-F57</f>
        <v>44.862417600000185</v>
      </c>
      <c r="K57" s="98">
        <f>IF(ISERROR(J57/F57),0,J57/F57)</f>
        <v>0.058493414167953506</v>
      </c>
      <c r="L57" s="125">
        <f t="shared" si="15"/>
        <v>0.11504424778761062</v>
      </c>
    </row>
    <row r="58" spans="2:12" ht="12.75" thickBot="1">
      <c r="B58" s="133" t="s">
        <v>19</v>
      </c>
      <c r="C58" s="134"/>
      <c r="D58" s="135"/>
      <c r="E58" s="136"/>
      <c r="F58" s="137">
        <f>+F56+F57</f>
        <v>6666.698177</v>
      </c>
      <c r="G58" s="136"/>
      <c r="H58" s="136"/>
      <c r="I58" s="137">
        <f>+I56+I57</f>
        <v>7056.656114600002</v>
      </c>
      <c r="J58" s="137">
        <f>I58-F58</f>
        <v>389.95793760000197</v>
      </c>
      <c r="K58" s="138">
        <f>IF(ISERROR(J58/F58),0,J58/F58)</f>
        <v>0.05849341416795356</v>
      </c>
      <c r="L58" s="139">
        <f t="shared" si="15"/>
        <v>1</v>
      </c>
    </row>
  </sheetData>
  <sheetProtection/>
  <mergeCells count="7">
    <mergeCell ref="J29:L29"/>
    <mergeCell ref="B28:B30"/>
    <mergeCell ref="D28:F28"/>
    <mergeCell ref="G28:I28"/>
    <mergeCell ref="C29:C30"/>
    <mergeCell ref="D29:D30"/>
    <mergeCell ref="G29:G30"/>
  </mergeCells>
  <printOptions/>
  <pageMargins left="0.75" right="0.75" top="1" bottom="1" header="0.5" footer="0.5"/>
  <pageSetup fitToHeight="1" fitToWidth="1" horizontalDpi="600" verticalDpi="600" orientation="landscape" scale="63" r:id="rId1"/>
  <headerFooter alignWithMargins="0">
    <oddHeader>&amp;C&amp;"Arial,Bold"&amp;16Electricity Distribution Rate Impacts
General Service 50 to 4,999 kW Non-RPP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3:L60"/>
  <sheetViews>
    <sheetView showGridLines="0" zoomScalePageLayoutView="0" workbookViewId="0" topLeftCell="A19">
      <selection activeCell="H56" sqref="H56"/>
    </sheetView>
  </sheetViews>
  <sheetFormatPr defaultColWidth="9.140625" defaultRowHeight="12.75"/>
  <cols>
    <col min="1" max="1" width="3.7109375" style="7" customWidth="1"/>
    <col min="2" max="2" width="80.7109375" style="7" customWidth="1"/>
    <col min="3" max="3" width="10.140625" style="7" customWidth="1"/>
    <col min="4" max="4" width="10.421875" style="10" bestFit="1" customWidth="1"/>
    <col min="5" max="5" width="10.00390625" style="7" bestFit="1" customWidth="1"/>
    <col min="6" max="6" width="11.8515625" style="7" bestFit="1" customWidth="1"/>
    <col min="7" max="7" width="9.28125" style="7" bestFit="1" customWidth="1"/>
    <col min="8" max="8" width="10.8515625" style="7" customWidth="1"/>
    <col min="9" max="9" width="11.57421875" style="7" bestFit="1" customWidth="1"/>
    <col min="10" max="10" width="10.57421875" style="7" bestFit="1" customWidth="1"/>
    <col min="11" max="11" width="9.28125" style="7" bestFit="1" customWidth="1"/>
    <col min="12" max="12" width="11.7109375" style="7" bestFit="1" customWidth="1"/>
    <col min="13" max="16384" width="9.140625" style="7" customWidth="1"/>
  </cols>
  <sheetData>
    <row r="2" ht="12.75" thickBot="1"/>
    <row r="3" spans="2:5" ht="36">
      <c r="B3" s="67" t="str">
        <f>+Rates!A69</f>
        <v>Unmetered Scattered Load </v>
      </c>
      <c r="C3" s="68" t="str">
        <f>Rates!B4</f>
        <v>Metric</v>
      </c>
      <c r="D3" s="69" t="str">
        <f>Rates!D4</f>
        <v>Current Approved Rates</v>
      </c>
      <c r="E3" s="70" t="str">
        <f>Rates!F4</f>
        <v>Proposed Rates</v>
      </c>
    </row>
    <row r="4" spans="2:5" ht="12">
      <c r="B4" s="71" t="str">
        <f>Rates!A70</f>
        <v>Monthly Service Charge</v>
      </c>
      <c r="C4" s="64" t="str">
        <f>Rates!B70</f>
        <v>$</v>
      </c>
      <c r="D4" s="65">
        <f>Rates!D70</f>
        <v>70.07</v>
      </c>
      <c r="E4" s="72">
        <f>Rates!F70</f>
        <v>56.22</v>
      </c>
    </row>
    <row r="5" spans="2:5" ht="12">
      <c r="B5" s="71" t="str">
        <f>Rates!A71</f>
        <v>Monthly Service Charge Rate Rider</v>
      </c>
      <c r="C5" s="64" t="str">
        <f>Rates!B71</f>
        <v>$/kWh</v>
      </c>
      <c r="D5" s="65">
        <f>Rates!D71</f>
        <v>0</v>
      </c>
      <c r="E5" s="72">
        <f>Rates!F71</f>
        <v>0</v>
      </c>
    </row>
    <row r="6" spans="2:5" ht="12">
      <c r="B6" s="71" t="str">
        <f>Rates!A72</f>
        <v>Distribution Volumetric Rate</v>
      </c>
      <c r="C6" s="64" t="str">
        <f>Rates!B72</f>
        <v>$/kWh</v>
      </c>
      <c r="D6" s="66">
        <f>Rates!D72</f>
        <v>0.0413</v>
      </c>
      <c r="E6" s="73">
        <f>Rates!F72</f>
        <v>0.0354</v>
      </c>
    </row>
    <row r="7" spans="2:5" ht="12">
      <c r="B7" s="71" t="str">
        <f>Rates!A73</f>
        <v>Distribution Volumetric Rate Rider</v>
      </c>
      <c r="C7" s="64" t="str">
        <f>Rates!B73</f>
        <v>$/kWh</v>
      </c>
      <c r="D7" s="66">
        <f>Rates!D73</f>
        <v>0</v>
      </c>
      <c r="E7" s="73">
        <f>Rates!F73</f>
        <v>0</v>
      </c>
    </row>
    <row r="8" spans="2:5" ht="12">
      <c r="B8" s="71" t="str">
        <f>Rates!A74</f>
        <v>Low Voltage Service Rate</v>
      </c>
      <c r="C8" s="64" t="str">
        <f>Rates!B74</f>
        <v>$/kWh</v>
      </c>
      <c r="D8" s="66">
        <f>Rates!D74</f>
        <v>0.0013</v>
      </c>
      <c r="E8" s="73">
        <f>Rates!F74</f>
        <v>0.0014</v>
      </c>
    </row>
    <row r="9" spans="2:5" ht="12">
      <c r="B9" s="71" t="str">
        <f>Rates!A75</f>
        <v>Rate Rider for Deferral/Variance Account Disposition (2012) - effective until April 30, 2013</v>
      </c>
      <c r="C9" s="64" t="str">
        <f>Rates!B75</f>
        <v>$/kWh</v>
      </c>
      <c r="D9" s="66">
        <f>Rates!D75</f>
        <v>0</v>
      </c>
      <c r="E9" s="73">
        <f>Rates!F75</f>
        <v>0</v>
      </c>
    </row>
    <row r="10" spans="2:5" ht="12">
      <c r="B10" s="71" t="str">
        <f>Rates!A76</f>
        <v>Rate Rider for Deferral/Variance Account Disposition (2013) - effective until December 31, 2013</v>
      </c>
      <c r="C10" s="64" t="str">
        <f>Rates!B76</f>
        <v>$/kWh</v>
      </c>
      <c r="D10" s="66">
        <f>Rates!D76</f>
        <v>0</v>
      </c>
      <c r="E10" s="73">
        <f>Rates!F76</f>
        <v>-0.0018</v>
      </c>
    </row>
    <row r="11" spans="2:5" ht="24">
      <c r="B11" s="71" t="str">
        <f>Rates!A77</f>
        <v>Rate Rider for Global Adjustment Sub-Account Disposition (2012) - effective until April 30, 2013 Applicable only for Non-RPP Customers</v>
      </c>
      <c r="C11" s="64" t="str">
        <f>Rates!B77</f>
        <v>$/kWh</v>
      </c>
      <c r="D11" s="66">
        <f>Rates!D77</f>
        <v>0</v>
      </c>
      <c r="E11" s="73">
        <f>Rates!F77</f>
        <v>0</v>
      </c>
    </row>
    <row r="12" spans="2:5" ht="24">
      <c r="B12" s="71" t="str">
        <f>Rates!A78</f>
        <v>Rate Rider for Global Adjustment Sub-Account Disposition (2013) - effective until December 31, 2013 Applicable only for Non-RPP Customers</v>
      </c>
      <c r="C12" s="64" t="str">
        <f>Rates!B78</f>
        <v>$/kWh</v>
      </c>
      <c r="D12" s="66">
        <f>Rates!D78</f>
        <v>0</v>
      </c>
      <c r="E12" s="73">
        <f>Rates!F78</f>
        <v>0</v>
      </c>
    </row>
    <row r="13" spans="2:5" ht="12">
      <c r="B13" s="71" t="str">
        <f>Rates!A79</f>
        <v>Rate Rider for Tax Change - effective until April 30, 2013</v>
      </c>
      <c r="C13" s="64" t="str">
        <f>Rates!B79</f>
        <v>$/kWh</v>
      </c>
      <c r="D13" s="66">
        <f>Rates!D79</f>
        <v>-0.0011</v>
      </c>
      <c r="E13" s="73">
        <f>Rates!F79</f>
        <v>-0.0011</v>
      </c>
    </row>
    <row r="14" spans="2:5" ht="12">
      <c r="B14" s="71" t="str">
        <f>Rates!A80</f>
        <v>Rate Rider for Tax Change - effective until December 31, 2013</v>
      </c>
      <c r="C14" s="64" t="str">
        <f>Rates!B80</f>
        <v>$/kWh</v>
      </c>
      <c r="D14" s="66">
        <f>Rates!D80</f>
        <v>0</v>
      </c>
      <c r="E14" s="73">
        <f>Rates!F80</f>
        <v>0</v>
      </c>
    </row>
    <row r="15" spans="2:5" ht="12">
      <c r="B15" s="71" t="str">
        <f>Rates!A81</f>
        <v>Rate Rider for PILS - effective until December 31, 2014</v>
      </c>
      <c r="C15" s="64" t="str">
        <f>Rates!B81</f>
        <v>$/kWh</v>
      </c>
      <c r="D15" s="66">
        <f>Rates!D81</f>
        <v>0</v>
      </c>
      <c r="E15" s="73">
        <f>Rates!F81</f>
        <v>-0.00117</v>
      </c>
    </row>
    <row r="16" spans="2:5" ht="12">
      <c r="B16" s="71" t="str">
        <f>Rates!A82</f>
        <v>Retail Transmission Rate - Network Service Rate</v>
      </c>
      <c r="C16" s="64" t="str">
        <f>Rates!B82</f>
        <v>$/kWh</v>
      </c>
      <c r="D16" s="66">
        <f>Rates!D82</f>
        <v>0.004</v>
      </c>
      <c r="E16" s="73">
        <f>Rates!F82</f>
        <v>0.0043</v>
      </c>
    </row>
    <row r="17" spans="2:5" ht="12">
      <c r="B17" s="71" t="str">
        <f>Rates!A83</f>
        <v>Retail Transmission Rate - Line and Transformation Connection Service Rate</v>
      </c>
      <c r="C17" s="64" t="str">
        <f>Rates!B83</f>
        <v>$/kWh</v>
      </c>
      <c r="D17" s="66">
        <f>Rates!D83</f>
        <v>0.0033</v>
      </c>
      <c r="E17" s="73">
        <f>Rates!F83</f>
        <v>0.0034</v>
      </c>
    </row>
    <row r="18" spans="2:5" ht="12.75" thickBot="1">
      <c r="B18" s="71" t="str">
        <f>Rates!A84</f>
        <v>Wholesale Market Service Rate</v>
      </c>
      <c r="C18" s="64" t="str">
        <f>Rates!B84</f>
        <v>$/kWh</v>
      </c>
      <c r="D18" s="66">
        <f>Rates!D84</f>
        <v>0.0052</v>
      </c>
      <c r="E18" s="73">
        <f>Rates!F84</f>
        <v>0.0052</v>
      </c>
    </row>
    <row r="19" spans="2:10" ht="12">
      <c r="B19" s="71" t="str">
        <f>Rates!A85</f>
        <v>Rural Rate Protection Charge</v>
      </c>
      <c r="C19" s="64" t="str">
        <f>Rates!B85</f>
        <v>$/kWh</v>
      </c>
      <c r="D19" s="66">
        <f>Rates!D85</f>
        <v>0.0011</v>
      </c>
      <c r="E19" s="73">
        <f>Rates!F85</f>
        <v>0.0011</v>
      </c>
      <c r="H19" s="160"/>
      <c r="I19" s="152" t="s">
        <v>72</v>
      </c>
      <c r="J19" s="161" t="s">
        <v>90</v>
      </c>
    </row>
    <row r="20" spans="2:10" ht="12.75" thickBot="1">
      <c r="B20" s="74" t="str">
        <f>Rates!A86</f>
        <v>Standard Supply Service - Administrative Charge (if applicable)</v>
      </c>
      <c r="C20" s="75" t="str">
        <f>Rates!B86</f>
        <v>$</v>
      </c>
      <c r="D20" s="76">
        <f>Rates!D86</f>
        <v>0.25</v>
      </c>
      <c r="E20" s="77">
        <f>Rates!F86</f>
        <v>0.25</v>
      </c>
      <c r="H20" s="162" t="s">
        <v>13</v>
      </c>
      <c r="I20" s="135">
        <f>Rates!$D$134</f>
        <v>1.0719</v>
      </c>
      <c r="J20" s="163">
        <f>Rates!$F$134</f>
        <v>1.1113</v>
      </c>
    </row>
    <row r="21" spans="2:5" ht="12">
      <c r="B21" s="60"/>
      <c r="C21" s="61"/>
      <c r="D21" s="62"/>
      <c r="E21" s="62"/>
    </row>
    <row r="22" spans="3:4" ht="12.75" thickBot="1">
      <c r="C22" s="10"/>
      <c r="D22" s="7"/>
    </row>
    <row r="23" spans="2:11" ht="13.5" thickBot="1">
      <c r="B23" s="80" t="s">
        <v>88</v>
      </c>
      <c r="C23" s="81">
        <v>800</v>
      </c>
      <c r="D23" s="146" t="s">
        <v>15</v>
      </c>
      <c r="E23" s="147"/>
      <c r="F23" s="87" t="s">
        <v>16</v>
      </c>
      <c r="G23" s="31"/>
      <c r="H23" s="170">
        <f>C23</f>
        <v>800</v>
      </c>
      <c r="I23" s="146" t="s">
        <v>15</v>
      </c>
      <c r="J23" s="171">
        <f>E23</f>
        <v>0</v>
      </c>
      <c r="K23" s="87" t="s">
        <v>16</v>
      </c>
    </row>
    <row r="24" spans="2:11" ht="12.75">
      <c r="B24" s="82" t="s">
        <v>53</v>
      </c>
      <c r="C24" s="78">
        <f>ROUND(C23*I20-C23,0)</f>
        <v>58</v>
      </c>
      <c r="D24" s="83" t="s">
        <v>15</v>
      </c>
      <c r="E24" s="31"/>
      <c r="F24" s="32"/>
      <c r="G24" s="31"/>
      <c r="H24" s="78">
        <f>ROUND(H23*J20-H23,0)</f>
        <v>89</v>
      </c>
      <c r="I24" s="83" t="s">
        <v>15</v>
      </c>
      <c r="J24" s="31"/>
      <c r="K24" s="32"/>
    </row>
    <row r="25" spans="2:11" ht="12.75">
      <c r="B25" s="82" t="s">
        <v>54</v>
      </c>
      <c r="C25" s="78">
        <f>+C23+C24</f>
        <v>858</v>
      </c>
      <c r="D25" s="83" t="s">
        <v>15</v>
      </c>
      <c r="E25" s="33"/>
      <c r="F25" s="32"/>
      <c r="G25" s="31"/>
      <c r="H25" s="78">
        <f>+H23+H24</f>
        <v>889</v>
      </c>
      <c r="I25" s="83" t="s">
        <v>15</v>
      </c>
      <c r="J25" s="33"/>
      <c r="K25" s="32"/>
    </row>
    <row r="26" spans="2:11" ht="13.5" thickBot="1">
      <c r="B26" s="84" t="s">
        <v>17</v>
      </c>
      <c r="C26" s="85">
        <f>+Rates!$D$140</f>
        <v>750</v>
      </c>
      <c r="D26" s="86" t="s">
        <v>15</v>
      </c>
      <c r="E26" s="31"/>
      <c r="F26" s="31"/>
      <c r="G26" s="31"/>
      <c r="H26" s="85">
        <f>+Rates!$D$140</f>
        <v>750</v>
      </c>
      <c r="I26" s="86" t="s">
        <v>15</v>
      </c>
      <c r="J26" s="31"/>
      <c r="K26" s="31"/>
    </row>
    <row r="27" ht="12.75" thickBot="1"/>
    <row r="28" spans="2:12" ht="13.5" customHeight="1">
      <c r="B28" s="188" t="str">
        <f>B3</f>
        <v>Unmetered Scattered Load </v>
      </c>
      <c r="C28" s="120"/>
      <c r="D28" s="190" t="str">
        <f>+D3</f>
        <v>Current Approved Rates</v>
      </c>
      <c r="E28" s="190"/>
      <c r="F28" s="190"/>
      <c r="G28" s="190" t="str">
        <f>+E3</f>
        <v>Proposed Rates</v>
      </c>
      <c r="H28" s="190"/>
      <c r="I28" s="190"/>
      <c r="J28" s="120"/>
      <c r="K28" s="120"/>
      <c r="L28" s="121"/>
    </row>
    <row r="29" spans="2:12" ht="12.75" customHeight="1">
      <c r="B29" s="189"/>
      <c r="C29" s="186" t="str">
        <f>+C3</f>
        <v>Metric</v>
      </c>
      <c r="D29" s="186" t="s">
        <v>55</v>
      </c>
      <c r="E29" s="92" t="s">
        <v>23</v>
      </c>
      <c r="F29" s="92" t="s">
        <v>24</v>
      </c>
      <c r="G29" s="186" t="s">
        <v>55</v>
      </c>
      <c r="H29" s="92" t="s">
        <v>23</v>
      </c>
      <c r="I29" s="92" t="s">
        <v>24</v>
      </c>
      <c r="J29" s="184" t="s">
        <v>30</v>
      </c>
      <c r="K29" s="184"/>
      <c r="L29" s="185"/>
    </row>
    <row r="30" spans="2:12" ht="12" customHeight="1">
      <c r="B30" s="189"/>
      <c r="C30" s="187"/>
      <c r="D30" s="187"/>
      <c r="E30" s="92" t="s">
        <v>8</v>
      </c>
      <c r="F30" s="92" t="s">
        <v>8</v>
      </c>
      <c r="G30" s="187"/>
      <c r="H30" s="92" t="s">
        <v>8</v>
      </c>
      <c r="I30" s="92" t="s">
        <v>8</v>
      </c>
      <c r="J30" s="92" t="s">
        <v>8</v>
      </c>
      <c r="K30" s="141" t="s">
        <v>12</v>
      </c>
      <c r="L30" s="122" t="s">
        <v>20</v>
      </c>
    </row>
    <row r="31" spans="2:12" ht="12">
      <c r="B31" s="123" t="s">
        <v>21</v>
      </c>
      <c r="C31" s="28" t="str">
        <f>+Rates!B137</f>
        <v>$/kWh</v>
      </c>
      <c r="D31" s="11">
        <f>IF(C25&gt;C26,C26,C25)</f>
        <v>750</v>
      </c>
      <c r="E31" s="12">
        <f>Rates!D137</f>
        <v>0.075</v>
      </c>
      <c r="F31" s="93">
        <f>D31*E31</f>
        <v>56.25</v>
      </c>
      <c r="G31" s="11">
        <f>IF(H25&gt;H26,H26,H25)</f>
        <v>750</v>
      </c>
      <c r="H31" s="12">
        <f>+E31</f>
        <v>0.075</v>
      </c>
      <c r="I31" s="93">
        <f>G31*H31</f>
        <v>56.25</v>
      </c>
      <c r="J31" s="13">
        <f>I31-F31</f>
        <v>0</v>
      </c>
      <c r="K31" s="14">
        <f>IF(ISERROR(J31/F31),1,J31/F31)</f>
        <v>0</v>
      </c>
      <c r="L31" s="15">
        <f>IF(ISERROR(I31/I$60),0,I31/I$60)</f>
        <v>0.3280568839089095</v>
      </c>
    </row>
    <row r="32" spans="2:12" ht="12">
      <c r="B32" s="123" t="s">
        <v>22</v>
      </c>
      <c r="C32" s="28" t="str">
        <f>+Rates!B138</f>
        <v>$/kWh</v>
      </c>
      <c r="D32" s="11">
        <f>IF(C25&gt;=C26,C25-C26,0)</f>
        <v>108</v>
      </c>
      <c r="E32" s="12">
        <f>Rates!D138</f>
        <v>0.088</v>
      </c>
      <c r="F32" s="13">
        <f>D32*E32</f>
        <v>9.504</v>
      </c>
      <c r="G32" s="11">
        <f>IF(H25&gt;=H26,H25-H26,0)</f>
        <v>139</v>
      </c>
      <c r="H32" s="12">
        <f>+E32</f>
        <v>0.088</v>
      </c>
      <c r="I32" s="13">
        <f>G32*H32</f>
        <v>12.232</v>
      </c>
      <c r="J32" s="13">
        <f>I32-F32</f>
        <v>2.7279999999999998</v>
      </c>
      <c r="K32" s="14">
        <f aca="true" t="shared" si="0" ref="K32:K60">IF(ISERROR(J32/F32),0,J32/F32)</f>
        <v>0.28703703703703703</v>
      </c>
      <c r="L32" s="15">
        <f>IF(ISERROR(I32/I$60),0,I32/I$60)</f>
        <v>0.07133852095953389</v>
      </c>
    </row>
    <row r="33" spans="2:12" ht="12">
      <c r="B33" s="124" t="s">
        <v>25</v>
      </c>
      <c r="C33" s="94"/>
      <c r="D33" s="95"/>
      <c r="E33" s="96"/>
      <c r="F33" s="97">
        <f>SUM(F31:F32)</f>
        <v>65.754</v>
      </c>
      <c r="G33" s="96"/>
      <c r="H33" s="96"/>
      <c r="I33" s="97">
        <f>SUM(I31:I32)</f>
        <v>68.482</v>
      </c>
      <c r="J33" s="97">
        <f aca="true" t="shared" si="1" ref="J33:J60">I33-F33</f>
        <v>2.7279999999999944</v>
      </c>
      <c r="K33" s="98">
        <f t="shared" si="0"/>
        <v>0.041487970313593005</v>
      </c>
      <c r="L33" s="125">
        <f>IF(ISERROR(I33/I$60),0,I33/I$60)</f>
        <v>0.3993954048684434</v>
      </c>
    </row>
    <row r="34" spans="2:12" ht="12">
      <c r="B34" s="24" t="str">
        <f>B4</f>
        <v>Monthly Service Charge</v>
      </c>
      <c r="C34" s="27" t="str">
        <f>+C4</f>
        <v>$</v>
      </c>
      <c r="D34" s="144">
        <v>1</v>
      </c>
      <c r="E34" s="93">
        <f>D4</f>
        <v>70.07</v>
      </c>
      <c r="F34" s="13">
        <f>D34*E34</f>
        <v>70.07</v>
      </c>
      <c r="G34" s="64">
        <f aca="true" t="shared" si="2" ref="G34:G45">+D34</f>
        <v>1</v>
      </c>
      <c r="H34" s="13">
        <f>E4</f>
        <v>56.22</v>
      </c>
      <c r="I34" s="13">
        <f>G34*H34</f>
        <v>56.22</v>
      </c>
      <c r="J34" s="13">
        <f t="shared" si="1"/>
        <v>-13.849999999999994</v>
      </c>
      <c r="K34" s="14">
        <f t="shared" si="0"/>
        <v>-0.197659483373769</v>
      </c>
      <c r="L34" s="15">
        <f>IF(ISERROR(I34/I$60),0,I34/I$60)</f>
        <v>0.3278819202374914</v>
      </c>
    </row>
    <row r="35" spans="2:12" ht="12">
      <c r="B35" s="24" t="str">
        <f>B5</f>
        <v>Monthly Service Charge Rate Rider</v>
      </c>
      <c r="C35" s="27" t="str">
        <f>+C5</f>
        <v>$/kWh</v>
      </c>
      <c r="D35" s="11">
        <f>D34</f>
        <v>1</v>
      </c>
      <c r="E35" s="93">
        <f>D5</f>
        <v>0</v>
      </c>
      <c r="F35" s="13">
        <f aca="true" t="shared" si="3" ref="F35:F45">D35*E35</f>
        <v>0</v>
      </c>
      <c r="G35" s="64">
        <f t="shared" si="2"/>
        <v>1</v>
      </c>
      <c r="H35" s="13">
        <f>E5</f>
        <v>0</v>
      </c>
      <c r="I35" s="13">
        <f aca="true" t="shared" si="4" ref="I35:I41">G35*H35</f>
        <v>0</v>
      </c>
      <c r="J35" s="13">
        <f t="shared" si="1"/>
        <v>0</v>
      </c>
      <c r="K35" s="14">
        <f>IF(ISERROR(J35/F35),1,J35/F35)</f>
        <v>1</v>
      </c>
      <c r="L35" s="15">
        <f>IF(ISERROR(I35/I$60),0,I35/I$60)</f>
        <v>0</v>
      </c>
    </row>
    <row r="36" spans="2:12" ht="12">
      <c r="B36" s="24" t="str">
        <f>B6</f>
        <v>Distribution Volumetric Rate</v>
      </c>
      <c r="C36" s="27" t="str">
        <f>+C6</f>
        <v>$/kWh</v>
      </c>
      <c r="D36" s="11">
        <f>+$C$23</f>
        <v>800</v>
      </c>
      <c r="E36" s="93">
        <f>D6</f>
        <v>0.0413</v>
      </c>
      <c r="F36" s="13">
        <f t="shared" si="3"/>
        <v>33.040000000000006</v>
      </c>
      <c r="G36" s="64">
        <f t="shared" si="2"/>
        <v>800</v>
      </c>
      <c r="H36" s="12">
        <f>E6</f>
        <v>0.0354</v>
      </c>
      <c r="I36" s="13">
        <f>G36*H36</f>
        <v>28.32</v>
      </c>
      <c r="J36" s="13">
        <f>I36-F36</f>
        <v>-4.720000000000006</v>
      </c>
      <c r="K36" s="14">
        <f>IF(ISERROR(J36/F36),1,J36/F36)</f>
        <v>-0.14285714285714302</v>
      </c>
      <c r="L36" s="15">
        <f>IF(ISERROR(I36/I$60),0,I36/I$60)</f>
        <v>0.16516570581867232</v>
      </c>
    </row>
    <row r="37" spans="2:12" ht="12">
      <c r="B37" s="24" t="str">
        <f>B7</f>
        <v>Distribution Volumetric Rate Rider</v>
      </c>
      <c r="C37" s="27" t="str">
        <f>+C7</f>
        <v>$/kWh</v>
      </c>
      <c r="D37" s="11">
        <f>+$C$23</f>
        <v>800</v>
      </c>
      <c r="E37" s="93">
        <f>D7</f>
        <v>0</v>
      </c>
      <c r="F37" s="13">
        <f t="shared" si="3"/>
        <v>0</v>
      </c>
      <c r="G37" s="64">
        <f t="shared" si="2"/>
        <v>800</v>
      </c>
      <c r="H37" s="93">
        <f>E7</f>
        <v>0</v>
      </c>
      <c r="I37" s="13">
        <f>G37*H37</f>
        <v>0</v>
      </c>
      <c r="J37" s="13">
        <f>I37-F37</f>
        <v>0</v>
      </c>
      <c r="K37" s="14">
        <f>IF(ISERROR(J37/F37),1,J37/F37)</f>
        <v>1</v>
      </c>
      <c r="L37" s="15">
        <f>IF(ISERROR(I37/I$60),0,I37/I$60)</f>
        <v>0</v>
      </c>
    </row>
    <row r="38" spans="2:12" ht="12">
      <c r="B38" s="24" t="str">
        <f>B8</f>
        <v>Low Voltage Service Rate</v>
      </c>
      <c r="C38" s="27" t="str">
        <f>+C8</f>
        <v>$/kWh</v>
      </c>
      <c r="D38" s="11">
        <f>+$C$23</f>
        <v>800</v>
      </c>
      <c r="E38" s="93">
        <f>D8</f>
        <v>0.0013</v>
      </c>
      <c r="F38" s="13">
        <f>D38*E38</f>
        <v>1.04</v>
      </c>
      <c r="G38" s="64">
        <f>+D38</f>
        <v>800</v>
      </c>
      <c r="H38" s="93">
        <f>E8</f>
        <v>0.0014</v>
      </c>
      <c r="I38" s="13">
        <f>G38*H38</f>
        <v>1.1199999999999999</v>
      </c>
      <c r="J38" s="13">
        <f>I38-F38</f>
        <v>0.07999999999999985</v>
      </c>
      <c r="K38" s="14">
        <f>IF(ISERROR(J38/F38),1,J38/F38)</f>
        <v>0.07692307692307677</v>
      </c>
      <c r="L38" s="15">
        <f>IF(ISERROR(I38/I$60),0,I38/I$60)</f>
        <v>0.006531977066275175</v>
      </c>
    </row>
    <row r="39" spans="2:12" ht="12">
      <c r="B39" s="24" t="str">
        <f aca="true" t="shared" si="5" ref="B39:B45">B9</f>
        <v>Rate Rider for Deferral/Variance Account Disposition (2012) - effective until April 30, 2013</v>
      </c>
      <c r="C39" s="27" t="str">
        <f aca="true" t="shared" si="6" ref="C39:C45">+C9</f>
        <v>$/kWh</v>
      </c>
      <c r="D39" s="11">
        <f>+$C$23</f>
        <v>800</v>
      </c>
      <c r="E39" s="93">
        <f aca="true" t="shared" si="7" ref="E39:E45">D9</f>
        <v>0</v>
      </c>
      <c r="F39" s="13">
        <f t="shared" si="3"/>
        <v>0</v>
      </c>
      <c r="G39" s="64">
        <f t="shared" si="2"/>
        <v>800</v>
      </c>
      <c r="H39" s="93">
        <f aca="true" t="shared" si="8" ref="H39:H45">E9</f>
        <v>0</v>
      </c>
      <c r="I39" s="13">
        <f>G39*H39</f>
        <v>0</v>
      </c>
      <c r="J39" s="13">
        <f>I39-F39</f>
        <v>0</v>
      </c>
      <c r="K39" s="14">
        <f>IF(ISERROR(J39/F39),1,J39/F39)</f>
        <v>1</v>
      </c>
      <c r="L39" s="15">
        <f>IF(ISERROR(I39/I$60),0,I39/I$60)</f>
        <v>0</v>
      </c>
    </row>
    <row r="40" spans="2:12" ht="12">
      <c r="B40" s="24" t="str">
        <f t="shared" si="5"/>
        <v>Rate Rider for Deferral/Variance Account Disposition (2013) - effective until December 31, 2013</v>
      </c>
      <c r="C40" s="27" t="str">
        <f t="shared" si="6"/>
        <v>$/kWh</v>
      </c>
      <c r="D40" s="11">
        <f>+$C$23</f>
        <v>800</v>
      </c>
      <c r="E40" s="93">
        <f t="shared" si="7"/>
        <v>0</v>
      </c>
      <c r="F40" s="13">
        <f t="shared" si="3"/>
        <v>0</v>
      </c>
      <c r="G40" s="64">
        <f t="shared" si="2"/>
        <v>800</v>
      </c>
      <c r="H40" s="93">
        <f t="shared" si="8"/>
        <v>-0.0018</v>
      </c>
      <c r="I40" s="13">
        <f t="shared" si="4"/>
        <v>-1.44</v>
      </c>
      <c r="J40" s="13">
        <f t="shared" si="1"/>
        <v>-1.44</v>
      </c>
      <c r="K40" s="14">
        <f t="shared" si="0"/>
        <v>0</v>
      </c>
      <c r="L40" s="15">
        <f>IF(ISERROR(I40/I$60),0,I40/I$60)</f>
        <v>-0.008398256228068083</v>
      </c>
    </row>
    <row r="41" spans="2:12" ht="24">
      <c r="B41" s="24" t="str">
        <f t="shared" si="5"/>
        <v>Rate Rider for Global Adjustment Sub-Account Disposition (2012) - effective until April 30, 2013 Applicable only for Non-RPP Customers</v>
      </c>
      <c r="C41" s="27" t="str">
        <f t="shared" si="6"/>
        <v>$/kWh</v>
      </c>
      <c r="D41" s="11">
        <f>+$C$23</f>
        <v>800</v>
      </c>
      <c r="E41" s="93">
        <f t="shared" si="7"/>
        <v>0</v>
      </c>
      <c r="F41" s="13">
        <f t="shared" si="3"/>
        <v>0</v>
      </c>
      <c r="G41" s="64">
        <f t="shared" si="2"/>
        <v>800</v>
      </c>
      <c r="H41" s="93">
        <f t="shared" si="8"/>
        <v>0</v>
      </c>
      <c r="I41" s="13">
        <f t="shared" si="4"/>
        <v>0</v>
      </c>
      <c r="J41" s="13">
        <f t="shared" si="1"/>
        <v>0</v>
      </c>
      <c r="K41" s="14">
        <f t="shared" si="0"/>
        <v>0</v>
      </c>
      <c r="L41" s="15">
        <f>IF(ISERROR(I41/I$60),0,I41/I$60)</f>
        <v>0</v>
      </c>
    </row>
    <row r="42" spans="2:12" ht="24">
      <c r="B42" s="24" t="str">
        <f t="shared" si="5"/>
        <v>Rate Rider for Global Adjustment Sub-Account Disposition (2013) - effective until December 31, 2013 Applicable only for Non-RPP Customers</v>
      </c>
      <c r="C42" s="27" t="str">
        <f t="shared" si="6"/>
        <v>$/kWh</v>
      </c>
      <c r="D42" s="11">
        <f>+$C$23</f>
        <v>800</v>
      </c>
      <c r="E42" s="93">
        <f t="shared" si="7"/>
        <v>0</v>
      </c>
      <c r="F42" s="13">
        <f t="shared" si="3"/>
        <v>0</v>
      </c>
      <c r="G42" s="64">
        <f t="shared" si="2"/>
        <v>800</v>
      </c>
      <c r="H42" s="93">
        <f t="shared" si="8"/>
        <v>0</v>
      </c>
      <c r="I42" s="13">
        <f>G42*H42</f>
        <v>0</v>
      </c>
      <c r="J42" s="13">
        <f>I42-F42</f>
        <v>0</v>
      </c>
      <c r="K42" s="14">
        <f>IF(ISERROR(J42/F42),0,J42/F42)</f>
        <v>0</v>
      </c>
      <c r="L42" s="15">
        <f>IF(ISERROR(I42/I$60),0,I42/I$60)</f>
        <v>0</v>
      </c>
    </row>
    <row r="43" spans="2:12" ht="12">
      <c r="B43" s="24" t="str">
        <f t="shared" si="5"/>
        <v>Rate Rider for Tax Change - effective until April 30, 2013</v>
      </c>
      <c r="C43" s="27" t="str">
        <f t="shared" si="6"/>
        <v>$/kWh</v>
      </c>
      <c r="D43" s="11">
        <f>+$C$23</f>
        <v>800</v>
      </c>
      <c r="E43" s="93">
        <f t="shared" si="7"/>
        <v>-0.0011</v>
      </c>
      <c r="F43" s="13">
        <f t="shared" si="3"/>
        <v>-0.88</v>
      </c>
      <c r="G43" s="64">
        <f t="shared" si="2"/>
        <v>800</v>
      </c>
      <c r="H43" s="93">
        <f t="shared" si="8"/>
        <v>-0.0011</v>
      </c>
      <c r="I43" s="13">
        <f>G43*H43</f>
        <v>-0.88</v>
      </c>
      <c r="J43" s="13">
        <f>I43-F43</f>
        <v>0</v>
      </c>
      <c r="K43" s="14">
        <f>IF(ISERROR(J43/F43),0,J43/F43)</f>
        <v>0</v>
      </c>
      <c r="L43" s="15">
        <f>IF(ISERROR(I43/I$60),0,I43/I$60)</f>
        <v>-0.005132267694930495</v>
      </c>
    </row>
    <row r="44" spans="2:12" ht="12">
      <c r="B44" s="24" t="str">
        <f t="shared" si="5"/>
        <v>Rate Rider for Tax Change - effective until December 31, 2013</v>
      </c>
      <c r="C44" s="27" t="str">
        <f t="shared" si="6"/>
        <v>$/kWh</v>
      </c>
      <c r="D44" s="11">
        <f>+$C$23</f>
        <v>800</v>
      </c>
      <c r="E44" s="93">
        <f t="shared" si="7"/>
        <v>0</v>
      </c>
      <c r="F44" s="13">
        <f t="shared" si="3"/>
        <v>0</v>
      </c>
      <c r="G44" s="64">
        <f t="shared" si="2"/>
        <v>800</v>
      </c>
      <c r="H44" s="93">
        <f t="shared" si="8"/>
        <v>0</v>
      </c>
      <c r="I44" s="13">
        <f>G44*H44</f>
        <v>0</v>
      </c>
      <c r="J44" s="13">
        <f>I44-F44</f>
        <v>0</v>
      </c>
      <c r="K44" s="14">
        <f>IF(ISERROR(J44/F44),0,J44/F44)</f>
        <v>0</v>
      </c>
      <c r="L44" s="15">
        <f>IF(ISERROR(I44/I$60),0,I44/I$60)</f>
        <v>0</v>
      </c>
    </row>
    <row r="45" spans="2:12" ht="12">
      <c r="B45" s="24" t="str">
        <f t="shared" si="5"/>
        <v>Rate Rider for PILS - effective until December 31, 2014</v>
      </c>
      <c r="C45" s="27" t="str">
        <f t="shared" si="6"/>
        <v>$/kWh</v>
      </c>
      <c r="D45" s="11">
        <f>+$C$23</f>
        <v>800</v>
      </c>
      <c r="E45" s="93">
        <f t="shared" si="7"/>
        <v>0</v>
      </c>
      <c r="F45" s="13">
        <f t="shared" si="3"/>
        <v>0</v>
      </c>
      <c r="G45" s="64">
        <f t="shared" si="2"/>
        <v>800</v>
      </c>
      <c r="H45" s="93">
        <f t="shared" si="8"/>
        <v>-0.00117</v>
      </c>
      <c r="I45" s="13"/>
      <c r="J45" s="13"/>
      <c r="K45" s="14"/>
      <c r="L45" s="15"/>
    </row>
    <row r="46" spans="2:12" ht="12">
      <c r="B46" s="126" t="s">
        <v>26</v>
      </c>
      <c r="C46" s="100"/>
      <c r="D46" s="101"/>
      <c r="E46" s="102"/>
      <c r="F46" s="103">
        <f>SUM(F34:F45)</f>
        <v>103.27000000000001</v>
      </c>
      <c r="G46" s="102"/>
      <c r="H46" s="102"/>
      <c r="I46" s="103">
        <f>SUM(I34:I45)</f>
        <v>83.34</v>
      </c>
      <c r="J46" s="104">
        <f>I46-F46</f>
        <v>-19.930000000000007</v>
      </c>
      <c r="K46" s="105">
        <f>IF(ISERROR(J46/F46),0,J46/F46)</f>
        <v>-0.1929892514767116</v>
      </c>
      <c r="L46" s="127">
        <f aca="true" t="shared" si="9" ref="L46:L60">IF(ISERROR(I46/I$60),0,I46/I$60)</f>
        <v>0.48604907919944035</v>
      </c>
    </row>
    <row r="47" spans="2:12" ht="12">
      <c r="B47" s="24" t="str">
        <f>B16</f>
        <v>Retail Transmission Rate - Network Service Rate</v>
      </c>
      <c r="C47" s="27" t="str">
        <f>+C17</f>
        <v>$/kWh</v>
      </c>
      <c r="D47" s="11">
        <f>+$C$25</f>
        <v>858</v>
      </c>
      <c r="E47" s="12">
        <f>D16</f>
        <v>0.004</v>
      </c>
      <c r="F47" s="13">
        <f>D47*E47</f>
        <v>3.432</v>
      </c>
      <c r="G47" s="11">
        <f>+$H$25</f>
        <v>889</v>
      </c>
      <c r="H47" s="12">
        <f>E16</f>
        <v>0.0043</v>
      </c>
      <c r="I47" s="13">
        <f>G47*H47</f>
        <v>3.8227</v>
      </c>
      <c r="J47" s="13">
        <f t="shared" si="1"/>
        <v>0.39070000000000027</v>
      </c>
      <c r="K47" s="14">
        <f t="shared" si="0"/>
        <v>0.11384032634032643</v>
      </c>
      <c r="L47" s="15">
        <f t="shared" si="9"/>
        <v>0.022294454224330462</v>
      </c>
    </row>
    <row r="48" spans="2:12" ht="12">
      <c r="B48" s="24" t="str">
        <f>B17</f>
        <v>Retail Transmission Rate - Line and Transformation Connection Service Rate</v>
      </c>
      <c r="C48" s="27" t="str">
        <f>+C18</f>
        <v>$/kWh</v>
      </c>
      <c r="D48" s="11">
        <f>+$C$25</f>
        <v>858</v>
      </c>
      <c r="E48" s="12">
        <f>D17</f>
        <v>0.0033</v>
      </c>
      <c r="F48" s="13">
        <f>D48*E48</f>
        <v>2.8314</v>
      </c>
      <c r="G48" s="11">
        <f>+$H$25</f>
        <v>889</v>
      </c>
      <c r="H48" s="12">
        <f>E17</f>
        <v>0.0034</v>
      </c>
      <c r="I48" s="13">
        <f>G48*H48</f>
        <v>3.0225999999999997</v>
      </c>
      <c r="J48" s="13">
        <f>I48-F48</f>
        <v>0.19119999999999981</v>
      </c>
      <c r="K48" s="14">
        <f>IF(ISERROR(J48/F48),0,J48/F48)</f>
        <v>0.06752843116479473</v>
      </c>
      <c r="L48" s="15">
        <f t="shared" si="9"/>
        <v>0.01762817310761013</v>
      </c>
    </row>
    <row r="49" spans="2:12" ht="12">
      <c r="B49" s="126" t="s">
        <v>18</v>
      </c>
      <c r="C49" s="100"/>
      <c r="D49" s="101"/>
      <c r="E49" s="102"/>
      <c r="F49" s="104">
        <f>+SUM(F47:F48)</f>
        <v>6.2634</v>
      </c>
      <c r="G49" s="102"/>
      <c r="H49" s="102"/>
      <c r="I49" s="104">
        <f>+SUM(I47:I48)</f>
        <v>6.8453</v>
      </c>
      <c r="J49" s="104">
        <f>I49-F49</f>
        <v>0.5819000000000001</v>
      </c>
      <c r="K49" s="105">
        <f>IF(ISERROR(J49/F49),0,J49/F49)</f>
        <v>0.09290481208289429</v>
      </c>
      <c r="L49" s="127">
        <f t="shared" si="9"/>
        <v>0.03992262733194059</v>
      </c>
    </row>
    <row r="50" spans="2:12" ht="12">
      <c r="B50" s="128" t="s">
        <v>27</v>
      </c>
      <c r="C50" s="107"/>
      <c r="D50" s="108"/>
      <c r="E50" s="109"/>
      <c r="F50" s="110">
        <f>F46+F49</f>
        <v>109.53340000000001</v>
      </c>
      <c r="G50" s="109"/>
      <c r="H50" s="109"/>
      <c r="I50" s="110">
        <f>I46+I49</f>
        <v>90.1853</v>
      </c>
      <c r="J50" s="110">
        <f t="shared" si="1"/>
        <v>-19.348100000000017</v>
      </c>
      <c r="K50" s="111">
        <f t="shared" si="0"/>
        <v>-0.17664109760127975</v>
      </c>
      <c r="L50" s="129">
        <f t="shared" si="9"/>
        <v>0.5259717065313809</v>
      </c>
    </row>
    <row r="51" spans="2:12" ht="12">
      <c r="B51" s="24" t="str">
        <f>B18</f>
        <v>Wholesale Market Service Rate</v>
      </c>
      <c r="C51" s="27" t="str">
        <f>+C19</f>
        <v>$/kWh</v>
      </c>
      <c r="D51" s="11">
        <f>+$C$25</f>
        <v>858</v>
      </c>
      <c r="E51" s="12">
        <f>D18</f>
        <v>0.0052</v>
      </c>
      <c r="F51" s="13">
        <f>D51*E51</f>
        <v>4.4616</v>
      </c>
      <c r="G51" s="11">
        <f>+$H$25</f>
        <v>889</v>
      </c>
      <c r="H51" s="12">
        <f>E18</f>
        <v>0.0052</v>
      </c>
      <c r="I51" s="13">
        <f>G51*H51</f>
        <v>4.6228</v>
      </c>
      <c r="J51" s="13">
        <f t="shared" si="1"/>
        <v>0.1612</v>
      </c>
      <c r="K51" s="14">
        <f t="shared" si="0"/>
        <v>0.036130536130536135</v>
      </c>
      <c r="L51" s="15">
        <f t="shared" si="9"/>
        <v>0.026960735341050788</v>
      </c>
    </row>
    <row r="52" spans="2:12" ht="12">
      <c r="B52" s="24" t="str">
        <f>B19</f>
        <v>Rural Rate Protection Charge</v>
      </c>
      <c r="C52" s="27" t="str">
        <f>+C20</f>
        <v>$</v>
      </c>
      <c r="D52" s="11">
        <f>+$C$25</f>
        <v>858</v>
      </c>
      <c r="E52" s="12">
        <f>D19</f>
        <v>0.0011</v>
      </c>
      <c r="F52" s="13">
        <f>D52*E52</f>
        <v>0.9438000000000001</v>
      </c>
      <c r="G52" s="11">
        <f>+$H$25</f>
        <v>889</v>
      </c>
      <c r="H52" s="12">
        <f>E19</f>
        <v>0.0011</v>
      </c>
      <c r="I52" s="13">
        <f>G52*H52</f>
        <v>0.9779000000000001</v>
      </c>
      <c r="J52" s="13">
        <f t="shared" si="1"/>
        <v>0.03410000000000002</v>
      </c>
      <c r="K52" s="14">
        <f t="shared" si="0"/>
        <v>0.03613053613053615</v>
      </c>
      <c r="L52" s="15">
        <f t="shared" si="9"/>
        <v>0.0057032324759915135</v>
      </c>
    </row>
    <row r="53" spans="2:12" ht="12">
      <c r="B53" s="24" t="str">
        <f>B20</f>
        <v>Standard Supply Service - Administrative Charge (if applicable)</v>
      </c>
      <c r="C53" s="27">
        <f>+C21</f>
        <v>0</v>
      </c>
      <c r="D53" s="11">
        <f>+$D$34</f>
        <v>1</v>
      </c>
      <c r="E53" s="13">
        <f>D20</f>
        <v>0.25</v>
      </c>
      <c r="F53" s="13">
        <f>D53*E53</f>
        <v>0.25</v>
      </c>
      <c r="G53" s="11">
        <f>+D53</f>
        <v>1</v>
      </c>
      <c r="H53" s="13">
        <f>E20</f>
        <v>0.25</v>
      </c>
      <c r="I53" s="13">
        <f>G53*H53</f>
        <v>0.25</v>
      </c>
      <c r="J53" s="13">
        <f t="shared" si="1"/>
        <v>0</v>
      </c>
      <c r="K53" s="14">
        <f t="shared" si="0"/>
        <v>0</v>
      </c>
      <c r="L53" s="15">
        <f t="shared" si="9"/>
        <v>0.001458030595150709</v>
      </c>
    </row>
    <row r="54" spans="2:12" ht="12">
      <c r="B54" s="128" t="s">
        <v>28</v>
      </c>
      <c r="C54" s="106"/>
      <c r="D54" s="95"/>
      <c r="E54" s="96"/>
      <c r="F54" s="97">
        <f>SUM(F51:F53)</f>
        <v>5.6554</v>
      </c>
      <c r="G54" s="96"/>
      <c r="H54" s="96"/>
      <c r="I54" s="97">
        <f>SUM(I51:I53)</f>
        <v>5.8507</v>
      </c>
      <c r="J54" s="97">
        <f t="shared" si="1"/>
        <v>0.19529999999999959</v>
      </c>
      <c r="K54" s="98">
        <f t="shared" si="0"/>
        <v>0.03453336634013502</v>
      </c>
      <c r="L54" s="125">
        <f t="shared" si="9"/>
        <v>0.03412199841219301</v>
      </c>
    </row>
    <row r="55" spans="2:12" ht="12">
      <c r="B55" s="130" t="s">
        <v>11</v>
      </c>
      <c r="C55" s="180" t="s">
        <v>9</v>
      </c>
      <c r="D55" s="112">
        <f>C23</f>
        <v>800</v>
      </c>
      <c r="E55" s="113">
        <v>0.0051</v>
      </c>
      <c r="F55" s="97">
        <f>D55*E55</f>
        <v>4.08</v>
      </c>
      <c r="G55" s="112">
        <f>D55</f>
        <v>800</v>
      </c>
      <c r="H55" s="113">
        <f>E55</f>
        <v>0.0051</v>
      </c>
      <c r="I55" s="97">
        <f>G55*H55</f>
        <v>4.08</v>
      </c>
      <c r="J55" s="97">
        <f t="shared" si="1"/>
        <v>0</v>
      </c>
      <c r="K55" s="98">
        <f t="shared" si="0"/>
        <v>0</v>
      </c>
      <c r="L55" s="125">
        <f t="shared" si="9"/>
        <v>0.02379505931285957</v>
      </c>
    </row>
    <row r="56" spans="2:12" ht="12">
      <c r="B56" s="131" t="s">
        <v>58</v>
      </c>
      <c r="C56" s="114"/>
      <c r="D56" s="79"/>
      <c r="E56" s="115"/>
      <c r="F56" s="116">
        <f>F33+F50+F54+F55</f>
        <v>185.02280000000005</v>
      </c>
      <c r="G56" s="115"/>
      <c r="H56" s="115"/>
      <c r="I56" s="116">
        <f>I33+I50+I54+I55</f>
        <v>168.598</v>
      </c>
      <c r="J56" s="116">
        <f t="shared" si="1"/>
        <v>-16.424800000000033</v>
      </c>
      <c r="K56" s="117">
        <f t="shared" si="0"/>
        <v>-0.08877176218282302</v>
      </c>
      <c r="L56" s="132">
        <f t="shared" si="9"/>
        <v>0.9832841691248769</v>
      </c>
    </row>
    <row r="57" spans="2:12" ht="12">
      <c r="B57" s="130" t="s">
        <v>57</v>
      </c>
      <c r="C57" s="118"/>
      <c r="D57" s="95"/>
      <c r="E57" s="119">
        <f>+Rates!$D$145</f>
        <v>0.13</v>
      </c>
      <c r="F57" s="97">
        <f>E57*F56</f>
        <v>24.052964000000006</v>
      </c>
      <c r="G57" s="96"/>
      <c r="H57" s="119">
        <f>+E57</f>
        <v>0.13</v>
      </c>
      <c r="I57" s="97">
        <f>H57*I56</f>
        <v>21.917740000000002</v>
      </c>
      <c r="J57" s="97">
        <f t="shared" si="1"/>
        <v>-2.1352240000000045</v>
      </c>
      <c r="K57" s="98">
        <f t="shared" si="0"/>
        <v>-0.08877176218282304</v>
      </c>
      <c r="L57" s="125">
        <f t="shared" si="9"/>
        <v>0.127826941986234</v>
      </c>
    </row>
    <row r="58" spans="2:12" ht="12">
      <c r="B58" s="131" t="s">
        <v>59</v>
      </c>
      <c r="C58" s="114"/>
      <c r="D58" s="79"/>
      <c r="E58" s="115"/>
      <c r="F58" s="116">
        <f>+F56+F57</f>
        <v>209.07576400000005</v>
      </c>
      <c r="G58" s="115"/>
      <c r="H58" s="115"/>
      <c r="I58" s="116">
        <f>+I56+I57</f>
        <v>190.51574000000002</v>
      </c>
      <c r="J58" s="116">
        <f t="shared" si="1"/>
        <v>-18.560024000000027</v>
      </c>
      <c r="K58" s="117">
        <f t="shared" si="0"/>
        <v>-0.08877176218282298</v>
      </c>
      <c r="L58" s="132">
        <f t="shared" si="9"/>
        <v>1.111111111111111</v>
      </c>
    </row>
    <row r="59" spans="2:12" ht="12">
      <c r="B59" s="130" t="s">
        <v>61</v>
      </c>
      <c r="C59" s="118"/>
      <c r="D59" s="95"/>
      <c r="E59" s="119">
        <f>+Rates!$D$147</f>
        <v>-0.1</v>
      </c>
      <c r="F59" s="97">
        <f>E59*F58</f>
        <v>-20.907576400000007</v>
      </c>
      <c r="G59" s="96"/>
      <c r="H59" s="119">
        <f>+E59</f>
        <v>-0.1</v>
      </c>
      <c r="I59" s="97">
        <f>H59*I58</f>
        <v>-19.051574000000002</v>
      </c>
      <c r="J59" s="97">
        <f t="shared" si="1"/>
        <v>1.8560024000000048</v>
      </c>
      <c r="K59" s="98">
        <f t="shared" si="0"/>
        <v>-0.08877176218282308</v>
      </c>
      <c r="L59" s="125">
        <f t="shared" si="9"/>
        <v>-0.1111111111111111</v>
      </c>
    </row>
    <row r="60" spans="2:12" ht="12.75" thickBot="1">
      <c r="B60" s="133" t="s">
        <v>19</v>
      </c>
      <c r="C60" s="134"/>
      <c r="D60" s="135"/>
      <c r="E60" s="136"/>
      <c r="F60" s="137">
        <f>+F58+F59</f>
        <v>188.16818760000004</v>
      </c>
      <c r="G60" s="136"/>
      <c r="H60" s="136"/>
      <c r="I60" s="137">
        <f>+I58+I59</f>
        <v>171.46416600000003</v>
      </c>
      <c r="J60" s="137">
        <f t="shared" si="1"/>
        <v>-16.704021600000004</v>
      </c>
      <c r="K60" s="138">
        <f t="shared" si="0"/>
        <v>-0.08877176218282287</v>
      </c>
      <c r="L60" s="139">
        <f t="shared" si="9"/>
        <v>1</v>
      </c>
    </row>
  </sheetData>
  <sheetProtection/>
  <mergeCells count="7">
    <mergeCell ref="J29:L29"/>
    <mergeCell ref="B28:B30"/>
    <mergeCell ref="D28:F28"/>
    <mergeCell ref="G28:I28"/>
    <mergeCell ref="C29:C30"/>
    <mergeCell ref="D29:D30"/>
    <mergeCell ref="G29:G30"/>
  </mergeCells>
  <printOptions/>
  <pageMargins left="0.75" right="0.75" top="1" bottom="1" header="0.5" footer="0.5"/>
  <pageSetup fitToHeight="1" fitToWidth="1" horizontalDpi="600" verticalDpi="600" orientation="landscape" scale="61" r:id="rId1"/>
  <headerFooter alignWithMargins="0">
    <oddHeader>&amp;C&amp;"Arial,Bold"&amp;16Electricity Distribution Rate Impacts
Unmetered Scattered Load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FortisOntario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bradburyd</dc:creator>
  <cp:keywords/>
  <dc:description/>
  <cp:lastModifiedBy>bradburyd</cp:lastModifiedBy>
  <cp:lastPrinted>2012-05-07T15:50:53Z</cp:lastPrinted>
  <dcterms:created xsi:type="dcterms:W3CDTF">2010-01-19T01:47:37Z</dcterms:created>
  <dcterms:modified xsi:type="dcterms:W3CDTF">2012-05-10T22:00:50Z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4105</vt:i4>
  </property>
</Properties>
</file>