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27585" windowHeight="12720" activeTab="0"/>
  </bookViews>
  <sheets>
    <sheet name="Rates &amp; Forecast" sheetId="1" r:id="rId1"/>
    <sheet name="Class Revenue" sheetId="2" r:id="rId2"/>
    <sheet name="Test Year RC Ratio" sheetId="3" r:id="rId3"/>
    <sheet name="RC Ratio Adjustment" sheetId="4" r:id="rId4"/>
    <sheet name="2013 Rate Design" sheetId="5" r:id="rId5"/>
    <sheet name="Floor_Ceiling Review" sheetId="6" r:id="rId6"/>
    <sheet name="Ajustment to F_V Split" sheetId="7" r:id="rId7"/>
    <sheet name="Rate Comparison" sheetId="8" r:id="rId8"/>
    <sheet name="Reconcillation" sheetId="9" r:id="rId9"/>
  </sheets>
  <definedNames/>
  <calcPr fullCalcOnLoad="1"/>
</workbook>
</file>

<file path=xl/sharedStrings.xml><?xml version="1.0" encoding="utf-8"?>
<sst xmlns="http://schemas.openxmlformats.org/spreadsheetml/2006/main" count="211" uniqueCount="94">
  <si>
    <t>Residential</t>
  </si>
  <si>
    <t>Street Lighting</t>
  </si>
  <si>
    <t>Sentinel Lighting</t>
  </si>
  <si>
    <t>Fixed Charge</t>
  </si>
  <si>
    <t>Volumetric Charge</t>
  </si>
  <si>
    <t>UOM</t>
  </si>
  <si>
    <t xml:space="preserve">Fixed Component </t>
  </si>
  <si>
    <t>Variable Component</t>
  </si>
  <si>
    <t>Forecast kWh</t>
  </si>
  <si>
    <t>Forecast kW</t>
  </si>
  <si>
    <t>Average Customer (Connection)Count</t>
  </si>
  <si>
    <t>GS Less Than 50 kW</t>
  </si>
  <si>
    <t>GS 50 to 4,999 kW</t>
  </si>
  <si>
    <t>USL</t>
  </si>
  <si>
    <t>Transformer Allowance</t>
  </si>
  <si>
    <t>Existing Distribution Rates and Forecasted Loads &amp; Volumes</t>
  </si>
  <si>
    <t>Distribution Revenue from Rates</t>
  </si>
  <si>
    <t>Net Class Revenue</t>
  </si>
  <si>
    <t>Customer Class</t>
  </si>
  <si>
    <r>
      <t>Variable Component</t>
    </r>
    <r>
      <rPr>
        <vertAlign val="superscript"/>
        <sz val="11"/>
        <color indexed="8"/>
        <rFont val="Arial"/>
        <family val="2"/>
      </rPr>
      <t>1</t>
    </r>
  </si>
  <si>
    <t>Notes:</t>
  </si>
  <si>
    <t>1. Exclusive of transformer ownership credit</t>
  </si>
  <si>
    <t>$</t>
  </si>
  <si>
    <t>%</t>
  </si>
  <si>
    <t>Revenue from Existing Rates at Forecasted Loads and Volumes</t>
  </si>
  <si>
    <t>Revenue Share per Class</t>
  </si>
  <si>
    <t>Allocation of Revenue Requirment including Net Income</t>
  </si>
  <si>
    <t>Total</t>
  </si>
  <si>
    <t>kWh</t>
  </si>
  <si>
    <t>kW</t>
  </si>
  <si>
    <t>Fixed and Variable Proportions at Existing Rates</t>
  </si>
  <si>
    <t>Distribution Revenue at Status Quo Rates</t>
  </si>
  <si>
    <t>Deficiency Factor</t>
  </si>
  <si>
    <t>Misc. Revenue</t>
  </si>
  <si>
    <t>Revenue to Cost Ratio</t>
  </si>
  <si>
    <t>Board's 2011 Policy Range</t>
  </si>
  <si>
    <t>85% - 115%</t>
  </si>
  <si>
    <t>80% - 120%</t>
  </si>
  <si>
    <t>70% - 120%</t>
  </si>
  <si>
    <t>Revenue to Cost Ratio Adjustment:</t>
  </si>
  <si>
    <t>Taget Revenue to Cost Ratio</t>
  </si>
  <si>
    <t>Adjusted Distribution Revenue</t>
  </si>
  <si>
    <t>Fixed Component at Existing F/V Split</t>
  </si>
  <si>
    <t>Variable Component at Existing F/V Split</t>
  </si>
  <si>
    <t>Fixed Component</t>
  </si>
  <si>
    <t>Determination of 2013 Base Distribution Rates</t>
  </si>
  <si>
    <t>Transformer Allowance Addback</t>
  </si>
  <si>
    <t>Revenue Requirement from Rates</t>
  </si>
  <si>
    <t>(Allocated to GS &gt; 50 to 4,999 kW)</t>
  </si>
  <si>
    <t>Revenue Requirement from Rates with Addback</t>
  </si>
  <si>
    <t>Existing Rates</t>
  </si>
  <si>
    <t>Proposed Rates</t>
  </si>
  <si>
    <t>Percent Change</t>
  </si>
  <si>
    <r>
      <t>Fixed Component</t>
    </r>
    <r>
      <rPr>
        <vertAlign val="superscript"/>
        <sz val="11"/>
        <color indexed="8"/>
        <rFont val="Arial"/>
        <family val="2"/>
      </rPr>
      <t>1</t>
    </r>
    <r>
      <rPr>
        <sz val="11"/>
        <color theme="1"/>
        <rFont val="Arial"/>
        <family val="2"/>
      </rPr>
      <t xml:space="preserve"> </t>
    </r>
  </si>
  <si>
    <t>Setting Target Revenue to Cost Ratios</t>
  </si>
  <si>
    <t xml:space="preserve"> 2013 Distribution Rates with Transformer Allowance Addback</t>
  </si>
  <si>
    <t>Floor</t>
  </si>
  <si>
    <t>Customer Unit Cost per Month Avoided Cost</t>
  </si>
  <si>
    <t>Customer Unit Cost per Month Min. System with PLCC Adj.</t>
  </si>
  <si>
    <t>Ceiling</t>
  </si>
  <si>
    <t>Rate Design at Existing F/V Split</t>
  </si>
  <si>
    <t>Is Rate Design Within Bounds?</t>
  </si>
  <si>
    <t>Test of 2013 Calculated Monthly Service Charge</t>
  </si>
  <si>
    <r>
      <rPr>
        <b/>
        <sz val="11"/>
        <color indexed="8"/>
        <rFont val="Arial"/>
        <family val="2"/>
      </rPr>
      <t>1.</t>
    </r>
    <r>
      <rPr>
        <sz val="11"/>
        <color theme="1"/>
        <rFont val="Arial"/>
        <family val="2"/>
      </rPr>
      <t xml:space="preserve"> The MSC for the GS &gt; 50 to 4,999 kW classification exceeds the ceiling; the fixed and variable allocations will be adjusted to maintain the MSC the 2012 approved amount.</t>
    </r>
  </si>
  <si>
    <t>These values have to be Copied &amp; Pasted from Tab [2013 Rate Design]</t>
  </si>
  <si>
    <t>Balance</t>
  </si>
  <si>
    <t>Comparison of Current Rates to Final Rate Design</t>
  </si>
  <si>
    <t>Derivation of the Test Year Revenue to Cost Ratios</t>
  </si>
  <si>
    <t>as Determined in the Cost Allocation Study</t>
  </si>
  <si>
    <t>Adjustment to the Fixed and Variable Allocations</t>
  </si>
  <si>
    <t>Adjusted Fixed Component Percentage</t>
  </si>
  <si>
    <t>Adjusted Variable Component Percentage</t>
  </si>
  <si>
    <r>
      <rPr>
        <b/>
        <sz val="11"/>
        <color indexed="8"/>
        <rFont val="Arial"/>
        <family val="2"/>
      </rPr>
      <t>2.</t>
    </r>
    <r>
      <rPr>
        <sz val="11"/>
        <color theme="1"/>
        <rFont val="Arial"/>
        <family val="2"/>
      </rPr>
      <t xml:space="preserve"> The MSC for the USL classification exceeds the ceiling; this amount will be maintained as it is a reduction from the 2012 approved amount and CNPI is billing this classification on a per customer basis.</t>
    </r>
  </si>
  <si>
    <t>Adjusted Fixed Component</t>
  </si>
  <si>
    <t>Adjusted Variable Component</t>
  </si>
  <si>
    <t>Distribution Revenue at Status Quo Rates has to be pasted from Tab [Test Year RC Ratio]</t>
  </si>
  <si>
    <r>
      <rPr>
        <b/>
        <sz val="11"/>
        <color indexed="8"/>
        <rFont val="Arial"/>
        <family val="2"/>
      </rPr>
      <t>1.</t>
    </r>
    <r>
      <rPr>
        <sz val="11"/>
        <color theme="1"/>
        <rFont val="Arial"/>
        <family val="2"/>
      </rPr>
      <t xml:space="preserve"> Move the USL Classification toward the upper boundary in two equal sets beginning in 2013.</t>
    </r>
  </si>
  <si>
    <r>
      <rPr>
        <b/>
        <sz val="11"/>
        <color indexed="8"/>
        <rFont val="Arial"/>
        <family val="2"/>
      </rPr>
      <t>2.</t>
    </r>
    <r>
      <rPr>
        <sz val="11"/>
        <color theme="1"/>
        <rFont val="Arial"/>
        <family val="2"/>
      </rPr>
      <t xml:space="preserve"> Move the GS 50 to 4,999 kW Classification toward the upper boundary in two equal sets beginning in 2013.</t>
    </r>
  </si>
  <si>
    <r>
      <rPr>
        <b/>
        <sz val="11"/>
        <color indexed="8"/>
        <rFont val="Arial"/>
        <family val="2"/>
      </rPr>
      <t xml:space="preserve">4. </t>
    </r>
    <r>
      <rPr>
        <sz val="11"/>
        <color theme="1"/>
        <rFont val="Arial"/>
        <family val="2"/>
      </rPr>
      <t>Allocate the revenue requirement shift to the Residential classification.</t>
    </r>
  </si>
  <si>
    <r>
      <rPr>
        <b/>
        <sz val="11"/>
        <color indexed="8"/>
        <rFont val="Arial"/>
        <family val="2"/>
      </rPr>
      <t>3</t>
    </r>
    <r>
      <rPr>
        <sz val="11"/>
        <color theme="1"/>
        <rFont val="Arial"/>
        <family val="2"/>
      </rPr>
      <t>. Move the Street Lighting Classification toward the upper boundary in two equal sets beginning in 2013.</t>
    </r>
  </si>
  <si>
    <t>Appendix 2-U</t>
  </si>
  <si>
    <t>Rate Class</t>
  </si>
  <si>
    <t>Customers/ Connections</t>
  </si>
  <si>
    <t>Test Year Consumption</t>
  </si>
  <si>
    <t>Revenues at Proposed Rates</t>
  </si>
  <si>
    <t>Service Revenue Requirement</t>
  </si>
  <si>
    <t>Transformer Allowance Credit</t>
  </si>
  <si>
    <t>Difference</t>
  </si>
  <si>
    <t>Average for 2013</t>
  </si>
  <si>
    <t>Monthly Service Charge</t>
  </si>
  <si>
    <t>Volumetric</t>
  </si>
  <si>
    <t>Customers</t>
  </si>
  <si>
    <t>Connections</t>
  </si>
  <si>
    <t>Fort Erie / Gananoque Revenue Reconciliation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</si>
</sst>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* #,##0.00000_);_(* \(#,##0.00000\);_(* &quot;-&quot;??_);_(@_)"/>
    <numFmt numFmtId="169" formatCode="_-* #,##0_-;\-* #,##0_-;_-* &quot;-&quot;??_-;_-@_-"/>
    <numFmt numFmtId="170" formatCode="_-&quot;$&quot;* #,##0.00_-;\-&quot;$&quot;* #,##0.00_-;_-&quot;$&quot;* &quot;-&quot;??_-;_-@_-"/>
    <numFmt numFmtId="171" formatCode="_-&quot;$&quot;* #,##0.0000_-;\-&quot;$&quot;* #,##0.0000_-;_-&quot;$&quot;* &quot;-&quot;??_-;_-@_-"/>
    <numFmt numFmtId="172" formatCode="_-&quot;$&quot;* #,##0_-;\-&quot;$&quot;* #,##0_-;_-&quot;$&quot;* &quot;-&quot;??_-;_-@_-"/>
    <numFmt numFmtId="173" formatCode="_-* #,##0.00_-;\-* #,##0.00_-;_-* &quot;-&quot;??_-;_-@_-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164" fontId="0" fillId="0" borderId="0" xfId="44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44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0" fontId="0" fillId="0" borderId="0" xfId="57" applyNumberFormat="1" applyFont="1" applyAlignment="1">
      <alignment/>
    </xf>
    <xf numFmtId="166" fontId="0" fillId="0" borderId="0" xfId="44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wrapText="1"/>
    </xf>
    <xf numFmtId="165" fontId="0" fillId="0" borderId="10" xfId="42" applyNumberFormat="1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164" fontId="0" fillId="0" borderId="10" xfId="44" applyNumberFormat="1" applyFont="1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164" fontId="0" fillId="0" borderId="0" xfId="44" applyNumberFormat="1" applyFon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0" fontId="0" fillId="0" borderId="12" xfId="0" applyBorder="1" applyAlignment="1">
      <alignment/>
    </xf>
    <xf numFmtId="44" fontId="0" fillId="0" borderId="13" xfId="44" applyFont="1" applyBorder="1" applyAlignment="1">
      <alignment/>
    </xf>
    <xf numFmtId="0" fontId="0" fillId="0" borderId="14" xfId="0" applyBorder="1" applyAlignment="1">
      <alignment horizontal="center" wrapText="1"/>
    </xf>
    <xf numFmtId="165" fontId="0" fillId="0" borderId="14" xfId="42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0" fillId="0" borderId="16" xfId="44" applyNumberFormat="1" applyFont="1" applyBorder="1" applyAlignment="1">
      <alignment/>
    </xf>
    <xf numFmtId="165" fontId="0" fillId="0" borderId="17" xfId="42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67" fontId="0" fillId="0" borderId="10" xfId="57" applyNumberFormat="1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67" fontId="0" fillId="0" borderId="14" xfId="57" applyNumberFormat="1" applyFont="1" applyBorder="1" applyAlignment="1">
      <alignment horizontal="center"/>
    </xf>
    <xf numFmtId="166" fontId="0" fillId="0" borderId="16" xfId="44" applyNumberFormat="1" applyFont="1" applyBorder="1" applyAlignment="1">
      <alignment horizontal="center"/>
    </xf>
    <xf numFmtId="167" fontId="0" fillId="0" borderId="17" xfId="0" applyNumberFormat="1" applyBorder="1" applyAlignment="1">
      <alignment/>
    </xf>
    <xf numFmtId="0" fontId="0" fillId="0" borderId="10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 applyBorder="1" applyAlignment="1">
      <alignment/>
    </xf>
    <xf numFmtId="167" fontId="0" fillId="0" borderId="16" xfId="57" applyNumberFormat="1" applyFont="1" applyBorder="1" applyAlignment="1">
      <alignment horizontal="center"/>
    </xf>
    <xf numFmtId="167" fontId="0" fillId="0" borderId="17" xfId="57" applyNumberFormat="1" applyFont="1" applyBorder="1" applyAlignment="1">
      <alignment horizontal="center"/>
    </xf>
    <xf numFmtId="168" fontId="0" fillId="0" borderId="10" xfId="0" applyNumberFormat="1" applyBorder="1" applyAlignment="1">
      <alignment/>
    </xf>
    <xf numFmtId="10" fontId="0" fillId="0" borderId="10" xfId="57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166" fontId="0" fillId="0" borderId="16" xfId="44" applyNumberFormat="1" applyFont="1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0" fontId="0" fillId="33" borderId="10" xfId="57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10" fontId="0" fillId="34" borderId="10" xfId="57" applyNumberFormat="1" applyFont="1" applyFill="1" applyBorder="1" applyAlignment="1">
      <alignment/>
    </xf>
    <xf numFmtId="10" fontId="0" fillId="0" borderId="10" xfId="57" applyNumberFormat="1" applyFont="1" applyFill="1" applyBorder="1" applyAlignment="1">
      <alignment/>
    </xf>
    <xf numFmtId="10" fontId="0" fillId="13" borderId="10" xfId="57" applyNumberFormat="1" applyFont="1" applyFill="1" applyBorder="1" applyAlignment="1">
      <alignment/>
    </xf>
    <xf numFmtId="165" fontId="0" fillId="0" borderId="14" xfId="0" applyNumberFormat="1" applyBorder="1" applyAlignment="1">
      <alignment/>
    </xf>
    <xf numFmtId="166" fontId="0" fillId="0" borderId="17" xfId="0" applyNumberFormat="1" applyBorder="1" applyAlignment="1">
      <alignment/>
    </xf>
    <xf numFmtId="165" fontId="0" fillId="13" borderId="10" xfId="0" applyNumberFormat="1" applyFill="1" applyBorder="1" applyAlignment="1">
      <alignment/>
    </xf>
    <xf numFmtId="164" fontId="0" fillId="0" borderId="14" xfId="44" applyNumberFormat="1" applyFont="1" applyBorder="1" applyAlignment="1">
      <alignment/>
    </xf>
    <xf numFmtId="43" fontId="0" fillId="0" borderId="14" xfId="0" applyNumberFormat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165" fontId="0" fillId="0" borderId="10" xfId="0" applyNumberFormat="1" applyFill="1" applyBorder="1" applyAlignment="1">
      <alignment/>
    </xf>
    <xf numFmtId="4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166" fontId="0" fillId="0" borderId="0" xfId="44" applyNumberFormat="1" applyFont="1" applyBorder="1" applyAlignment="1">
      <alignment/>
    </xf>
    <xf numFmtId="165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4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168" fontId="0" fillId="13" borderId="10" xfId="0" applyNumberFormat="1" applyFill="1" applyBorder="1" applyAlignment="1">
      <alignment/>
    </xf>
    <xf numFmtId="0" fontId="0" fillId="0" borderId="0" xfId="0" applyAlignment="1">
      <alignment wrapText="1"/>
    </xf>
    <xf numFmtId="165" fontId="0" fillId="2" borderId="10" xfId="0" applyNumberForma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35" borderId="25" xfId="0" applyFill="1" applyBorder="1" applyAlignment="1">
      <alignment/>
    </xf>
    <xf numFmtId="0" fontId="0" fillId="0" borderId="24" xfId="0" applyBorder="1" applyAlignment="1">
      <alignment/>
    </xf>
    <xf numFmtId="0" fontId="0" fillId="35" borderId="24" xfId="0" applyFill="1" applyBorder="1" applyAlignment="1">
      <alignment/>
    </xf>
    <xf numFmtId="0" fontId="0" fillId="0" borderId="24" xfId="0" applyFill="1" applyBorder="1" applyAlignment="1">
      <alignment/>
    </xf>
    <xf numFmtId="169" fontId="6" fillId="0" borderId="24" xfId="42" applyNumberFormat="1" applyFont="1" applyBorder="1" applyAlignment="1">
      <alignment/>
    </xf>
    <xf numFmtId="169" fontId="6" fillId="0" borderId="24" xfId="42" applyNumberFormat="1" applyFont="1" applyFill="1" applyBorder="1" applyAlignment="1">
      <alignment/>
    </xf>
    <xf numFmtId="169" fontId="6" fillId="0" borderId="12" xfId="42" applyNumberFormat="1" applyFont="1" applyFill="1" applyBorder="1" applyAlignment="1">
      <alignment/>
    </xf>
    <xf numFmtId="170" fontId="6" fillId="0" borderId="24" xfId="44" applyNumberFormat="1" applyFont="1" applyFill="1" applyBorder="1" applyAlignment="1">
      <alignment/>
    </xf>
    <xf numFmtId="171" fontId="6" fillId="0" borderId="24" xfId="44" applyNumberFormat="1" applyFont="1" applyFill="1" applyBorder="1" applyAlignment="1">
      <alignment/>
    </xf>
    <xf numFmtId="170" fontId="6" fillId="0" borderId="24" xfId="44" applyNumberFormat="1" applyFont="1" applyBorder="1" applyAlignment="1">
      <alignment/>
    </xf>
    <xf numFmtId="172" fontId="6" fillId="0" borderId="24" xfId="44" applyNumberFormat="1" applyFont="1" applyFill="1" applyBorder="1" applyAlignment="1">
      <alignment/>
    </xf>
    <xf numFmtId="172" fontId="6" fillId="0" borderId="24" xfId="44" applyNumberFormat="1" applyFont="1" applyBorder="1" applyAlignment="1">
      <alignment/>
    </xf>
    <xf numFmtId="172" fontId="6" fillId="0" borderId="12" xfId="44" applyNumberFormat="1" applyFont="1" applyBorder="1" applyAlignment="1">
      <alignment/>
    </xf>
    <xf numFmtId="173" fontId="6" fillId="0" borderId="24" xfId="42" applyNumberFormat="1" applyFont="1" applyBorder="1" applyAlignment="1">
      <alignment/>
    </xf>
    <xf numFmtId="170" fontId="6" fillId="0" borderId="28" xfId="44" applyNumberFormat="1" applyFont="1" applyBorder="1" applyAlignment="1">
      <alignment/>
    </xf>
    <xf numFmtId="172" fontId="6" fillId="0" borderId="28" xfId="44" applyNumberFormat="1" applyFont="1" applyBorder="1" applyAlignment="1">
      <alignment/>
    </xf>
    <xf numFmtId="0" fontId="0" fillId="0" borderId="12" xfId="0" applyFill="1" applyBorder="1" applyAlignment="1">
      <alignment/>
    </xf>
    <xf numFmtId="170" fontId="0" fillId="0" borderId="24" xfId="0" applyNumberFormat="1" applyBorder="1" applyAlignment="1">
      <alignment/>
    </xf>
    <xf numFmtId="0" fontId="0" fillId="0" borderId="29" xfId="0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172" fontId="0" fillId="0" borderId="23" xfId="0" applyNumberFormat="1" applyBorder="1" applyAlignment="1">
      <alignment/>
    </xf>
    <xf numFmtId="0" fontId="39" fillId="0" borderId="24" xfId="0" applyFont="1" applyFill="1" applyBorder="1" applyAlignment="1">
      <alignment/>
    </xf>
    <xf numFmtId="169" fontId="39" fillId="0" borderId="22" xfId="0" applyNumberFormat="1" applyFont="1" applyBorder="1" applyAlignment="1">
      <alignment/>
    </xf>
    <xf numFmtId="0" fontId="39" fillId="0" borderId="22" xfId="0" applyFont="1" applyBorder="1" applyAlignment="1">
      <alignment/>
    </xf>
    <xf numFmtId="170" fontId="39" fillId="0" borderId="22" xfId="0" applyNumberFormat="1" applyFont="1" applyBorder="1" applyAlignment="1">
      <alignment/>
    </xf>
    <xf numFmtId="0" fontId="39" fillId="35" borderId="22" xfId="0" applyFont="1" applyFill="1" applyBorder="1" applyAlignment="1">
      <alignment/>
    </xf>
    <xf numFmtId="172" fontId="39" fillId="0" borderId="22" xfId="0" applyNumberFormat="1" applyFont="1" applyBorder="1" applyAlignment="1">
      <alignment/>
    </xf>
    <xf numFmtId="44" fontId="0" fillId="0" borderId="10" xfId="0" applyNumberFormat="1" applyFill="1" applyBorder="1" applyAlignment="1">
      <alignment/>
    </xf>
    <xf numFmtId="44" fontId="37" fillId="0" borderId="30" xfId="44" applyFont="1" applyBorder="1" applyAlignment="1">
      <alignment horizontal="center"/>
    </xf>
    <xf numFmtId="44" fontId="37" fillId="0" borderId="31" xfId="44" applyFont="1" applyBorder="1" applyAlignment="1">
      <alignment horizontal="center"/>
    </xf>
    <xf numFmtId="44" fontId="37" fillId="0" borderId="32" xfId="44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7" fillId="0" borderId="18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13" borderId="0" xfId="0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showGridLines="0" tabSelected="1" zoomScalePageLayoutView="0" workbookViewId="0" topLeftCell="A1">
      <selection activeCell="B38" sqref="B38"/>
    </sheetView>
  </sheetViews>
  <sheetFormatPr defaultColWidth="9.00390625" defaultRowHeight="14.25"/>
  <cols>
    <col min="1" max="1" width="2.75390625" style="0" customWidth="1"/>
    <col min="2" max="2" width="20.50390625" style="0" customWidth="1"/>
    <col min="3" max="3" width="11.00390625" style="0" customWidth="1"/>
    <col min="4" max="4" width="9.875" style="0" customWidth="1"/>
    <col min="5" max="5" width="5.625" style="0" customWidth="1"/>
    <col min="6" max="6" width="11.125" style="0" customWidth="1"/>
    <col min="7" max="7" width="12.125" style="0" bestFit="1" customWidth="1"/>
    <col min="8" max="8" width="11.125" style="0" customWidth="1"/>
  </cols>
  <sheetData>
    <row r="1" spans="2:7" ht="14.25">
      <c r="B1" s="1"/>
      <c r="C1" s="1"/>
      <c r="D1" s="2"/>
      <c r="E1" s="1"/>
      <c r="F1" s="1"/>
      <c r="G1" s="1"/>
    </row>
    <row r="2" spans="2:7" ht="15" thickBot="1">
      <c r="B2" s="3"/>
      <c r="C2" s="4"/>
      <c r="D2" s="2"/>
      <c r="E2" s="5"/>
      <c r="F2" s="5"/>
      <c r="G2" s="2"/>
    </row>
    <row r="3" spans="2:8" ht="15">
      <c r="B3" s="123" t="s">
        <v>15</v>
      </c>
      <c r="C3" s="124"/>
      <c r="D3" s="124"/>
      <c r="E3" s="124"/>
      <c r="F3" s="124"/>
      <c r="G3" s="124"/>
      <c r="H3" s="125"/>
    </row>
    <row r="4" spans="2:8" ht="7.5" customHeight="1">
      <c r="B4" s="18"/>
      <c r="C4" s="19"/>
      <c r="D4" s="20"/>
      <c r="E4" s="21"/>
      <c r="F4" s="21"/>
      <c r="G4" s="21"/>
      <c r="H4" s="22"/>
    </row>
    <row r="5" spans="2:8" ht="57">
      <c r="B5" s="23"/>
      <c r="C5" s="13" t="s">
        <v>3</v>
      </c>
      <c r="D5" s="13" t="s">
        <v>4</v>
      </c>
      <c r="E5" s="14" t="s">
        <v>5</v>
      </c>
      <c r="F5" s="13" t="s">
        <v>10</v>
      </c>
      <c r="G5" s="13" t="s">
        <v>8</v>
      </c>
      <c r="H5" s="24" t="s">
        <v>9</v>
      </c>
    </row>
    <row r="6" spans="2:8" ht="14.25">
      <c r="B6" s="23" t="s">
        <v>0</v>
      </c>
      <c r="C6" s="15">
        <v>18.17</v>
      </c>
      <c r="D6" s="16">
        <v>0.0152</v>
      </c>
      <c r="E6" s="14" t="s">
        <v>28</v>
      </c>
      <c r="F6" s="14">
        <v>17537</v>
      </c>
      <c r="G6" s="14">
        <v>144126043</v>
      </c>
      <c r="H6" s="25"/>
    </row>
    <row r="7" spans="2:8" ht="14.25">
      <c r="B7" s="26" t="s">
        <v>11</v>
      </c>
      <c r="C7" s="15">
        <v>20.98</v>
      </c>
      <c r="D7" s="16">
        <v>0.0226</v>
      </c>
      <c r="E7" s="14" t="s">
        <v>28</v>
      </c>
      <c r="F7" s="14">
        <v>1633</v>
      </c>
      <c r="G7" s="14">
        <v>48895781</v>
      </c>
      <c r="H7" s="25"/>
    </row>
    <row r="8" spans="2:8" ht="14.25">
      <c r="B8" s="26" t="s">
        <v>12</v>
      </c>
      <c r="C8" s="15">
        <v>133.68</v>
      </c>
      <c r="D8" s="16">
        <v>7.2561</v>
      </c>
      <c r="E8" s="14" t="s">
        <v>29</v>
      </c>
      <c r="F8" s="14">
        <v>149</v>
      </c>
      <c r="G8" s="14">
        <v>135605948</v>
      </c>
      <c r="H8" s="25">
        <v>379702</v>
      </c>
    </row>
    <row r="9" spans="2:8" ht="14.25">
      <c r="B9" s="26" t="s">
        <v>13</v>
      </c>
      <c r="C9" s="15">
        <v>70.07</v>
      </c>
      <c r="D9" s="16">
        <v>0.0413</v>
      </c>
      <c r="E9" s="14" t="s">
        <v>28</v>
      </c>
      <c r="F9" s="14">
        <v>25</v>
      </c>
      <c r="G9" s="14">
        <v>946114</v>
      </c>
      <c r="H9" s="25"/>
    </row>
    <row r="10" spans="2:8" ht="14.25">
      <c r="B10" s="26" t="s">
        <v>2</v>
      </c>
      <c r="C10" s="15">
        <v>3.79</v>
      </c>
      <c r="D10" s="16">
        <v>4.2722</v>
      </c>
      <c r="E10" s="14" t="s">
        <v>29</v>
      </c>
      <c r="F10" s="14">
        <v>920</v>
      </c>
      <c r="G10" s="14">
        <v>747706</v>
      </c>
      <c r="H10" s="25">
        <v>2294</v>
      </c>
    </row>
    <row r="11" spans="2:8" ht="14.25">
      <c r="B11" s="26" t="s">
        <v>1</v>
      </c>
      <c r="C11" s="15">
        <v>4.95</v>
      </c>
      <c r="D11" s="16">
        <v>9.6594</v>
      </c>
      <c r="E11" s="14" t="s">
        <v>29</v>
      </c>
      <c r="F11" s="14">
        <v>3696</v>
      </c>
      <c r="G11" s="14">
        <v>2687821</v>
      </c>
      <c r="H11" s="25">
        <v>7670</v>
      </c>
    </row>
    <row r="12" spans="2:8" ht="7.5" customHeight="1">
      <c r="B12" s="27"/>
      <c r="C12" s="28"/>
      <c r="D12" s="28"/>
      <c r="E12" s="28"/>
      <c r="F12" s="28"/>
      <c r="G12" s="28"/>
      <c r="H12" s="22"/>
    </row>
    <row r="13" spans="2:8" ht="15" thickBot="1">
      <c r="B13" s="29" t="s">
        <v>14</v>
      </c>
      <c r="C13" s="30"/>
      <c r="D13" s="31">
        <v>0.6</v>
      </c>
      <c r="E13" s="33" t="s">
        <v>29</v>
      </c>
      <c r="F13" s="30"/>
      <c r="G13" s="30"/>
      <c r="H13" s="32">
        <v>176641</v>
      </c>
    </row>
  </sheetData>
  <sheetProtection/>
  <mergeCells count="1">
    <mergeCell ref="B3:H3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9"/>
  <sheetViews>
    <sheetView showGridLines="0" zoomScalePageLayoutView="0" workbookViewId="0" topLeftCell="A1">
      <selection activeCell="B3" sqref="B3:H29"/>
    </sheetView>
  </sheetViews>
  <sheetFormatPr defaultColWidth="9.00390625" defaultRowHeight="14.25"/>
  <cols>
    <col min="1" max="1" width="2.875" style="0" customWidth="1"/>
    <col min="2" max="2" width="19.625" style="0" customWidth="1"/>
    <col min="3" max="4" width="11.125" style="0" customWidth="1"/>
    <col min="5" max="5" width="12.125" style="0" bestFit="1" customWidth="1"/>
    <col min="6" max="6" width="11.125" style="0" bestFit="1" customWidth="1"/>
    <col min="7" max="7" width="12.125" style="0" bestFit="1" customWidth="1"/>
  </cols>
  <sheetData>
    <row r="2" ht="15" thickBot="1"/>
    <row r="3" spans="2:8" ht="15">
      <c r="B3" s="129" t="s">
        <v>24</v>
      </c>
      <c r="C3" s="130"/>
      <c r="D3" s="130"/>
      <c r="E3" s="130"/>
      <c r="F3" s="130"/>
      <c r="G3" s="130"/>
      <c r="H3" s="131"/>
    </row>
    <row r="4" spans="2:8" ht="7.5" customHeight="1">
      <c r="B4" s="27"/>
      <c r="C4" s="28"/>
      <c r="D4" s="28"/>
      <c r="E4" s="28"/>
      <c r="F4" s="28"/>
      <c r="G4" s="28"/>
      <c r="H4" s="22"/>
    </row>
    <row r="5" spans="2:8" ht="42.75">
      <c r="B5" s="37" t="s">
        <v>18</v>
      </c>
      <c r="C5" s="34" t="s">
        <v>6</v>
      </c>
      <c r="D5" s="34" t="s">
        <v>7</v>
      </c>
      <c r="E5" s="34" t="s">
        <v>16</v>
      </c>
      <c r="F5" s="34" t="s">
        <v>14</v>
      </c>
      <c r="G5" s="34" t="s">
        <v>17</v>
      </c>
      <c r="H5" s="38" t="s">
        <v>25</v>
      </c>
    </row>
    <row r="6" spans="2:8" ht="14.25">
      <c r="B6" s="26" t="s">
        <v>0</v>
      </c>
      <c r="C6" s="14">
        <f>'Rates &amp; Forecast'!C6*'Rates &amp; Forecast'!F6*12</f>
        <v>3823767.4800000004</v>
      </c>
      <c r="D6" s="14">
        <f>'Rates &amp; Forecast'!D6*'Rates &amp; Forecast'!G6</f>
        <v>2190715.8536</v>
      </c>
      <c r="E6" s="35">
        <f>C6+D6</f>
        <v>6014483.3336000005</v>
      </c>
      <c r="F6" s="17"/>
      <c r="G6" s="35">
        <f>E6-F6</f>
        <v>6014483.3336000005</v>
      </c>
      <c r="H6" s="39">
        <f>G6/G$13</f>
        <v>0.5556509939288756</v>
      </c>
    </row>
    <row r="7" spans="2:8" ht="14.25">
      <c r="B7" s="26" t="s">
        <v>11</v>
      </c>
      <c r="C7" s="14">
        <f>'Rates &amp; Forecast'!C7*'Rates &amp; Forecast'!F7*12</f>
        <v>411124.0800000001</v>
      </c>
      <c r="D7" s="14">
        <f>'Rates &amp; Forecast'!D7*'Rates &amp; Forecast'!G7</f>
        <v>1105044.6505999998</v>
      </c>
      <c r="E7" s="35">
        <f>C7+D7</f>
        <v>1516168.7306</v>
      </c>
      <c r="F7" s="17"/>
      <c r="G7" s="35">
        <f>E7-F7</f>
        <v>1516168.7306</v>
      </c>
      <c r="H7" s="39">
        <f>G7/G$13</f>
        <v>0.1400719921219754</v>
      </c>
    </row>
    <row r="8" spans="2:8" ht="14.25">
      <c r="B8" s="26" t="s">
        <v>12</v>
      </c>
      <c r="C8" s="14">
        <f>'Rates &amp; Forecast'!C8*'Rates &amp; Forecast'!F8*12</f>
        <v>239019.84</v>
      </c>
      <c r="D8" s="14">
        <f>'Rates &amp; Forecast'!D8*'Rates &amp; Forecast'!H8</f>
        <v>2755155.6822</v>
      </c>
      <c r="E8" s="35">
        <f>C8+D8</f>
        <v>2994175.5222</v>
      </c>
      <c r="F8" s="35">
        <f>'Rates &amp; Forecast'!D13*'Rates &amp; Forecast'!H13</f>
        <v>105984.59999999999</v>
      </c>
      <c r="G8" s="35">
        <f>E8-F8</f>
        <v>2888190.9222</v>
      </c>
      <c r="H8" s="39">
        <f>G8/G$13</f>
        <v>0.2668269355093896</v>
      </c>
    </row>
    <row r="9" spans="2:8" ht="14.25">
      <c r="B9" s="26" t="s">
        <v>13</v>
      </c>
      <c r="C9" s="14">
        <f>'Rates &amp; Forecast'!C9*'Rates &amp; Forecast'!F9*12</f>
        <v>21020.999999999996</v>
      </c>
      <c r="D9" s="14">
        <f>'Rates &amp; Forecast'!D9*'Rates &amp; Forecast'!G9</f>
        <v>39074.508200000004</v>
      </c>
      <c r="E9" s="35">
        <f>C9+D9</f>
        <v>60095.5082</v>
      </c>
      <c r="F9" s="17"/>
      <c r="G9" s="35">
        <f>E9-F9</f>
        <v>60095.5082</v>
      </c>
      <c r="H9" s="39">
        <f>G9/G$13</f>
        <v>0.005551953012396804</v>
      </c>
    </row>
    <row r="10" spans="2:8" ht="14.25">
      <c r="B10" s="26" t="s">
        <v>2</v>
      </c>
      <c r="C10" s="14">
        <f>'Rates &amp; Forecast'!C10*'Rates &amp; Forecast'!F10*12</f>
        <v>41841.600000000006</v>
      </c>
      <c r="D10" s="14">
        <f>'Rates &amp; Forecast'!D10*'Rates &amp; Forecast'!H10</f>
        <v>9800.4268</v>
      </c>
      <c r="E10" s="35">
        <f>C10+D10</f>
        <v>51642.02680000001</v>
      </c>
      <c r="F10" s="17"/>
      <c r="G10" s="35">
        <f>E10-F10</f>
        <v>51642.02680000001</v>
      </c>
      <c r="H10" s="39">
        <f>G10/G$13</f>
        <v>0.00477097398534915</v>
      </c>
    </row>
    <row r="11" spans="2:8" ht="14.25">
      <c r="B11" s="26" t="s">
        <v>1</v>
      </c>
      <c r="C11" s="14">
        <f>'Rates &amp; Forecast'!C11*'Rates &amp; Forecast'!F11*12</f>
        <v>219542.40000000002</v>
      </c>
      <c r="D11" s="14">
        <f>'Rates &amp; Forecast'!D11*'Rates &amp; Forecast'!H11</f>
        <v>74087.598</v>
      </c>
      <c r="E11" s="35">
        <f>C11+D11</f>
        <v>293629.998</v>
      </c>
      <c r="F11" s="17"/>
      <c r="G11" s="35">
        <f>E11-F11</f>
        <v>293629.998</v>
      </c>
      <c r="H11" s="39">
        <f>G11/G$13</f>
        <v>0.02712715144201356</v>
      </c>
    </row>
    <row r="12" spans="2:8" ht="7.5" customHeight="1">
      <c r="B12" s="27"/>
      <c r="C12" s="28"/>
      <c r="D12" s="28"/>
      <c r="E12" s="28"/>
      <c r="F12" s="28"/>
      <c r="G12" s="28"/>
      <c r="H12" s="22"/>
    </row>
    <row r="13" spans="2:8" ht="15" thickBot="1">
      <c r="B13" s="29" t="s">
        <v>27</v>
      </c>
      <c r="C13" s="40">
        <f aca="true" t="shared" si="0" ref="C13:H13">SUM(C6:C11)</f>
        <v>4756316.4</v>
      </c>
      <c r="D13" s="40">
        <f t="shared" si="0"/>
        <v>6173878.7194</v>
      </c>
      <c r="E13" s="40">
        <f t="shared" si="0"/>
        <v>10930195.119399998</v>
      </c>
      <c r="F13" s="40">
        <f t="shared" si="0"/>
        <v>105984.59999999999</v>
      </c>
      <c r="G13" s="40">
        <f t="shared" si="0"/>
        <v>10824210.519399999</v>
      </c>
      <c r="H13" s="41">
        <f t="shared" si="0"/>
        <v>1.0000000000000002</v>
      </c>
    </row>
    <row r="14" spans="3:7" ht="15" thickBot="1">
      <c r="C14" s="7"/>
      <c r="D14" s="7"/>
      <c r="E14" s="7"/>
      <c r="F14" s="7"/>
      <c r="G14" s="7"/>
    </row>
    <row r="15" spans="2:7" ht="15">
      <c r="B15" s="126" t="s">
        <v>30</v>
      </c>
      <c r="C15" s="127"/>
      <c r="D15" s="127"/>
      <c r="E15" s="127"/>
      <c r="F15" s="127"/>
      <c r="G15" s="128"/>
    </row>
    <row r="16" spans="2:7" ht="7.5" customHeight="1">
      <c r="B16" s="43"/>
      <c r="C16" s="44"/>
      <c r="D16" s="44"/>
      <c r="E16" s="44"/>
      <c r="F16" s="44"/>
      <c r="G16" s="45"/>
    </row>
    <row r="17" spans="2:7" ht="30.75">
      <c r="B17" s="132" t="s">
        <v>18</v>
      </c>
      <c r="C17" s="34" t="s">
        <v>53</v>
      </c>
      <c r="D17" s="34" t="s">
        <v>19</v>
      </c>
      <c r="E17" s="34" t="s">
        <v>17</v>
      </c>
      <c r="F17" s="34" t="s">
        <v>6</v>
      </c>
      <c r="G17" s="38" t="s">
        <v>7</v>
      </c>
    </row>
    <row r="18" spans="2:7" ht="14.25">
      <c r="B18" s="132"/>
      <c r="C18" s="42" t="s">
        <v>22</v>
      </c>
      <c r="D18" s="42" t="s">
        <v>22</v>
      </c>
      <c r="E18" s="42" t="s">
        <v>22</v>
      </c>
      <c r="F18" s="42" t="s">
        <v>23</v>
      </c>
      <c r="G18" s="46" t="s">
        <v>23</v>
      </c>
    </row>
    <row r="19" spans="2:7" ht="14.25">
      <c r="B19" s="26" t="s">
        <v>0</v>
      </c>
      <c r="C19" s="35">
        <f>C6</f>
        <v>3823767.4800000004</v>
      </c>
      <c r="D19" s="35">
        <f>D6</f>
        <v>2190715.8536</v>
      </c>
      <c r="E19" s="35">
        <f>C19+D19</f>
        <v>6014483.3336000005</v>
      </c>
      <c r="F19" s="36">
        <f>C19/E19</f>
        <v>0.6357599261500096</v>
      </c>
      <c r="G19" s="39">
        <f>1-F19</f>
        <v>0.36424007384999035</v>
      </c>
    </row>
    <row r="20" spans="2:7" ht="14.25">
      <c r="B20" s="26" t="s">
        <v>11</v>
      </c>
      <c r="C20" s="35">
        <f>C7</f>
        <v>411124.0800000001</v>
      </c>
      <c r="D20" s="35">
        <f>D7</f>
        <v>1105044.6505999998</v>
      </c>
      <c r="E20" s="35">
        <f>C20+D20</f>
        <v>1516168.7306</v>
      </c>
      <c r="F20" s="36">
        <f>C20/E20</f>
        <v>0.2711598463301009</v>
      </c>
      <c r="G20" s="39">
        <f aca="true" t="shared" si="1" ref="G20:G26">1-F20</f>
        <v>0.7288401536698992</v>
      </c>
    </row>
    <row r="21" spans="2:7" ht="14.25">
      <c r="B21" s="26" t="s">
        <v>12</v>
      </c>
      <c r="C21" s="35">
        <f>C8-(C8/E8*F8)</f>
        <v>230559.2731606015</v>
      </c>
      <c r="D21" s="35">
        <f>D8-(D8/E8*F8)</f>
        <v>2657631.649039399</v>
      </c>
      <c r="E21" s="35">
        <f>C21+D21</f>
        <v>2888190.9222000004</v>
      </c>
      <c r="F21" s="36">
        <f>C21/E21</f>
        <v>0.07982826598768591</v>
      </c>
      <c r="G21" s="39">
        <f t="shared" si="1"/>
        <v>0.9201717340123141</v>
      </c>
    </row>
    <row r="22" spans="2:7" ht="14.25">
      <c r="B22" s="26" t="s">
        <v>13</v>
      </c>
      <c r="C22" s="35">
        <f aca="true" t="shared" si="2" ref="C22:D24">C9</f>
        <v>21020.999999999996</v>
      </c>
      <c r="D22" s="35">
        <f t="shared" si="2"/>
        <v>39074.508200000004</v>
      </c>
      <c r="E22" s="35">
        <f>C22+D22</f>
        <v>60095.5082</v>
      </c>
      <c r="F22" s="36">
        <f>C22/E22</f>
        <v>0.3497931980214121</v>
      </c>
      <c r="G22" s="39">
        <f t="shared" si="1"/>
        <v>0.6502068019785878</v>
      </c>
    </row>
    <row r="23" spans="2:7" ht="14.25">
      <c r="B23" s="26" t="s">
        <v>2</v>
      </c>
      <c r="C23" s="35">
        <f t="shared" si="2"/>
        <v>41841.600000000006</v>
      </c>
      <c r="D23" s="35">
        <f t="shared" si="2"/>
        <v>9800.4268</v>
      </c>
      <c r="E23" s="35">
        <f>C23+D23</f>
        <v>51642.02680000001</v>
      </c>
      <c r="F23" s="36">
        <f>C23/E23</f>
        <v>0.8102238156152307</v>
      </c>
      <c r="G23" s="39">
        <f t="shared" si="1"/>
        <v>0.1897761843847693</v>
      </c>
    </row>
    <row r="24" spans="2:7" ht="14.25">
      <c r="B24" s="26" t="s">
        <v>1</v>
      </c>
      <c r="C24" s="35">
        <f t="shared" si="2"/>
        <v>219542.40000000002</v>
      </c>
      <c r="D24" s="35">
        <f t="shared" si="2"/>
        <v>74087.598</v>
      </c>
      <c r="E24" s="35">
        <f>C24+D24</f>
        <v>293629.998</v>
      </c>
      <c r="F24" s="36">
        <f>C24/E24</f>
        <v>0.7476838248658777</v>
      </c>
      <c r="G24" s="39">
        <f t="shared" si="1"/>
        <v>0.2523161751341223</v>
      </c>
    </row>
    <row r="25" spans="2:7" ht="8.25" customHeight="1">
      <c r="B25" s="27"/>
      <c r="C25" s="47"/>
      <c r="D25" s="47"/>
      <c r="E25" s="28"/>
      <c r="F25" s="28"/>
      <c r="G25" s="22"/>
    </row>
    <row r="26" spans="2:7" ht="15" thickBot="1">
      <c r="B26" s="29" t="s">
        <v>27</v>
      </c>
      <c r="C26" s="40">
        <f>SUM(C19:C24)</f>
        <v>4747855.833160602</v>
      </c>
      <c r="D26" s="40">
        <f>SUM(D19:D24)</f>
        <v>6076354.686239399</v>
      </c>
      <c r="E26" s="40">
        <f>SUM(E19:E24)</f>
        <v>10824210.519399999</v>
      </c>
      <c r="F26" s="48">
        <f>C26/E26</f>
        <v>0.4386329907988321</v>
      </c>
      <c r="G26" s="49">
        <f t="shared" si="1"/>
        <v>0.5613670092011679</v>
      </c>
    </row>
    <row r="28" ht="14.25">
      <c r="B28" t="s">
        <v>20</v>
      </c>
    </row>
    <row r="29" ht="14.25">
      <c r="B29" t="s">
        <v>21</v>
      </c>
    </row>
  </sheetData>
  <sheetProtection/>
  <mergeCells count="3">
    <mergeCell ref="B15:G15"/>
    <mergeCell ref="B3:H3"/>
    <mergeCell ref="B17:B18"/>
  </mergeCells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4"/>
  <sheetViews>
    <sheetView showGridLines="0" zoomScalePageLayoutView="0" workbookViewId="0" topLeftCell="A1">
      <selection activeCell="B3" sqref="B3:I14"/>
    </sheetView>
  </sheetViews>
  <sheetFormatPr defaultColWidth="9.00390625" defaultRowHeight="14.25"/>
  <cols>
    <col min="1" max="1" width="2.875" style="0" customWidth="1"/>
    <col min="2" max="2" width="19.125" style="0" customWidth="1"/>
    <col min="3" max="3" width="12.625" style="0" customWidth="1"/>
    <col min="4" max="4" width="9.375" style="0" bestFit="1" customWidth="1"/>
    <col min="5" max="5" width="12.125" style="0" bestFit="1" customWidth="1"/>
    <col min="6" max="6" width="11.875" style="0" customWidth="1"/>
    <col min="8" max="8" width="1.75390625" style="0" customWidth="1"/>
    <col min="9" max="9" width="10.75390625" style="0" bestFit="1" customWidth="1"/>
  </cols>
  <sheetData>
    <row r="2" ht="15" thickBot="1"/>
    <row r="3" spans="2:9" ht="15">
      <c r="B3" s="133" t="s">
        <v>67</v>
      </c>
      <c r="C3" s="134"/>
      <c r="D3" s="134"/>
      <c r="E3" s="134"/>
      <c r="F3" s="134"/>
      <c r="G3" s="134"/>
      <c r="H3" s="134"/>
      <c r="I3" s="135"/>
    </row>
    <row r="4" spans="2:9" ht="15">
      <c r="B4" s="136" t="s">
        <v>68</v>
      </c>
      <c r="C4" s="137"/>
      <c r="D4" s="137"/>
      <c r="E4" s="137"/>
      <c r="F4" s="137"/>
      <c r="G4" s="137"/>
      <c r="H4" s="137"/>
      <c r="I4" s="138"/>
    </row>
    <row r="5" spans="2:9" ht="7.5" customHeight="1">
      <c r="B5" s="27"/>
      <c r="C5" s="28"/>
      <c r="D5" s="28"/>
      <c r="E5" s="28"/>
      <c r="F5" s="28"/>
      <c r="G5" s="28"/>
      <c r="H5" s="28"/>
      <c r="I5" s="22"/>
    </row>
    <row r="6" spans="2:9" ht="71.25">
      <c r="B6" s="52" t="s">
        <v>18</v>
      </c>
      <c r="C6" s="34" t="s">
        <v>26</v>
      </c>
      <c r="D6" s="34" t="s">
        <v>32</v>
      </c>
      <c r="E6" s="34" t="s">
        <v>31</v>
      </c>
      <c r="F6" s="34" t="s">
        <v>33</v>
      </c>
      <c r="G6" s="34" t="s">
        <v>34</v>
      </c>
      <c r="H6" s="56"/>
      <c r="I6" s="38" t="s">
        <v>35</v>
      </c>
    </row>
    <row r="7" spans="2:9" ht="14.25">
      <c r="B7" s="26" t="s">
        <v>0</v>
      </c>
      <c r="C7" s="35">
        <v>8593422.4</v>
      </c>
      <c r="D7" s="79">
        <v>1.1278325544500494</v>
      </c>
      <c r="E7" s="35">
        <f>D7*'Class Revenue'!E19</f>
        <v>6783330.101831337</v>
      </c>
      <c r="F7" s="35">
        <v>726745.5</v>
      </c>
      <c r="G7" s="51">
        <f>(E7+F7)/C7</f>
        <v>0.873933021357281</v>
      </c>
      <c r="H7" s="57"/>
      <c r="I7" s="46" t="s">
        <v>36</v>
      </c>
    </row>
    <row r="8" spans="2:9" ht="14.25">
      <c r="B8" s="26" t="s">
        <v>11</v>
      </c>
      <c r="C8" s="35">
        <v>1593186</v>
      </c>
      <c r="D8" s="50">
        <f>D$7</f>
        <v>1.1278325544500494</v>
      </c>
      <c r="E8" s="35">
        <f>D8*'Class Revenue'!E20</f>
        <v>1709984.4524098865</v>
      </c>
      <c r="F8" s="35">
        <v>138022</v>
      </c>
      <c r="G8" s="51">
        <f>(E8+F8)/C8</f>
        <v>1.1599439440278074</v>
      </c>
      <c r="H8" s="57"/>
      <c r="I8" s="46" t="s">
        <v>37</v>
      </c>
    </row>
    <row r="9" spans="2:9" ht="14.25">
      <c r="B9" s="26" t="s">
        <v>12</v>
      </c>
      <c r="C9" s="35">
        <v>2694082.4</v>
      </c>
      <c r="D9" s="50">
        <f>D$7</f>
        <v>1.1278325544500494</v>
      </c>
      <c r="E9" s="35">
        <f>D9*'Class Revenue'!E21</f>
        <v>3257395.7455242705</v>
      </c>
      <c r="F9" s="35">
        <v>231094.5</v>
      </c>
      <c r="G9" s="51">
        <f>(E9+F9)/C9</f>
        <v>1.294871398708618</v>
      </c>
      <c r="H9" s="57"/>
      <c r="I9" s="46" t="s">
        <v>37</v>
      </c>
    </row>
    <row r="10" spans="2:9" ht="14.25">
      <c r="B10" s="26" t="s">
        <v>13</v>
      </c>
      <c r="C10" s="35">
        <v>29572</v>
      </c>
      <c r="D10" s="50">
        <f>D$7</f>
        <v>1.1278325544500494</v>
      </c>
      <c r="E10" s="35">
        <f>D10*'Class Revenue'!E22</f>
        <v>67777.67052417989</v>
      </c>
      <c r="F10" s="35">
        <v>2548</v>
      </c>
      <c r="G10" s="51">
        <f>(E10+F10)/C10</f>
        <v>2.378116817400916</v>
      </c>
      <c r="H10" s="57"/>
      <c r="I10" s="46" t="s">
        <v>37</v>
      </c>
    </row>
    <row r="11" spans="2:9" ht="14.25">
      <c r="B11" s="26" t="s">
        <v>2</v>
      </c>
      <c r="C11" s="35">
        <v>78300</v>
      </c>
      <c r="D11" s="50">
        <f>D$7</f>
        <v>1.1278325544500494</v>
      </c>
      <c r="E11" s="35">
        <f>D11*'Class Revenue'!E23</f>
        <v>58243.559002821916</v>
      </c>
      <c r="F11" s="35">
        <v>6121</v>
      </c>
      <c r="G11" s="51">
        <f>(E11+F11)/C11</f>
        <v>0.8220250191931279</v>
      </c>
      <c r="H11" s="57"/>
      <c r="I11" s="46" t="s">
        <v>37</v>
      </c>
    </row>
    <row r="12" spans="2:9" ht="14.25">
      <c r="B12" s="26" t="s">
        <v>1</v>
      </c>
      <c r="C12" s="35">
        <v>351226</v>
      </c>
      <c r="D12" s="50">
        <f>D$7</f>
        <v>1.1278325544500494</v>
      </c>
      <c r="E12" s="35">
        <f>D12*'Class Revenue'!E24</f>
        <v>331165.4707075029</v>
      </c>
      <c r="F12" s="35">
        <v>27361</v>
      </c>
      <c r="G12" s="51">
        <f>(E12+F12)/C12</f>
        <v>1.0207856784734128</v>
      </c>
      <c r="H12" s="57"/>
      <c r="I12" s="46" t="s">
        <v>38</v>
      </c>
    </row>
    <row r="13" spans="2:9" ht="7.5" customHeight="1">
      <c r="B13" s="26"/>
      <c r="C13" s="17"/>
      <c r="D13" s="17"/>
      <c r="E13" s="17"/>
      <c r="F13" s="17"/>
      <c r="G13" s="17"/>
      <c r="H13" s="58"/>
      <c r="I13" s="53"/>
    </row>
    <row r="14" spans="2:9" ht="15" thickBot="1">
      <c r="B14" s="29" t="s">
        <v>27</v>
      </c>
      <c r="C14" s="54">
        <f>SUM(C7:C12)</f>
        <v>13339788.8</v>
      </c>
      <c r="D14" s="30"/>
      <c r="E14" s="54">
        <f>SUM(E7:E12)</f>
        <v>12207896.999999998</v>
      </c>
      <c r="F14" s="54">
        <f>SUM(F7:F12)</f>
        <v>1131892</v>
      </c>
      <c r="G14" s="30"/>
      <c r="H14" s="59"/>
      <c r="I14" s="55"/>
    </row>
  </sheetData>
  <sheetProtection/>
  <mergeCells count="2">
    <mergeCell ref="B3:I3"/>
    <mergeCell ref="B4:I4"/>
  </mergeCells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9"/>
  <sheetViews>
    <sheetView showGridLines="0" zoomScalePageLayoutView="0" workbookViewId="0" topLeftCell="A1">
      <selection activeCell="B3" sqref="B3:G13"/>
    </sheetView>
  </sheetViews>
  <sheetFormatPr defaultColWidth="9.00390625" defaultRowHeight="14.25"/>
  <cols>
    <col min="1" max="1" width="3.25390625" style="0" customWidth="1"/>
    <col min="2" max="2" width="19.125" style="0" customWidth="1"/>
    <col min="3" max="3" width="12.625" style="0" customWidth="1"/>
    <col min="4" max="4" width="11.875" style="0" customWidth="1"/>
    <col min="5" max="5" width="12.125" style="0" bestFit="1" customWidth="1"/>
    <col min="6" max="6" width="9.75390625" style="0" customWidth="1"/>
    <col min="7" max="7" width="12.625" style="0" bestFit="1" customWidth="1"/>
  </cols>
  <sheetData>
    <row r="2" ht="15" thickBot="1"/>
    <row r="3" spans="2:7" ht="15">
      <c r="B3" s="126" t="s">
        <v>54</v>
      </c>
      <c r="C3" s="127"/>
      <c r="D3" s="127"/>
      <c r="E3" s="127"/>
      <c r="F3" s="127"/>
      <c r="G3" s="128"/>
    </row>
    <row r="4" spans="2:7" ht="7.5" customHeight="1">
      <c r="B4" s="27"/>
      <c r="C4" s="28"/>
      <c r="D4" s="28"/>
      <c r="E4" s="28"/>
      <c r="F4" s="28"/>
      <c r="G4" s="22"/>
    </row>
    <row r="5" spans="2:8" ht="71.25">
      <c r="B5" s="52" t="s">
        <v>18</v>
      </c>
      <c r="C5" s="34" t="s">
        <v>26</v>
      </c>
      <c r="D5" s="34" t="s">
        <v>33</v>
      </c>
      <c r="E5" s="34" t="s">
        <v>31</v>
      </c>
      <c r="F5" s="34" t="s">
        <v>40</v>
      </c>
      <c r="G5" s="38" t="s">
        <v>41</v>
      </c>
      <c r="H5" s="8"/>
    </row>
    <row r="6" spans="2:7" ht="14.25">
      <c r="B6" s="26" t="s">
        <v>0</v>
      </c>
      <c r="C6" s="35">
        <f>'Test Year RC Ratio'!C7</f>
        <v>8593422.4</v>
      </c>
      <c r="D6" s="35">
        <f>'Test Year RC Ratio'!F7</f>
        <v>726745.5</v>
      </c>
      <c r="E6" s="81">
        <v>6783330.101831337</v>
      </c>
      <c r="F6" s="60">
        <f>(G6+D6)/C6</f>
        <v>0.8911965171625756</v>
      </c>
      <c r="G6" s="63">
        <f>G13-(G7+G8+G9+G10+G11)</f>
        <v>6931682.613386862</v>
      </c>
    </row>
    <row r="7" spans="2:7" ht="14.25">
      <c r="B7" s="26" t="s">
        <v>11</v>
      </c>
      <c r="C7" s="35">
        <f>'Test Year RC Ratio'!C8</f>
        <v>1593186</v>
      </c>
      <c r="D7" s="35">
        <f>'Test Year RC Ratio'!F8</f>
        <v>138022</v>
      </c>
      <c r="E7" s="81">
        <v>1709984.4524098865</v>
      </c>
      <c r="F7" s="61">
        <f>(G7+D7)/C7</f>
        <v>1.1599439440278074</v>
      </c>
      <c r="G7" s="63">
        <v>1709984.4524098865</v>
      </c>
    </row>
    <row r="8" spans="2:7" ht="14.25">
      <c r="B8" s="26" t="s">
        <v>12</v>
      </c>
      <c r="C8" s="35">
        <f>'Test Year RC Ratio'!C9</f>
        <v>2694082.4</v>
      </c>
      <c r="D8" s="35">
        <f>'Test Year RC Ratio'!F9</f>
        <v>231094.5</v>
      </c>
      <c r="E8" s="81">
        <v>3257395.7455242705</v>
      </c>
      <c r="F8" s="62">
        <f>(G8+D8)/C8</f>
        <v>1.2474999999999996</v>
      </c>
      <c r="G8" s="63">
        <v>3129773.293999999</v>
      </c>
    </row>
    <row r="9" spans="2:7" ht="14.25">
      <c r="B9" s="26" t="s">
        <v>13</v>
      </c>
      <c r="C9" s="35">
        <f>'Test Year RC Ratio'!C10</f>
        <v>29572</v>
      </c>
      <c r="D9" s="35">
        <f>'Test Year RC Ratio'!F10</f>
        <v>2548</v>
      </c>
      <c r="E9" s="81">
        <v>67777.67052417989</v>
      </c>
      <c r="F9" s="62">
        <f>(G9+D9)/C9</f>
        <v>1.7890999999999992</v>
      </c>
      <c r="G9" s="63">
        <v>50359.26519999998</v>
      </c>
    </row>
    <row r="10" spans="2:7" ht="14.25">
      <c r="B10" s="26" t="s">
        <v>2</v>
      </c>
      <c r="C10" s="35">
        <f>'Test Year RC Ratio'!C11</f>
        <v>78300</v>
      </c>
      <c r="D10" s="35">
        <f>'Test Year RC Ratio'!F11</f>
        <v>6121</v>
      </c>
      <c r="E10" s="81">
        <v>58243.559002821916</v>
      </c>
      <c r="F10" s="61">
        <f>(G10+D10)/C10</f>
        <v>0.8220250191931279</v>
      </c>
      <c r="G10" s="63">
        <v>58243.559002821916</v>
      </c>
    </row>
    <row r="11" spans="2:7" ht="14.25">
      <c r="B11" s="26" t="s">
        <v>1</v>
      </c>
      <c r="C11" s="35">
        <f>'Test Year RC Ratio'!C12</f>
        <v>351226</v>
      </c>
      <c r="D11" s="35">
        <f>'Test Year RC Ratio'!F12</f>
        <v>27361</v>
      </c>
      <c r="E11" s="81">
        <v>331165.4707075029</v>
      </c>
      <c r="F11" s="62">
        <f>(G11+D11)/C11</f>
        <v>1.0113568357707796</v>
      </c>
      <c r="G11" s="63">
        <v>327853.8160004279</v>
      </c>
    </row>
    <row r="12" spans="2:7" ht="7.5" customHeight="1">
      <c r="B12" s="26"/>
      <c r="C12" s="17"/>
      <c r="D12" s="17"/>
      <c r="E12" s="17"/>
      <c r="F12" s="17"/>
      <c r="G12" s="53"/>
    </row>
    <row r="13" spans="2:7" ht="15" thickBot="1">
      <c r="B13" s="29" t="s">
        <v>27</v>
      </c>
      <c r="C13" s="54">
        <f>SUM(C6:C11)</f>
        <v>13339788.8</v>
      </c>
      <c r="D13" s="54">
        <f>SUM(D6:D11)</f>
        <v>1131892</v>
      </c>
      <c r="E13" s="54">
        <f>SUM(E6:E11)</f>
        <v>12207896.999999998</v>
      </c>
      <c r="F13" s="30"/>
      <c r="G13" s="64">
        <f>E13</f>
        <v>12207896.999999998</v>
      </c>
    </row>
    <row r="16" ht="14.25">
      <c r="B16" t="s">
        <v>39</v>
      </c>
    </row>
    <row r="17" ht="7.5" customHeight="1"/>
    <row r="18" spans="2:7" ht="14.25">
      <c r="B18" s="139" t="s">
        <v>76</v>
      </c>
      <c r="C18" s="139"/>
      <c r="D18" s="139"/>
      <c r="E18" s="139"/>
      <c r="F18" s="139"/>
      <c r="G18" s="139"/>
    </row>
    <row r="19" spans="2:7" ht="7.5" customHeight="1">
      <c r="B19" s="11"/>
      <c r="C19" s="11"/>
      <c r="D19" s="11"/>
      <c r="E19" s="11"/>
      <c r="F19" s="11"/>
      <c r="G19" s="11"/>
    </row>
    <row r="20" spans="2:7" ht="30" customHeight="1">
      <c r="B20" s="139" t="s">
        <v>77</v>
      </c>
      <c r="C20" s="139"/>
      <c r="D20" s="139"/>
      <c r="E20" s="139"/>
      <c r="F20" s="139"/>
      <c r="G20" s="139"/>
    </row>
    <row r="21" spans="2:7" ht="7.5" customHeight="1">
      <c r="B21" s="11"/>
      <c r="C21" s="11"/>
      <c r="D21" s="11"/>
      <c r="E21" s="11"/>
      <c r="F21" s="11"/>
      <c r="G21" s="11"/>
    </row>
    <row r="22" spans="2:7" ht="30.75" customHeight="1">
      <c r="B22" s="141" t="s">
        <v>79</v>
      </c>
      <c r="C22" s="141"/>
      <c r="D22" s="141"/>
      <c r="E22" s="141"/>
      <c r="F22" s="141"/>
      <c r="G22" s="141"/>
    </row>
    <row r="23" spans="2:7" ht="7.5" customHeight="1">
      <c r="B23" s="80"/>
      <c r="C23" s="80"/>
      <c r="D23" s="80"/>
      <c r="E23" s="80"/>
      <c r="F23" s="80"/>
      <c r="G23" s="80"/>
    </row>
    <row r="24" spans="2:7" ht="14.25">
      <c r="B24" s="139" t="s">
        <v>78</v>
      </c>
      <c r="C24" s="139"/>
      <c r="D24" s="139"/>
      <c r="E24" s="139"/>
      <c r="F24" s="139"/>
      <c r="G24" s="139"/>
    </row>
    <row r="29" spans="2:7" ht="14.25">
      <c r="B29" s="140" t="s">
        <v>75</v>
      </c>
      <c r="C29" s="140"/>
      <c r="D29" s="140"/>
      <c r="E29" s="140"/>
      <c r="F29" s="140"/>
      <c r="G29" s="140"/>
    </row>
  </sheetData>
  <sheetProtection/>
  <mergeCells count="6">
    <mergeCell ref="B3:G3"/>
    <mergeCell ref="B18:G18"/>
    <mergeCell ref="B20:G20"/>
    <mergeCell ref="B24:G24"/>
    <mergeCell ref="B29:G29"/>
    <mergeCell ref="B22:G22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7"/>
  <sheetViews>
    <sheetView showGridLines="0" zoomScalePageLayoutView="0" workbookViewId="0" topLeftCell="A1">
      <selection activeCell="B3" sqref="B3:G27"/>
    </sheetView>
  </sheetViews>
  <sheetFormatPr defaultColWidth="9.00390625" defaultRowHeight="14.25"/>
  <cols>
    <col min="1" max="1" width="3.25390625" style="0" customWidth="1"/>
    <col min="2" max="2" width="19.125" style="0" customWidth="1"/>
    <col min="3" max="3" width="12.125" style="0" bestFit="1" customWidth="1"/>
    <col min="4" max="7" width="12.625" style="0" bestFit="1" customWidth="1"/>
  </cols>
  <sheetData>
    <row r="2" ht="15" thickBot="1"/>
    <row r="3" spans="2:7" ht="15">
      <c r="B3" s="129" t="s">
        <v>45</v>
      </c>
      <c r="C3" s="130"/>
      <c r="D3" s="130"/>
      <c r="E3" s="130"/>
      <c r="F3" s="130"/>
      <c r="G3" s="131"/>
    </row>
    <row r="4" spans="2:7" ht="7.5" customHeight="1">
      <c r="B4" s="27"/>
      <c r="C4" s="28"/>
      <c r="D4" s="28"/>
      <c r="E4" s="28"/>
      <c r="F4" s="28"/>
      <c r="G4" s="22"/>
    </row>
    <row r="5" spans="2:7" ht="57">
      <c r="B5" s="52" t="s">
        <v>18</v>
      </c>
      <c r="C5" s="34" t="s">
        <v>47</v>
      </c>
      <c r="D5" s="34" t="s">
        <v>42</v>
      </c>
      <c r="E5" s="34" t="s">
        <v>43</v>
      </c>
      <c r="F5" s="34" t="s">
        <v>44</v>
      </c>
      <c r="G5" s="38" t="s">
        <v>7</v>
      </c>
    </row>
    <row r="6" spans="2:9" ht="14.25">
      <c r="B6" s="26" t="s">
        <v>0</v>
      </c>
      <c r="C6" s="35">
        <f>'RC Ratio Adjustment'!G6</f>
        <v>6931682.613386862</v>
      </c>
      <c r="D6" s="35">
        <f>C6*'Class Revenue'!F19</f>
        <v>4406886.026382137</v>
      </c>
      <c r="E6" s="35">
        <f>C6*'Class Revenue'!G19</f>
        <v>2524796.587004725</v>
      </c>
      <c r="F6" s="15">
        <f>D6/'Rates &amp; Forecast'!F6/12</f>
        <v>20.94089651585285</v>
      </c>
      <c r="G6" s="66">
        <f>E6/'Rates &amp; Forecast'!G6</f>
        <v>0.01751797617176463</v>
      </c>
      <c r="H6" s="9"/>
      <c r="I6" s="9"/>
    </row>
    <row r="7" spans="2:9" ht="14.25">
      <c r="B7" s="26" t="s">
        <v>11</v>
      </c>
      <c r="C7" s="35">
        <f>'RC Ratio Adjustment'!G7</f>
        <v>1709984.4524098865</v>
      </c>
      <c r="D7" s="35">
        <f>C7*'Class Revenue'!F20</f>
        <v>463679.1213423265</v>
      </c>
      <c r="E7" s="35">
        <f>C7*'Class Revenue'!G20</f>
        <v>1246305.33106756</v>
      </c>
      <c r="F7" s="15">
        <f>D7/'Rates &amp; Forecast'!F7/12</f>
        <v>23.66192699236204</v>
      </c>
      <c r="G7" s="66">
        <f>E7/'Rates &amp; Forecast'!G7</f>
        <v>0.02548901573057111</v>
      </c>
      <c r="H7" s="9"/>
      <c r="I7" s="9"/>
    </row>
    <row r="8" spans="2:9" ht="14.25">
      <c r="B8" s="26" t="s">
        <v>12</v>
      </c>
      <c r="C8" s="35">
        <f>'RC Ratio Adjustment'!G8</f>
        <v>3129773.293999999</v>
      </c>
      <c r="D8" s="35">
        <f>C8*'Class Revenue'!F21</f>
        <v>249844.37499458782</v>
      </c>
      <c r="E8" s="35">
        <f>C8*'Class Revenue'!G21</f>
        <v>2879928.919005411</v>
      </c>
      <c r="F8" s="15">
        <f>D8/'Rates &amp; Forecast'!F8/12</f>
        <v>139.73399048914308</v>
      </c>
      <c r="G8" s="66">
        <f>E8/'Rates &amp; Forecast'!H8</f>
        <v>7.584708321276715</v>
      </c>
      <c r="H8" s="9"/>
      <c r="I8" s="9"/>
    </row>
    <row r="9" spans="2:9" ht="14.25">
      <c r="B9" s="26" t="s">
        <v>13</v>
      </c>
      <c r="C9" s="35">
        <f>'RC Ratio Adjustment'!G9</f>
        <v>50359.26519999998</v>
      </c>
      <c r="D9" s="35">
        <f>C9*'Class Revenue'!F22</f>
        <v>17615.3284243164</v>
      </c>
      <c r="E9" s="35">
        <f>C9*'Class Revenue'!G22</f>
        <v>32743.936775683575</v>
      </c>
      <c r="F9" s="15">
        <f>D9/'Rates &amp; Forecast'!F9/12</f>
        <v>58.71776141438801</v>
      </c>
      <c r="G9" s="66">
        <f>E9/'Rates &amp; Forecast'!G9</f>
        <v>0.03460887036412481</v>
      </c>
      <c r="H9" s="9"/>
      <c r="I9" s="9"/>
    </row>
    <row r="10" spans="2:9" ht="14.25">
      <c r="B10" s="26" t="s">
        <v>2</v>
      </c>
      <c r="C10" s="35">
        <f>'RC Ratio Adjustment'!G10</f>
        <v>58243.559002821916</v>
      </c>
      <c r="D10" s="35">
        <f>C10*'Class Revenue'!F23</f>
        <v>47190.318610277194</v>
      </c>
      <c r="E10" s="35">
        <f>C10*'Class Revenue'!G23</f>
        <v>11053.240392544722</v>
      </c>
      <c r="F10" s="15">
        <f>D10/'Rates &amp; Forecast'!F10/12</f>
        <v>4.274485381365688</v>
      </c>
      <c r="G10" s="66">
        <f>E10/'Rates &amp; Forecast'!H10</f>
        <v>4.8183262391215</v>
      </c>
      <c r="H10" s="9"/>
      <c r="I10" s="9"/>
    </row>
    <row r="11" spans="2:9" ht="14.25">
      <c r="B11" s="26" t="s">
        <v>1</v>
      </c>
      <c r="C11" s="35">
        <f>'RC Ratio Adjustment'!G11</f>
        <v>327853.8160004279</v>
      </c>
      <c r="D11" s="35">
        <f>C11*'Class Revenue'!F24</f>
        <v>245130.99514407362</v>
      </c>
      <c r="E11" s="35">
        <f>C11*'Class Revenue'!G24</f>
        <v>82722.82085635427</v>
      </c>
      <c r="F11" s="15">
        <f>D11/'Rates &amp; Forecast'!F11/12</f>
        <v>5.526943433082468</v>
      </c>
      <c r="G11" s="66">
        <f>E11/'Rates &amp; Forecast'!H11</f>
        <v>10.785243918690258</v>
      </c>
      <c r="H11" s="9"/>
      <c r="I11" s="9"/>
    </row>
    <row r="12" spans="2:7" ht="7.5" customHeight="1">
      <c r="B12" s="27"/>
      <c r="C12" s="28"/>
      <c r="D12" s="28"/>
      <c r="E12" s="28"/>
      <c r="F12" s="28"/>
      <c r="G12" s="22"/>
    </row>
    <row r="13" spans="2:7" ht="15" thickBot="1">
      <c r="B13" s="29" t="s">
        <v>27</v>
      </c>
      <c r="C13" s="54">
        <f>SUM(C6:C11)</f>
        <v>12207896.999999998</v>
      </c>
      <c r="D13" s="54">
        <f>SUM(D6:D11)</f>
        <v>5430346.164897719</v>
      </c>
      <c r="E13" s="54">
        <f>SUM(E6:E11)</f>
        <v>6777550.835102278</v>
      </c>
      <c r="F13" s="30"/>
      <c r="G13" s="55"/>
    </row>
    <row r="15" spans="2:5" ht="14.25">
      <c r="B15" t="s">
        <v>46</v>
      </c>
      <c r="D15" s="10">
        <f>'Rates &amp; Forecast'!D13*'Rates &amp; Forecast'!H13</f>
        <v>105984.59999999999</v>
      </c>
      <c r="E15" t="s">
        <v>48</v>
      </c>
    </row>
    <row r="16" ht="15" thickBot="1">
      <c r="D16" s="10"/>
    </row>
    <row r="17" spans="2:7" ht="15">
      <c r="B17" s="129" t="s">
        <v>55</v>
      </c>
      <c r="C17" s="130"/>
      <c r="D17" s="130"/>
      <c r="E17" s="130"/>
      <c r="F17" s="130"/>
      <c r="G17" s="131"/>
    </row>
    <row r="18" spans="2:7" ht="7.5" customHeight="1">
      <c r="B18" s="27"/>
      <c r="C18" s="28"/>
      <c r="D18" s="28"/>
      <c r="E18" s="28"/>
      <c r="F18" s="28"/>
      <c r="G18" s="22"/>
    </row>
    <row r="19" spans="2:7" ht="57">
      <c r="B19" s="52" t="s">
        <v>18</v>
      </c>
      <c r="C19" s="34" t="s">
        <v>49</v>
      </c>
      <c r="D19" s="34" t="s">
        <v>42</v>
      </c>
      <c r="E19" s="34" t="s">
        <v>43</v>
      </c>
      <c r="F19" s="34" t="s">
        <v>44</v>
      </c>
      <c r="G19" s="38" t="s">
        <v>7</v>
      </c>
    </row>
    <row r="20" spans="2:7" ht="14.25">
      <c r="B20" s="26" t="s">
        <v>0</v>
      </c>
      <c r="C20" s="35">
        <f>C6</f>
        <v>6931682.613386862</v>
      </c>
      <c r="D20" s="35">
        <f>C20*'Class Revenue'!F19</f>
        <v>4406886.026382137</v>
      </c>
      <c r="E20" s="35">
        <f>C20*'Class Revenue'!G19</f>
        <v>2524796.587004725</v>
      </c>
      <c r="F20" s="15">
        <f>D20/'Rates &amp; Forecast'!F6/12</f>
        <v>20.94089651585285</v>
      </c>
      <c r="G20" s="66">
        <f>E20/'Rates &amp; Forecast'!G6</f>
        <v>0.01751797617176463</v>
      </c>
    </row>
    <row r="21" spans="2:7" ht="14.25">
      <c r="B21" s="26" t="s">
        <v>11</v>
      </c>
      <c r="C21" s="35">
        <f>C7</f>
        <v>1709984.4524098865</v>
      </c>
      <c r="D21" s="35">
        <f>C21*'Class Revenue'!F20</f>
        <v>463679.1213423265</v>
      </c>
      <c r="E21" s="35">
        <f>C21*'Class Revenue'!G20</f>
        <v>1246305.33106756</v>
      </c>
      <c r="F21" s="15">
        <f>D21/'Rates &amp; Forecast'!F7/12</f>
        <v>23.66192699236204</v>
      </c>
      <c r="G21" s="66">
        <f>E21/'Rates &amp; Forecast'!G7</f>
        <v>0.02548901573057111</v>
      </c>
    </row>
    <row r="22" spans="2:7" ht="14.25">
      <c r="B22" s="26" t="s">
        <v>12</v>
      </c>
      <c r="C22" s="65">
        <f>C8+D15</f>
        <v>3235757.893999999</v>
      </c>
      <c r="D22" s="35">
        <f>C22*'Class Revenue'!F21</f>
        <v>258304.94183398632</v>
      </c>
      <c r="E22" s="35">
        <f>C22*'Class Revenue'!G21</f>
        <v>2977452.9521660125</v>
      </c>
      <c r="F22" s="15">
        <f>D22/'Rates &amp; Forecast'!F8/12</f>
        <v>144.46585113757624</v>
      </c>
      <c r="G22" s="66">
        <f>E22/'Rates &amp; Forecast'!H8</f>
        <v>7.841551933268754</v>
      </c>
    </row>
    <row r="23" spans="2:7" ht="14.25">
      <c r="B23" s="26" t="s">
        <v>13</v>
      </c>
      <c r="C23" s="35">
        <f>C9</f>
        <v>50359.26519999998</v>
      </c>
      <c r="D23" s="35">
        <f>C23*'Class Revenue'!F22</f>
        <v>17615.3284243164</v>
      </c>
      <c r="E23" s="35">
        <f>C23*'Class Revenue'!G22</f>
        <v>32743.936775683575</v>
      </c>
      <c r="F23" s="15">
        <f>D23/'Rates &amp; Forecast'!F9/12</f>
        <v>58.71776141438801</v>
      </c>
      <c r="G23" s="66">
        <f>E23/'Rates &amp; Forecast'!G9</f>
        <v>0.03460887036412481</v>
      </c>
    </row>
    <row r="24" spans="2:7" ht="14.25">
      <c r="B24" s="26" t="s">
        <v>2</v>
      </c>
      <c r="C24" s="35">
        <f>C10</f>
        <v>58243.559002821916</v>
      </c>
      <c r="D24" s="35">
        <f>C24*'Class Revenue'!F23</f>
        <v>47190.318610277194</v>
      </c>
      <c r="E24" s="35">
        <f>C24*'Class Revenue'!G23</f>
        <v>11053.240392544722</v>
      </c>
      <c r="F24" s="15">
        <f>D24/'Rates &amp; Forecast'!F10/12</f>
        <v>4.274485381365688</v>
      </c>
      <c r="G24" s="66">
        <f>E24/'Rates &amp; Forecast'!H10</f>
        <v>4.8183262391215</v>
      </c>
    </row>
    <row r="25" spans="2:7" ht="14.25">
      <c r="B25" s="26" t="s">
        <v>1</v>
      </c>
      <c r="C25" s="35">
        <f>C11</f>
        <v>327853.8160004279</v>
      </c>
      <c r="D25" s="35">
        <f>C25*'Class Revenue'!F24</f>
        <v>245130.99514407362</v>
      </c>
      <c r="E25" s="35">
        <f>C25*'Class Revenue'!G24</f>
        <v>82722.82085635427</v>
      </c>
      <c r="F25" s="15">
        <f>D25/'Rates &amp; Forecast'!F11/12</f>
        <v>5.526943433082468</v>
      </c>
      <c r="G25" s="66">
        <f>E25/'Rates &amp; Forecast'!H11</f>
        <v>10.785243918690258</v>
      </c>
    </row>
    <row r="26" spans="2:7" ht="7.5" customHeight="1">
      <c r="B26" s="27"/>
      <c r="C26" s="28"/>
      <c r="D26" s="28"/>
      <c r="E26" s="28"/>
      <c r="F26" s="28"/>
      <c r="G26" s="22"/>
    </row>
    <row r="27" spans="2:7" ht="15" thickBot="1">
      <c r="B27" s="29" t="s">
        <v>27</v>
      </c>
      <c r="C27" s="54">
        <f>SUM(C20:C25)</f>
        <v>12313881.599999998</v>
      </c>
      <c r="D27" s="54">
        <f>SUM(D20:D25)</f>
        <v>5438806.731737117</v>
      </c>
      <c r="E27" s="54">
        <f>SUM(E20:E25)</f>
        <v>6875074.86826288</v>
      </c>
      <c r="F27" s="30"/>
      <c r="G27" s="55"/>
    </row>
  </sheetData>
  <sheetProtection/>
  <mergeCells count="2">
    <mergeCell ref="B3:G3"/>
    <mergeCell ref="B17:G17"/>
  </mergeCells>
  <printOptions/>
  <pageMargins left="0.7" right="0.7" top="0.75" bottom="0.75" header="0.3" footer="0.3"/>
  <pageSetup fitToHeight="1" fitToWidth="1" horizontalDpi="600" verticalDpi="600" orientation="portrait" scale="98" r:id="rId1"/>
  <ignoredErrors>
    <ignoredError sqref="C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7"/>
  <sheetViews>
    <sheetView showGridLines="0" zoomScalePageLayoutView="0" workbookViewId="0" topLeftCell="A1">
      <selection activeCell="B3" sqref="B3:G12"/>
    </sheetView>
  </sheetViews>
  <sheetFormatPr defaultColWidth="9.00390625" defaultRowHeight="14.25"/>
  <cols>
    <col min="1" max="1" width="3.25390625" style="0" customWidth="1"/>
    <col min="2" max="2" width="19.375" style="0" customWidth="1"/>
    <col min="3" max="4" width="12.25390625" style="0" customWidth="1"/>
    <col min="5" max="5" width="1.4921875" style="0" customWidth="1"/>
  </cols>
  <sheetData>
    <row r="2" ht="15" thickBot="1"/>
    <row r="3" spans="2:7" ht="15">
      <c r="B3" s="126" t="s">
        <v>62</v>
      </c>
      <c r="C3" s="127"/>
      <c r="D3" s="127"/>
      <c r="E3" s="127"/>
      <c r="F3" s="127"/>
      <c r="G3" s="128"/>
    </row>
    <row r="4" spans="2:7" ht="7.5" customHeight="1">
      <c r="B4" s="27"/>
      <c r="C4" s="28"/>
      <c r="D4" s="28"/>
      <c r="E4" s="28"/>
      <c r="F4" s="28"/>
      <c r="G4" s="22"/>
    </row>
    <row r="5" spans="2:7" ht="71.25">
      <c r="B5" s="142" t="s">
        <v>18</v>
      </c>
      <c r="C5" s="13" t="s">
        <v>57</v>
      </c>
      <c r="D5" s="13" t="s">
        <v>58</v>
      </c>
      <c r="E5" s="17"/>
      <c r="F5" s="13" t="s">
        <v>60</v>
      </c>
      <c r="G5" s="24" t="s">
        <v>61</v>
      </c>
    </row>
    <row r="6" spans="2:7" ht="14.25">
      <c r="B6" s="142"/>
      <c r="C6" s="42" t="s">
        <v>56</v>
      </c>
      <c r="D6" s="42" t="s">
        <v>59</v>
      </c>
      <c r="E6" s="17"/>
      <c r="F6" s="17"/>
      <c r="G6" s="53"/>
    </row>
    <row r="7" spans="2:7" ht="14.25">
      <c r="B7" s="26" t="s">
        <v>0</v>
      </c>
      <c r="C7" s="15">
        <v>4.92</v>
      </c>
      <c r="D7" s="15">
        <v>24.78</v>
      </c>
      <c r="E7" s="17"/>
      <c r="F7" s="15">
        <f>'2013 Rate Design'!F20</f>
        <v>20.94089651585285</v>
      </c>
      <c r="G7" s="67" t="b">
        <f>AND((C7&lt;F7),(D7&gt;F7))</f>
        <v>1</v>
      </c>
    </row>
    <row r="8" spans="2:7" ht="14.25">
      <c r="B8" s="26" t="s">
        <v>11</v>
      </c>
      <c r="C8" s="15">
        <v>10.56</v>
      </c>
      <c r="D8" s="15">
        <v>36.73</v>
      </c>
      <c r="E8" s="17"/>
      <c r="F8" s="15">
        <f>'2013 Rate Design'!F21</f>
        <v>23.66192699236204</v>
      </c>
      <c r="G8" s="67" t="b">
        <f>AND((C8&lt;F8),(D8&gt;F8))</f>
        <v>1</v>
      </c>
    </row>
    <row r="9" spans="2:7" ht="14.25">
      <c r="B9" s="26" t="s">
        <v>12</v>
      </c>
      <c r="C9" s="15">
        <v>32.29</v>
      </c>
      <c r="D9" s="15">
        <v>123.77</v>
      </c>
      <c r="E9" s="17"/>
      <c r="F9" s="15">
        <f>'2013 Rate Design'!F22</f>
        <v>144.46585113757624</v>
      </c>
      <c r="G9" s="67" t="b">
        <f>AND((C9&lt;F9),(D9&gt;F9))</f>
        <v>0</v>
      </c>
    </row>
    <row r="10" spans="2:7" ht="14.25">
      <c r="B10" s="26" t="s">
        <v>13</v>
      </c>
      <c r="C10" s="15">
        <v>0.36</v>
      </c>
      <c r="D10" s="15">
        <v>12.78</v>
      </c>
      <c r="E10" s="17"/>
      <c r="F10" s="15">
        <f>'2013 Rate Design'!F23</f>
        <v>58.71776141438801</v>
      </c>
      <c r="G10" s="67" t="b">
        <f>AND((C10&lt;F10),(D10&gt;F10))</f>
        <v>0</v>
      </c>
    </row>
    <row r="11" spans="2:7" ht="14.25">
      <c r="B11" s="26" t="s">
        <v>2</v>
      </c>
      <c r="C11" s="15">
        <v>0.21</v>
      </c>
      <c r="D11" s="15">
        <v>10.88</v>
      </c>
      <c r="E11" s="17"/>
      <c r="F11" s="15">
        <f>'2013 Rate Design'!F24</f>
        <v>4.274485381365688</v>
      </c>
      <c r="G11" s="67" t="b">
        <f>AND((C11&lt;F11),(D11&gt;F11))</f>
        <v>1</v>
      </c>
    </row>
    <row r="12" spans="2:7" ht="15" thickBot="1">
      <c r="B12" s="29" t="s">
        <v>1</v>
      </c>
      <c r="C12" s="31">
        <v>0.02</v>
      </c>
      <c r="D12" s="31">
        <v>11.98</v>
      </c>
      <c r="E12" s="30"/>
      <c r="F12" s="31">
        <f>'2013 Rate Design'!F25</f>
        <v>5.526943433082468</v>
      </c>
      <c r="G12" s="68" t="b">
        <f>AND((C12&lt;F12),(D12&gt;F12))</f>
        <v>1</v>
      </c>
    </row>
    <row r="15" spans="2:7" ht="42" customHeight="1">
      <c r="B15" s="141" t="s">
        <v>63</v>
      </c>
      <c r="C15" s="141"/>
      <c r="D15" s="141"/>
      <c r="E15" s="141"/>
      <c r="F15" s="141"/>
      <c r="G15" s="141"/>
    </row>
    <row r="16" spans="2:7" ht="7.5" customHeight="1">
      <c r="B16" s="12"/>
      <c r="C16" s="12"/>
      <c r="D16" s="12"/>
      <c r="E16" s="12"/>
      <c r="F16" s="12"/>
      <c r="G16" s="12"/>
    </row>
    <row r="17" spans="2:7" ht="42" customHeight="1">
      <c r="B17" s="141" t="s">
        <v>72</v>
      </c>
      <c r="C17" s="141"/>
      <c r="D17" s="141"/>
      <c r="E17" s="141"/>
      <c r="F17" s="141"/>
      <c r="G17" s="141"/>
    </row>
  </sheetData>
  <sheetProtection/>
  <mergeCells count="4">
    <mergeCell ref="B5:B6"/>
    <mergeCell ref="B3:G3"/>
    <mergeCell ref="B15:G15"/>
    <mergeCell ref="B17:G1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7"/>
  <sheetViews>
    <sheetView showGridLines="0" zoomScalePageLayoutView="0" workbookViewId="0" topLeftCell="A1">
      <selection activeCell="I26" sqref="I26"/>
    </sheetView>
  </sheetViews>
  <sheetFormatPr defaultColWidth="9.00390625" defaultRowHeight="14.25"/>
  <cols>
    <col min="1" max="1" width="2.125" style="0" customWidth="1"/>
    <col min="2" max="2" width="19.125" style="0" customWidth="1"/>
    <col min="3" max="3" width="12.125" style="0" bestFit="1" customWidth="1"/>
    <col min="4" max="4" width="14.125" style="0" bestFit="1" customWidth="1"/>
    <col min="5" max="5" width="10.375" style="0" bestFit="1" customWidth="1"/>
    <col min="6" max="6" width="12.625" style="0" bestFit="1" customWidth="1"/>
    <col min="7" max="7" width="10.375" style="0" bestFit="1" customWidth="1"/>
    <col min="8" max="9" width="12.625" style="0" bestFit="1" customWidth="1"/>
  </cols>
  <sheetData>
    <row r="2" ht="15" thickBot="1"/>
    <row r="3" spans="2:9" ht="15">
      <c r="B3" s="126" t="s">
        <v>69</v>
      </c>
      <c r="C3" s="127"/>
      <c r="D3" s="127"/>
      <c r="E3" s="127"/>
      <c r="F3" s="127"/>
      <c r="G3" s="127"/>
      <c r="H3" s="127"/>
      <c r="I3" s="128"/>
    </row>
    <row r="4" spans="2:9" ht="7.5" customHeight="1">
      <c r="B4" s="27"/>
      <c r="C4" s="28"/>
      <c r="D4" s="28"/>
      <c r="E4" s="28"/>
      <c r="F4" s="28"/>
      <c r="G4" s="28"/>
      <c r="H4" s="28"/>
      <c r="I4" s="22"/>
    </row>
    <row r="5" spans="2:9" ht="57">
      <c r="B5" s="52" t="s">
        <v>18</v>
      </c>
      <c r="C5" s="34" t="s">
        <v>49</v>
      </c>
      <c r="D5" s="34" t="s">
        <v>42</v>
      </c>
      <c r="E5" s="34" t="s">
        <v>70</v>
      </c>
      <c r="F5" s="34" t="s">
        <v>43</v>
      </c>
      <c r="G5" s="34" t="s">
        <v>71</v>
      </c>
      <c r="H5" s="34" t="s">
        <v>73</v>
      </c>
      <c r="I5" s="38" t="s">
        <v>74</v>
      </c>
    </row>
    <row r="6" spans="2:9" ht="14.25">
      <c r="B6" s="26" t="s">
        <v>0</v>
      </c>
      <c r="C6" s="65">
        <v>6931682.613386862</v>
      </c>
      <c r="D6" s="65">
        <v>4208879.999999997</v>
      </c>
      <c r="E6" s="51">
        <f>D6/C6</f>
        <v>0.607194563679469</v>
      </c>
      <c r="F6" s="69">
        <f>G6*C6</f>
        <v>2722802.613386865</v>
      </c>
      <c r="G6" s="51">
        <f>1-E6</f>
        <v>0.392805436320531</v>
      </c>
      <c r="H6" s="70">
        <f>D6/'Rates &amp; Forecast'!F6/12</f>
        <v>19.999999999999986</v>
      </c>
      <c r="I6" s="72">
        <f>F6/'Rates &amp; Forecast'!G6</f>
        <v>0.018891815501982975</v>
      </c>
    </row>
    <row r="7" spans="2:9" ht="14.25">
      <c r="B7" s="26" t="s">
        <v>11</v>
      </c>
      <c r="C7" s="65">
        <v>1709984.4524098865</v>
      </c>
      <c r="D7" s="65">
        <v>483237.36000000004</v>
      </c>
      <c r="E7" s="51">
        <f>D7/C7</f>
        <v>0.28259751678968315</v>
      </c>
      <c r="F7" s="69">
        <f>G7*C7</f>
        <v>1226747.0924098864</v>
      </c>
      <c r="G7" s="51">
        <f>1-E7</f>
        <v>0.7174024832103169</v>
      </c>
      <c r="H7" s="70">
        <f>D7/'Rates &amp; Forecast'!F7/12</f>
        <v>24.66</v>
      </c>
      <c r="I7" s="72">
        <f>F7/'Rates &amp; Forecast'!G7</f>
        <v>0.025089017238724264</v>
      </c>
    </row>
    <row r="8" spans="2:9" ht="14.25">
      <c r="B8" s="26" t="s">
        <v>12</v>
      </c>
      <c r="C8" s="65">
        <v>3235757.893999999</v>
      </c>
      <c r="D8" s="65">
        <v>239019.84000000008</v>
      </c>
      <c r="E8" s="51">
        <f>D8/C8</f>
        <v>0.07386827068959942</v>
      </c>
      <c r="F8" s="69">
        <f>G8*C8</f>
        <v>2996738.0539999986</v>
      </c>
      <c r="G8" s="51">
        <f>1-E8</f>
        <v>0.9261317293104006</v>
      </c>
      <c r="H8" s="122">
        <f>D8/'Rates &amp; Forecast'!F8/12</f>
        <v>133.68000000000004</v>
      </c>
      <c r="I8" s="72">
        <f>F8/'Rates &amp; Forecast'!H8</f>
        <v>7.892342031382501</v>
      </c>
    </row>
    <row r="9" spans="2:9" ht="14.25">
      <c r="B9" s="26" t="s">
        <v>13</v>
      </c>
      <c r="C9" s="65">
        <v>50359.26519999998</v>
      </c>
      <c r="D9" s="65">
        <v>16866</v>
      </c>
      <c r="E9" s="51">
        <f>D9/C9</f>
        <v>0.33491354436998433</v>
      </c>
      <c r="F9" s="69">
        <f>G9*C9</f>
        <v>33493.26519999998</v>
      </c>
      <c r="G9" s="51">
        <f>1-E9</f>
        <v>0.6650864556300157</v>
      </c>
      <c r="H9" s="70">
        <f>D9/'Rates &amp; Forecast'!F9/12</f>
        <v>56.22</v>
      </c>
      <c r="I9" s="72">
        <f>F9/'Rates &amp; Forecast'!G9</f>
        <v>0.03540087684993561</v>
      </c>
    </row>
    <row r="10" spans="2:9" ht="14.25">
      <c r="B10" s="26" t="s">
        <v>2</v>
      </c>
      <c r="C10" s="65">
        <v>58243.559002821916</v>
      </c>
      <c r="D10" s="65">
        <v>47190.318610277194</v>
      </c>
      <c r="E10" s="51">
        <f>D10/C10</f>
        <v>0.8102238156152307</v>
      </c>
      <c r="F10" s="69">
        <f>G10*C10</f>
        <v>11053.240392544722</v>
      </c>
      <c r="G10" s="51">
        <f>1-E10</f>
        <v>0.1897761843847693</v>
      </c>
      <c r="H10" s="70">
        <f>D10/'Rates &amp; Forecast'!F10/12</f>
        <v>4.274485381365688</v>
      </c>
      <c r="I10" s="72">
        <f>F10/'Rates &amp; Forecast'!H10</f>
        <v>4.8183262391215</v>
      </c>
    </row>
    <row r="11" spans="2:9" ht="14.25">
      <c r="B11" s="26" t="s">
        <v>1</v>
      </c>
      <c r="C11" s="65">
        <v>327853.8160004279</v>
      </c>
      <c r="D11" s="65">
        <v>245130.99514407362</v>
      </c>
      <c r="E11" s="51">
        <f>D11/C11</f>
        <v>0.7476838248658777</v>
      </c>
      <c r="F11" s="69">
        <f>G11*C11</f>
        <v>82722.82085635427</v>
      </c>
      <c r="G11" s="51">
        <f>1-E11</f>
        <v>0.2523161751341223</v>
      </c>
      <c r="H11" s="70">
        <f>D11/'Rates &amp; Forecast'!F11/12</f>
        <v>5.526943433082468</v>
      </c>
      <c r="I11" s="72">
        <f>F11/'Rates &amp; Forecast'!H11</f>
        <v>10.785243918690258</v>
      </c>
    </row>
    <row r="12" spans="2:9" ht="7.5" customHeight="1">
      <c r="B12" s="27"/>
      <c r="C12" s="28"/>
      <c r="D12" s="28"/>
      <c r="E12" s="28"/>
      <c r="F12" s="28"/>
      <c r="G12" s="28"/>
      <c r="H12" s="28"/>
      <c r="I12" s="22"/>
    </row>
    <row r="13" spans="2:9" ht="15" thickBot="1">
      <c r="B13" s="29" t="s">
        <v>27</v>
      </c>
      <c r="C13" s="54">
        <f>SUM(C6:C11)</f>
        <v>12313881.599999998</v>
      </c>
      <c r="D13" s="54">
        <f>SUM(D6:D11)</f>
        <v>5240324.513754348</v>
      </c>
      <c r="E13" s="30"/>
      <c r="F13" s="54">
        <f>SUM(F6:F11)</f>
        <v>7073557.086245649</v>
      </c>
      <c r="G13" s="73"/>
      <c r="H13" s="30"/>
      <c r="I13" s="55"/>
    </row>
    <row r="14" spans="2:9" ht="7.5" customHeight="1">
      <c r="B14" s="28"/>
      <c r="C14" s="74"/>
      <c r="D14" s="74"/>
      <c r="E14" s="28"/>
      <c r="F14" s="74"/>
      <c r="G14" s="47"/>
      <c r="H14" s="28"/>
      <c r="I14" s="28"/>
    </row>
    <row r="15" spans="2:7" ht="15">
      <c r="B15" s="76" t="s">
        <v>65</v>
      </c>
      <c r="C15" s="75" t="str">
        <f>IF(C13=D13+F13,"YES","NO")</f>
        <v>YES</v>
      </c>
      <c r="D15" s="6"/>
      <c r="F15" s="6"/>
      <c r="G15" s="6"/>
    </row>
    <row r="17" spans="2:6" ht="14.25">
      <c r="B17" s="143" t="s">
        <v>64</v>
      </c>
      <c r="C17" s="143"/>
      <c r="D17" s="143"/>
      <c r="E17" s="143"/>
      <c r="F17" s="143"/>
    </row>
  </sheetData>
  <sheetProtection/>
  <mergeCells count="2">
    <mergeCell ref="B3:I3"/>
    <mergeCell ref="B17:F17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"/>
  <sheetViews>
    <sheetView showGridLines="0" zoomScalePageLayoutView="0" workbookViewId="0" topLeftCell="A1">
      <selection activeCell="K29" sqref="K29"/>
    </sheetView>
  </sheetViews>
  <sheetFormatPr defaultColWidth="9.00390625" defaultRowHeight="14.25"/>
  <cols>
    <col min="1" max="1" width="2.50390625" style="0" customWidth="1"/>
    <col min="2" max="2" width="19.125" style="0" customWidth="1"/>
    <col min="3" max="3" width="11.00390625" style="0" customWidth="1"/>
    <col min="4" max="4" width="9.875" style="0" customWidth="1"/>
    <col min="5" max="5" width="1.625" style="0" customWidth="1"/>
    <col min="6" max="6" width="11.00390625" style="0" customWidth="1"/>
    <col min="7" max="7" width="9.875" style="0" customWidth="1"/>
    <col min="8" max="8" width="1.625" style="0" customWidth="1"/>
    <col min="9" max="9" width="11.00390625" style="0" customWidth="1"/>
    <col min="10" max="10" width="9.875" style="0" customWidth="1"/>
  </cols>
  <sheetData>
    <row r="1" ht="15" thickBot="1"/>
    <row r="2" spans="2:10" ht="15">
      <c r="B2" s="126" t="s">
        <v>66</v>
      </c>
      <c r="C2" s="127"/>
      <c r="D2" s="127"/>
      <c r="E2" s="127"/>
      <c r="F2" s="127"/>
      <c r="G2" s="127"/>
      <c r="H2" s="127"/>
      <c r="I2" s="127"/>
      <c r="J2" s="128"/>
    </row>
    <row r="3" spans="2:10" ht="7.5" customHeight="1">
      <c r="B3" s="27"/>
      <c r="C3" s="28"/>
      <c r="D3" s="28"/>
      <c r="E3" s="28"/>
      <c r="F3" s="28"/>
      <c r="G3" s="28"/>
      <c r="H3" s="28"/>
      <c r="I3" s="28"/>
      <c r="J3" s="22"/>
    </row>
    <row r="4" spans="2:10" ht="14.25">
      <c r="B4" s="142" t="s">
        <v>18</v>
      </c>
      <c r="C4" s="144" t="s">
        <v>50</v>
      </c>
      <c r="D4" s="144"/>
      <c r="E4" s="17"/>
      <c r="F4" s="144" t="s">
        <v>51</v>
      </c>
      <c r="G4" s="144"/>
      <c r="H4" s="17"/>
      <c r="I4" s="144" t="s">
        <v>52</v>
      </c>
      <c r="J4" s="145"/>
    </row>
    <row r="5" spans="2:10" ht="28.5">
      <c r="B5" s="142"/>
      <c r="C5" s="13" t="s">
        <v>3</v>
      </c>
      <c r="D5" s="13" t="s">
        <v>4</v>
      </c>
      <c r="E5" s="17"/>
      <c r="F5" s="13" t="s">
        <v>3</v>
      </c>
      <c r="G5" s="13" t="s">
        <v>4</v>
      </c>
      <c r="H5" s="17"/>
      <c r="I5" s="13" t="s">
        <v>3</v>
      </c>
      <c r="J5" s="24" t="s">
        <v>4</v>
      </c>
    </row>
    <row r="6" spans="2:10" ht="14.25">
      <c r="B6" s="26" t="s">
        <v>0</v>
      </c>
      <c r="C6" s="70">
        <f>'Rates &amp; Forecast'!C6</f>
        <v>18.17</v>
      </c>
      <c r="D6" s="71">
        <f>'Rates &amp; Forecast'!D6</f>
        <v>0.0152</v>
      </c>
      <c r="E6" s="17"/>
      <c r="F6" s="70">
        <f>'Ajustment to F_V Split'!H6</f>
        <v>19.999999999999986</v>
      </c>
      <c r="G6" s="71">
        <f>'Ajustment to F_V Split'!I6</f>
        <v>0.018891815501982975</v>
      </c>
      <c r="H6" s="17"/>
      <c r="I6" s="36">
        <f>(F6-C6)/C6</f>
        <v>0.1007154650522831</v>
      </c>
      <c r="J6" s="39">
        <f>(G6-D6)/D6</f>
        <v>0.24288259881466942</v>
      </c>
    </row>
    <row r="7" spans="2:10" ht="14.25">
      <c r="B7" s="26" t="s">
        <v>11</v>
      </c>
      <c r="C7" s="70">
        <f>'Rates &amp; Forecast'!C7</f>
        <v>20.98</v>
      </c>
      <c r="D7" s="71">
        <f>'Rates &amp; Forecast'!D7</f>
        <v>0.0226</v>
      </c>
      <c r="E7" s="17"/>
      <c r="F7" s="70">
        <f>'Ajustment to F_V Split'!H7</f>
        <v>24.66</v>
      </c>
      <c r="G7" s="71">
        <f>'Ajustment to F_V Split'!I7</f>
        <v>0.025089017238724264</v>
      </c>
      <c r="H7" s="17"/>
      <c r="I7" s="36">
        <f aca="true" t="shared" si="0" ref="I7:J11">(F7-C7)/C7</f>
        <v>0.1754051477597712</v>
      </c>
      <c r="J7" s="39">
        <f t="shared" si="0"/>
        <v>0.11013350613824185</v>
      </c>
    </row>
    <row r="8" spans="2:10" ht="14.25">
      <c r="B8" s="26" t="s">
        <v>12</v>
      </c>
      <c r="C8" s="70">
        <f>'Rates &amp; Forecast'!C8</f>
        <v>133.68</v>
      </c>
      <c r="D8" s="71">
        <f>'Rates &amp; Forecast'!D8</f>
        <v>7.2561</v>
      </c>
      <c r="E8" s="17"/>
      <c r="F8" s="70">
        <f>'Ajustment to F_V Split'!H8</f>
        <v>133.68000000000004</v>
      </c>
      <c r="G8" s="71">
        <f>'Ajustment to F_V Split'!I8</f>
        <v>7.892342031382501</v>
      </c>
      <c r="H8" s="17"/>
      <c r="I8" s="36">
        <f t="shared" si="0"/>
        <v>2.1261003463797133E-16</v>
      </c>
      <c r="J8" s="39">
        <f t="shared" si="0"/>
        <v>0.08768374628002663</v>
      </c>
    </row>
    <row r="9" spans="2:10" ht="14.25">
      <c r="B9" s="26" t="s">
        <v>13</v>
      </c>
      <c r="C9" s="70">
        <f>'Rates &amp; Forecast'!C9</f>
        <v>70.07</v>
      </c>
      <c r="D9" s="71">
        <f>'Rates &amp; Forecast'!D9</f>
        <v>0.0413</v>
      </c>
      <c r="E9" s="17"/>
      <c r="F9" s="70">
        <f>'Ajustment to F_V Split'!H9</f>
        <v>56.22</v>
      </c>
      <c r="G9" s="71">
        <f>'Ajustment to F_V Split'!I9</f>
        <v>0.03540087684993561</v>
      </c>
      <c r="H9" s="17"/>
      <c r="I9" s="36">
        <f t="shared" si="0"/>
        <v>-0.197659483373769</v>
      </c>
      <c r="J9" s="39">
        <f t="shared" si="0"/>
        <v>-0.1428359116238351</v>
      </c>
    </row>
    <row r="10" spans="2:10" ht="14.25">
      <c r="B10" s="26" t="s">
        <v>2</v>
      </c>
      <c r="C10" s="70">
        <f>'Rates &amp; Forecast'!C10</f>
        <v>3.79</v>
      </c>
      <c r="D10" s="71">
        <f>'Rates &amp; Forecast'!D10</f>
        <v>4.2722</v>
      </c>
      <c r="E10" s="17"/>
      <c r="F10" s="70">
        <f>'Ajustment to F_V Split'!H10</f>
        <v>4.274485381365688</v>
      </c>
      <c r="G10" s="71">
        <f>'Ajustment to F_V Split'!I10</f>
        <v>4.8183262391215</v>
      </c>
      <c r="H10" s="17"/>
      <c r="I10" s="36">
        <f t="shared" si="0"/>
        <v>0.12783255445004954</v>
      </c>
      <c r="J10" s="39">
        <f t="shared" si="0"/>
        <v>0.12783255445004926</v>
      </c>
    </row>
    <row r="11" spans="2:10" ht="15" thickBot="1">
      <c r="B11" s="29" t="s">
        <v>1</v>
      </c>
      <c r="C11" s="77">
        <f>'Rates &amp; Forecast'!C11</f>
        <v>4.95</v>
      </c>
      <c r="D11" s="78">
        <f>'Rates &amp; Forecast'!D11</f>
        <v>9.6594</v>
      </c>
      <c r="E11" s="30"/>
      <c r="F11" s="77">
        <f>'Ajustment to F_V Split'!H11</f>
        <v>5.526943433082468</v>
      </c>
      <c r="G11" s="78">
        <f>'Ajustment to F_V Split'!I11</f>
        <v>10.785243918690258</v>
      </c>
      <c r="H11" s="30"/>
      <c r="I11" s="48">
        <f t="shared" si="0"/>
        <v>0.11655422890554902</v>
      </c>
      <c r="J11" s="49">
        <f t="shared" si="0"/>
        <v>0.11655422890554877</v>
      </c>
    </row>
  </sheetData>
  <sheetProtection/>
  <mergeCells count="5">
    <mergeCell ref="C4:D4"/>
    <mergeCell ref="F4:G4"/>
    <mergeCell ref="I4:J4"/>
    <mergeCell ref="B2:J2"/>
    <mergeCell ref="B4:B5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20"/>
  <sheetViews>
    <sheetView showGridLines="0" zoomScalePageLayoutView="0" workbookViewId="0" topLeftCell="A1">
      <selection activeCell="J27" sqref="J27"/>
    </sheetView>
  </sheetViews>
  <sheetFormatPr defaultColWidth="9.00390625" defaultRowHeight="14.25"/>
  <cols>
    <col min="2" max="2" width="17.125" style="0" customWidth="1"/>
    <col min="3" max="3" width="11.125" style="0" customWidth="1"/>
    <col min="4" max="4" width="8.875" style="0" customWidth="1"/>
    <col min="5" max="5" width="12.125" style="0" bestFit="1" customWidth="1"/>
    <col min="6" max="6" width="8.625" style="0" customWidth="1"/>
    <col min="7" max="7" width="8.875" style="0" customWidth="1"/>
    <col min="8" max="8" width="8.50390625" style="0" customWidth="1"/>
    <col min="9" max="9" width="8.75390625" style="0" customWidth="1"/>
    <col min="10" max="10" width="13.875" style="0" customWidth="1"/>
    <col min="11" max="11" width="0.74609375" style="0" customWidth="1"/>
    <col min="12" max="12" width="11.875" style="0" customWidth="1"/>
    <col min="13" max="13" width="10.75390625" style="0" customWidth="1"/>
    <col min="14" max="14" width="10.75390625" style="0" bestFit="1" customWidth="1"/>
    <col min="15" max="15" width="9.00390625" style="0" bestFit="1" customWidth="1"/>
  </cols>
  <sheetData>
    <row r="5" spans="2:15" ht="18">
      <c r="B5" s="148" t="s">
        <v>80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2:15" ht="18">
      <c r="B6" s="148" t="s">
        <v>93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ht="15" thickBot="1"/>
    <row r="8" spans="2:15" ht="15" thickBot="1">
      <c r="B8" s="82" t="s">
        <v>81</v>
      </c>
      <c r="C8" s="149" t="s">
        <v>82</v>
      </c>
      <c r="D8" s="83"/>
      <c r="E8" s="151" t="s">
        <v>83</v>
      </c>
      <c r="F8" s="152"/>
      <c r="G8" s="153" t="s">
        <v>51</v>
      </c>
      <c r="H8" s="151"/>
      <c r="I8" s="152"/>
      <c r="J8" s="149" t="s">
        <v>84</v>
      </c>
      <c r="K8" s="84"/>
      <c r="L8" s="149" t="s">
        <v>85</v>
      </c>
      <c r="M8" s="149" t="s">
        <v>86</v>
      </c>
      <c r="N8" s="149" t="s">
        <v>27</v>
      </c>
      <c r="O8" s="154" t="s">
        <v>87</v>
      </c>
    </row>
    <row r="9" spans="2:15" ht="39" thickBot="1">
      <c r="B9" s="85"/>
      <c r="C9" s="150"/>
      <c r="D9" s="86" t="s">
        <v>88</v>
      </c>
      <c r="E9" s="87" t="s">
        <v>28</v>
      </c>
      <c r="F9" s="88" t="s">
        <v>29</v>
      </c>
      <c r="G9" s="86" t="s">
        <v>89</v>
      </c>
      <c r="H9" s="146" t="s">
        <v>90</v>
      </c>
      <c r="I9" s="147"/>
      <c r="J9" s="150"/>
      <c r="K9" s="89"/>
      <c r="L9" s="150"/>
      <c r="M9" s="150"/>
      <c r="N9" s="150"/>
      <c r="O9" s="155"/>
    </row>
    <row r="10" spans="2:15" ht="14.25">
      <c r="B10" s="90"/>
      <c r="C10" s="90"/>
      <c r="D10" s="90"/>
      <c r="E10" s="90"/>
      <c r="F10" s="91"/>
      <c r="G10" s="90"/>
      <c r="H10" s="92" t="s">
        <v>28</v>
      </c>
      <c r="I10" s="92" t="s">
        <v>29</v>
      </c>
      <c r="J10" s="93"/>
      <c r="K10" s="94"/>
      <c r="L10" s="93"/>
      <c r="M10" s="93"/>
      <c r="N10" s="93"/>
      <c r="O10" s="91"/>
    </row>
    <row r="11" spans="2:15" ht="14.25">
      <c r="B11" s="95"/>
      <c r="C11" s="95"/>
      <c r="D11" s="95"/>
      <c r="E11" s="95"/>
      <c r="F11" s="22"/>
      <c r="G11" s="95"/>
      <c r="H11" s="95"/>
      <c r="I11" s="95"/>
      <c r="J11" s="95"/>
      <c r="K11" s="96"/>
      <c r="L11" s="95"/>
      <c r="M11" s="95"/>
      <c r="N11" s="95"/>
      <c r="O11" s="22"/>
    </row>
    <row r="12" spans="2:15" ht="14.25">
      <c r="B12" s="116" t="s">
        <v>0</v>
      </c>
      <c r="C12" s="116" t="s">
        <v>91</v>
      </c>
      <c r="D12" s="98">
        <f>'Rates &amp; Forecast'!F6</f>
        <v>17537</v>
      </c>
      <c r="E12" s="99">
        <f>'Rates &amp; Forecast'!G6</f>
        <v>144126043</v>
      </c>
      <c r="F12" s="100"/>
      <c r="G12" s="101">
        <f>'Ajustment to F_V Split'!H6</f>
        <v>19.999999999999986</v>
      </c>
      <c r="H12" s="102">
        <f>'Ajustment to F_V Split'!I6</f>
        <v>0.018891815501982975</v>
      </c>
      <c r="I12" s="102"/>
      <c r="J12" s="103">
        <f aca="true" t="shared" si="0" ref="J12:J17">G12*D12*12+H12*E12+I12*F12</f>
        <v>6931682.613386862</v>
      </c>
      <c r="K12" s="96"/>
      <c r="L12" s="104">
        <f>'2013 Rate Design'!C6</f>
        <v>6931682.613386862</v>
      </c>
      <c r="M12" s="104"/>
      <c r="N12" s="105">
        <f aca="true" t="shared" si="1" ref="N12:N17">SUM(L12:M12)</f>
        <v>6931682.613386862</v>
      </c>
      <c r="O12" s="106">
        <f aca="true" t="shared" si="2" ref="O12:O17">N12-J12</f>
        <v>0</v>
      </c>
    </row>
    <row r="13" spans="2:15" ht="14.25">
      <c r="B13" s="116" t="s">
        <v>11</v>
      </c>
      <c r="C13" s="116" t="s">
        <v>91</v>
      </c>
      <c r="D13" s="98">
        <f>'Rates &amp; Forecast'!F7</f>
        <v>1633</v>
      </c>
      <c r="E13" s="99">
        <f>'Rates &amp; Forecast'!G7</f>
        <v>48895781</v>
      </c>
      <c r="F13" s="100"/>
      <c r="G13" s="101">
        <f>'Ajustment to F_V Split'!H7</f>
        <v>24.66</v>
      </c>
      <c r="H13" s="102">
        <f>'Ajustment to F_V Split'!I7</f>
        <v>0.025089017238724264</v>
      </c>
      <c r="I13" s="102"/>
      <c r="J13" s="103">
        <f t="shared" si="0"/>
        <v>1709984.4524098863</v>
      </c>
      <c r="K13" s="96"/>
      <c r="L13" s="104">
        <f>'2013 Rate Design'!C7</f>
        <v>1709984.4524098865</v>
      </c>
      <c r="M13" s="104"/>
      <c r="N13" s="105">
        <f t="shared" si="1"/>
        <v>1709984.4524098865</v>
      </c>
      <c r="O13" s="106">
        <f t="shared" si="2"/>
        <v>0</v>
      </c>
    </row>
    <row r="14" spans="2:15" ht="14.25">
      <c r="B14" s="116" t="s">
        <v>12</v>
      </c>
      <c r="C14" s="116" t="s">
        <v>91</v>
      </c>
      <c r="D14" s="98">
        <f>'Rates &amp; Forecast'!F8</f>
        <v>149</v>
      </c>
      <c r="E14" s="99">
        <f>'Rates &amp; Forecast'!G8</f>
        <v>135605948</v>
      </c>
      <c r="F14" s="100">
        <f>'Rates &amp; Forecast'!H8</f>
        <v>379702</v>
      </c>
      <c r="G14" s="101">
        <f>'Ajustment to F_V Split'!H8</f>
        <v>133.68000000000004</v>
      </c>
      <c r="H14" s="102"/>
      <c r="I14" s="102">
        <f>'Ajustment to F_V Split'!I8</f>
        <v>7.892342031382501</v>
      </c>
      <c r="J14" s="103">
        <f t="shared" si="0"/>
        <v>3235757.8939999985</v>
      </c>
      <c r="K14" s="96"/>
      <c r="L14" s="104">
        <f>'2013 Rate Design'!C8</f>
        <v>3129773.293999999</v>
      </c>
      <c r="M14" s="104">
        <f>'Rates &amp; Forecast'!D13*'Rates &amp; Forecast'!H13</f>
        <v>105984.59999999999</v>
      </c>
      <c r="N14" s="105">
        <f t="shared" si="1"/>
        <v>3235757.893999999</v>
      </c>
      <c r="O14" s="106">
        <f t="shared" si="2"/>
        <v>0</v>
      </c>
    </row>
    <row r="15" spans="2:15" ht="14.25">
      <c r="B15" s="116" t="s">
        <v>13</v>
      </c>
      <c r="C15" s="116" t="s">
        <v>92</v>
      </c>
      <c r="D15" s="98">
        <f>'Rates &amp; Forecast'!F9</f>
        <v>25</v>
      </c>
      <c r="E15" s="99">
        <f>'Rates &amp; Forecast'!G9</f>
        <v>946114</v>
      </c>
      <c r="F15" s="100"/>
      <c r="G15" s="101">
        <f>'Ajustment to F_V Split'!H9</f>
        <v>56.22</v>
      </c>
      <c r="H15" s="102">
        <f>'Ajustment to F_V Split'!I9</f>
        <v>0.03540087684993561</v>
      </c>
      <c r="I15" s="102"/>
      <c r="J15" s="103">
        <f t="shared" si="0"/>
        <v>50359.26519999998</v>
      </c>
      <c r="K15" s="96"/>
      <c r="L15" s="104">
        <f>'2013 Rate Design'!C9</f>
        <v>50359.26519999998</v>
      </c>
      <c r="M15" s="104"/>
      <c r="N15" s="105">
        <f t="shared" si="1"/>
        <v>50359.26519999998</v>
      </c>
      <c r="O15" s="106">
        <f t="shared" si="2"/>
        <v>0</v>
      </c>
    </row>
    <row r="16" spans="2:15" ht="14.25">
      <c r="B16" s="116" t="s">
        <v>2</v>
      </c>
      <c r="C16" s="116" t="s">
        <v>92</v>
      </c>
      <c r="D16" s="98">
        <f>'Rates &amp; Forecast'!F10</f>
        <v>920</v>
      </c>
      <c r="E16" s="99">
        <f>'Rates &amp; Forecast'!G10</f>
        <v>747706</v>
      </c>
      <c r="F16" s="100">
        <f>'Rates &amp; Forecast'!H10</f>
        <v>2294</v>
      </c>
      <c r="G16" s="101">
        <f>'Ajustment to F_V Split'!H10</f>
        <v>4.274485381365688</v>
      </c>
      <c r="H16" s="102"/>
      <c r="I16" s="102">
        <f>'Ajustment to F_V Split'!I10</f>
        <v>4.8183262391215</v>
      </c>
      <c r="J16" s="103">
        <f t="shared" si="0"/>
        <v>58243.55900282191</v>
      </c>
      <c r="K16" s="96"/>
      <c r="L16" s="104">
        <f>'2013 Rate Design'!C10</f>
        <v>58243.559002821916</v>
      </c>
      <c r="M16" s="104"/>
      <c r="N16" s="105">
        <f t="shared" si="1"/>
        <v>58243.559002821916</v>
      </c>
      <c r="O16" s="106">
        <f t="shared" si="2"/>
        <v>0</v>
      </c>
    </row>
    <row r="17" spans="2:15" ht="14.25">
      <c r="B17" s="116" t="s">
        <v>1</v>
      </c>
      <c r="C17" s="116" t="s">
        <v>92</v>
      </c>
      <c r="D17" s="98">
        <f>'Rates &amp; Forecast'!F11</f>
        <v>3696</v>
      </c>
      <c r="E17" s="99">
        <f>'Rates &amp; Forecast'!G11</f>
        <v>2687821</v>
      </c>
      <c r="F17" s="100">
        <f>'Rates &amp; Forecast'!H11</f>
        <v>7670</v>
      </c>
      <c r="G17" s="101">
        <f>'Ajustment to F_V Split'!H11</f>
        <v>5.526943433082468</v>
      </c>
      <c r="H17" s="102"/>
      <c r="I17" s="102">
        <f>'Ajustment to F_V Split'!I11</f>
        <v>10.785243918690258</v>
      </c>
      <c r="J17" s="103">
        <f t="shared" si="0"/>
        <v>327853.8160004279</v>
      </c>
      <c r="K17" s="96"/>
      <c r="L17" s="104">
        <f>'2013 Rate Design'!C11</f>
        <v>327853.8160004279</v>
      </c>
      <c r="M17" s="104"/>
      <c r="N17" s="105">
        <f t="shared" si="1"/>
        <v>327853.8160004279</v>
      </c>
      <c r="O17" s="106">
        <f t="shared" si="2"/>
        <v>0</v>
      </c>
    </row>
    <row r="18" spans="2:15" ht="15" thickBot="1">
      <c r="B18" s="97"/>
      <c r="C18" s="97"/>
      <c r="D18" s="107"/>
      <c r="E18" s="99"/>
      <c r="F18" s="100"/>
      <c r="G18" s="101"/>
      <c r="H18" s="102"/>
      <c r="I18" s="102"/>
      <c r="J18" s="108"/>
      <c r="K18" s="96"/>
      <c r="L18" s="104"/>
      <c r="M18" s="104"/>
      <c r="N18" s="109"/>
      <c r="O18" s="109"/>
    </row>
    <row r="19" spans="2:15" ht="15" thickTop="1">
      <c r="B19" s="95"/>
      <c r="C19" s="95"/>
      <c r="D19" s="95"/>
      <c r="E19" s="97"/>
      <c r="F19" s="110"/>
      <c r="G19" s="97"/>
      <c r="H19" s="97"/>
      <c r="I19" s="97"/>
      <c r="J19" s="111"/>
      <c r="K19" s="96"/>
      <c r="L19" s="112"/>
      <c r="M19" s="112"/>
      <c r="N19" s="95"/>
      <c r="O19" s="22"/>
    </row>
    <row r="20" spans="2:15" ht="15" thickBot="1">
      <c r="B20" s="113" t="s">
        <v>27</v>
      </c>
      <c r="C20" s="114"/>
      <c r="D20" s="117">
        <f>SUM(D12:D17)</f>
        <v>23960</v>
      </c>
      <c r="E20" s="117">
        <f>SUM(E12:E17)</f>
        <v>333009413</v>
      </c>
      <c r="F20" s="117">
        <f>SUM(F12:F17)</f>
        <v>389666</v>
      </c>
      <c r="G20" s="118"/>
      <c r="H20" s="118"/>
      <c r="I20" s="118"/>
      <c r="J20" s="119">
        <f>SUM(J12:J18)</f>
        <v>12313881.599999996</v>
      </c>
      <c r="K20" s="120"/>
      <c r="L20" s="121">
        <f>SUM(L12:L18)</f>
        <v>12207896.999999998</v>
      </c>
      <c r="M20" s="121">
        <f>SUM(M12:M18)</f>
        <v>105984.59999999999</v>
      </c>
      <c r="N20" s="121">
        <f>L20+M20</f>
        <v>12313881.599999998</v>
      </c>
      <c r="O20" s="115">
        <f>N20-J20</f>
        <v>0</v>
      </c>
    </row>
  </sheetData>
  <sheetProtection/>
  <mergeCells count="11">
    <mergeCell ref="H9:I9"/>
    <mergeCell ref="B5:O5"/>
    <mergeCell ref="B6:O6"/>
    <mergeCell ref="C8:C9"/>
    <mergeCell ref="E8:F8"/>
    <mergeCell ref="G8:I8"/>
    <mergeCell ref="J8:J9"/>
    <mergeCell ref="L8:L9"/>
    <mergeCell ref="M8:M9"/>
    <mergeCell ref="N8:N9"/>
    <mergeCell ref="O8:O9"/>
  </mergeCells>
  <dataValidations count="1">
    <dataValidation type="list" allowBlank="1" showInputMessage="1" showErrorMessage="1" sqref="C12:C18">
      <formula1>"Customers, Connections"</formula1>
    </dataValidation>
  </dataValidations>
  <printOptions/>
  <pageMargins left="0.7" right="0.7" top="0.75" bottom="0.75" header="0.3" footer="0.3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bradburyd</dc:creator>
  <cp:keywords/>
  <dc:description/>
  <cp:lastModifiedBy>bradburyd</cp:lastModifiedBy>
  <cp:lastPrinted>2012-05-05T14:16:34Z</cp:lastPrinted>
  <dcterms:created xsi:type="dcterms:W3CDTF">2012-05-03T22:14:51Z</dcterms:created>
  <dcterms:modified xsi:type="dcterms:W3CDTF">2012-05-10T21:59:19Z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