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7970" windowHeight="10545" tabRatio="901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REGINFO!$A$1:$E$71</definedName>
    <definedName name="_xlnm.Print_Area" localSheetId="6">'Tax Rates'!$A$1:$I$60</definedName>
    <definedName name="_xlnm.Print_Area" localSheetId="3">'Tax Reserves'!$A$1:$E$63</definedName>
    <definedName name="_xlnm.Print_Area" localSheetId="1">TAXCALC!$A$1:$G$208</definedName>
    <definedName name="_xlnm.Print_Area" localSheetId="4">'TAXREC 2'!$A$1:$F$122</definedName>
    <definedName name="_xlnm.Print_Area" localSheetId="5">'TAXREC 3 No True-up'!$A$1:$F$73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E95" i="20"/>
  <c r="E70" i="2" l="1"/>
  <c r="C16"/>
  <c r="C150" i="12"/>
  <c r="C149"/>
  <c r="I51" i="23"/>
  <c r="I50"/>
  <c r="H52"/>
  <c r="C11" i="20"/>
  <c r="C115" s="1"/>
  <c r="C61" i="12"/>
  <c r="C80"/>
  <c r="E38" i="24"/>
  <c r="E37"/>
  <c r="E36"/>
  <c r="E35"/>
  <c r="C50" i="12"/>
  <c r="C53" s="1"/>
  <c r="E48" i="13"/>
  <c r="G76" i="2"/>
  <c r="G77" s="1"/>
  <c r="G79"/>
  <c r="B9"/>
  <c r="B10"/>
  <c r="C75"/>
  <c r="C76" s="1"/>
  <c r="C79"/>
  <c r="E142" i="12"/>
  <c r="E143"/>
  <c r="E144"/>
  <c r="E76"/>
  <c r="E88"/>
  <c r="E112" i="20"/>
  <c r="E43" i="12"/>
  <c r="E45"/>
  <c r="F16" i="23"/>
  <c r="G68" i="2"/>
  <c r="G72"/>
  <c r="E158" i="12"/>
  <c r="E157"/>
  <c r="E166" i="2"/>
  <c r="C66"/>
  <c r="E151" s="1"/>
  <c r="E152" s="1"/>
  <c r="E153" s="1"/>
  <c r="E157" s="1"/>
  <c r="E155"/>
  <c r="C70"/>
  <c r="A1" i="25"/>
  <c r="A1" i="23"/>
  <c r="A2" i="24"/>
  <c r="A2" i="20"/>
  <c r="A1" i="21"/>
  <c r="E37" i="20"/>
  <c r="E38"/>
  <c r="A1" i="12"/>
  <c r="A1" i="2"/>
  <c r="E52" i="13"/>
  <c r="E76" i="20"/>
  <c r="C76"/>
  <c r="D35" i="13"/>
  <c r="D60"/>
  <c r="D62" s="1"/>
  <c r="O13" i="25"/>
  <c r="M12"/>
  <c r="O12"/>
  <c r="O4"/>
  <c r="O3"/>
  <c r="A4"/>
  <c r="A3"/>
  <c r="E47" i="13"/>
  <c r="E43"/>
  <c r="E51" i="12"/>
  <c r="G37" i="2"/>
  <c r="E62" i="12"/>
  <c r="G21" i="2"/>
  <c r="E21" s="1"/>
  <c r="E102" s="1"/>
  <c r="E99" i="12"/>
  <c r="G34" i="2"/>
  <c r="E34" s="1"/>
  <c r="E109" s="1"/>
  <c r="E36" i="20"/>
  <c r="E87"/>
  <c r="E145" i="12"/>
  <c r="G58" i="2"/>
  <c r="E142"/>
  <c r="E65" i="12"/>
  <c r="G24" i="2" s="1"/>
  <c r="E24" s="1"/>
  <c r="E105" s="1"/>
  <c r="E73" i="12"/>
  <c r="E74"/>
  <c r="E86"/>
  <c r="E75"/>
  <c r="E87"/>
  <c r="E77"/>
  <c r="E89"/>
  <c r="E78"/>
  <c r="E90"/>
  <c r="E79"/>
  <c r="E91"/>
  <c r="E17" i="20"/>
  <c r="E18"/>
  <c r="E19"/>
  <c r="E20"/>
  <c r="C52" s="1"/>
  <c r="E21"/>
  <c r="E22"/>
  <c r="E23"/>
  <c r="E24"/>
  <c r="C56"/>
  <c r="E25"/>
  <c r="E26"/>
  <c r="E27"/>
  <c r="E28"/>
  <c r="C60" s="1"/>
  <c r="E29"/>
  <c r="E30"/>
  <c r="E31"/>
  <c r="E33"/>
  <c r="C64"/>
  <c r="E34"/>
  <c r="E35"/>
  <c r="E39"/>
  <c r="E40"/>
  <c r="E41"/>
  <c r="C72" s="1"/>
  <c r="E42"/>
  <c r="E43"/>
  <c r="E44"/>
  <c r="E100" i="12"/>
  <c r="G35" i="2" s="1"/>
  <c r="E35" s="1"/>
  <c r="E110" s="1"/>
  <c r="E102" i="12"/>
  <c r="G36" i="2" s="1"/>
  <c r="E36" s="1"/>
  <c r="E111" s="1"/>
  <c r="E103" i="12"/>
  <c r="E109"/>
  <c r="G42" i="2" s="1"/>
  <c r="E106" i="12"/>
  <c r="G40" i="2"/>
  <c r="E40" s="1"/>
  <c r="E115" s="1"/>
  <c r="E107" i="12"/>
  <c r="G41" i="2"/>
  <c r="E41" s="1"/>
  <c r="E116" s="1"/>
  <c r="E115" i="12"/>
  <c r="E125"/>
  <c r="E116"/>
  <c r="E126" s="1"/>
  <c r="E117"/>
  <c r="E127" s="1"/>
  <c r="E118"/>
  <c r="E128" s="1"/>
  <c r="E119"/>
  <c r="E129" s="1"/>
  <c r="E82" i="20"/>
  <c r="E83"/>
  <c r="C103" s="1"/>
  <c r="E84"/>
  <c r="E85"/>
  <c r="C105" s="1"/>
  <c r="E86"/>
  <c r="E88"/>
  <c r="E89"/>
  <c r="E90"/>
  <c r="E91"/>
  <c r="C111" s="1"/>
  <c r="E93"/>
  <c r="C113" s="1"/>
  <c r="E94"/>
  <c r="E97"/>
  <c r="C117"/>
  <c r="E98"/>
  <c r="E31" i="12"/>
  <c r="E32"/>
  <c r="E33"/>
  <c r="E34"/>
  <c r="E35"/>
  <c r="E39"/>
  <c r="E40"/>
  <c r="E41"/>
  <c r="E42"/>
  <c r="E44"/>
  <c r="E46"/>
  <c r="E47"/>
  <c r="E48"/>
  <c r="D61"/>
  <c r="E61"/>
  <c r="G20" i="2" s="1"/>
  <c r="E20" s="1"/>
  <c r="C46" i="20"/>
  <c r="D46"/>
  <c r="C47" i="24"/>
  <c r="C66" i="12" s="1"/>
  <c r="E97"/>
  <c r="E98"/>
  <c r="E120"/>
  <c r="C52" i="23"/>
  <c r="E58" i="2"/>
  <c r="E126" s="1"/>
  <c r="C22" i="25"/>
  <c r="I11"/>
  <c r="I22"/>
  <c r="K11" s="1"/>
  <c r="K22" s="1"/>
  <c r="M11" s="1"/>
  <c r="O11"/>
  <c r="O16"/>
  <c r="O18"/>
  <c r="O19"/>
  <c r="O20"/>
  <c r="E61" i="24"/>
  <c r="A7"/>
  <c r="E8"/>
  <c r="A8"/>
  <c r="A11"/>
  <c r="C11" i="12"/>
  <c r="C12" i="24" s="1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2"/>
  <c r="E43"/>
  <c r="E44"/>
  <c r="E45"/>
  <c r="D47"/>
  <c r="D66" i="12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/>
  <c r="D41" i="13"/>
  <c r="C63" i="21"/>
  <c r="C64" i="12" s="1"/>
  <c r="C50" i="21"/>
  <c r="C105" i="12" s="1"/>
  <c r="C16" i="23"/>
  <c r="E32" i="20"/>
  <c r="E53" i="13"/>
  <c r="E51"/>
  <c r="E50"/>
  <c r="E101" i="12"/>
  <c r="C59"/>
  <c r="D59"/>
  <c r="E59"/>
  <c r="E60"/>
  <c r="E52"/>
  <c r="E138"/>
  <c r="E136"/>
  <c r="E137"/>
  <c r="D103" i="20"/>
  <c r="D105"/>
  <c r="D107"/>
  <c r="D109"/>
  <c r="D111"/>
  <c r="D113"/>
  <c r="D115"/>
  <c r="D118"/>
  <c r="D99"/>
  <c r="D120" i="12"/>
  <c r="D80"/>
  <c r="D50"/>
  <c r="D53"/>
  <c r="C120"/>
  <c r="A5" i="2"/>
  <c r="A4" i="12"/>
  <c r="A5" i="21"/>
  <c r="F2" i="23"/>
  <c r="A5"/>
  <c r="A4"/>
  <c r="E50" i="20"/>
  <c r="E52"/>
  <c r="E54"/>
  <c r="E56"/>
  <c r="E58"/>
  <c r="E60"/>
  <c r="E62"/>
  <c r="E64"/>
  <c r="E66"/>
  <c r="E68"/>
  <c r="E70"/>
  <c r="E72"/>
  <c r="E74"/>
  <c r="E52" i="23"/>
  <c r="F34"/>
  <c r="E34"/>
  <c r="C34"/>
  <c r="E55" i="21"/>
  <c r="E56"/>
  <c r="E57"/>
  <c r="E58"/>
  <c r="E59"/>
  <c r="D63"/>
  <c r="D64" i="12" s="1"/>
  <c r="D35" i="21"/>
  <c r="D104" i="12" s="1"/>
  <c r="C35" i="21"/>
  <c r="C104" i="12" s="1"/>
  <c r="E25" i="21"/>
  <c r="E26"/>
  <c r="E27"/>
  <c r="E28"/>
  <c r="E35" s="1"/>
  <c r="E29"/>
  <c r="E30"/>
  <c r="E31"/>
  <c r="E32"/>
  <c r="E33"/>
  <c r="E13"/>
  <c r="E22" s="1"/>
  <c r="E14"/>
  <c r="E15"/>
  <c r="E16"/>
  <c r="E17"/>
  <c r="E18"/>
  <c r="E19"/>
  <c r="E20"/>
  <c r="E21"/>
  <c r="D22"/>
  <c r="D63" i="12" s="1"/>
  <c r="C22" i="21"/>
  <c r="C63" i="12" s="1"/>
  <c r="E41" i="21"/>
  <c r="E42"/>
  <c r="E43"/>
  <c r="D45" i="13"/>
  <c r="D56"/>
  <c r="D58" s="1"/>
  <c r="E5" i="21"/>
  <c r="A8"/>
  <c r="A7"/>
  <c r="E53"/>
  <c r="E54"/>
  <c r="E60"/>
  <c r="E61"/>
  <c r="E48"/>
  <c r="E44"/>
  <c r="E45"/>
  <c r="E46"/>
  <c r="E47"/>
  <c r="E49"/>
  <c r="D50"/>
  <c r="D105" i="12"/>
  <c r="A7" i="2"/>
  <c r="G5"/>
  <c r="A6"/>
  <c r="E46" i="20"/>
  <c r="E5" i="12"/>
  <c r="D125"/>
  <c r="D126"/>
  <c r="D127"/>
  <c r="D130" s="1"/>
  <c r="D128"/>
  <c r="D129"/>
  <c r="C125"/>
  <c r="C126"/>
  <c r="C127"/>
  <c r="C130" s="1"/>
  <c r="C128"/>
  <c r="C129"/>
  <c r="A125"/>
  <c r="D144"/>
  <c r="D146" s="1"/>
  <c r="D156" s="1"/>
  <c r="D160" s="1"/>
  <c r="C144"/>
  <c r="C146" s="1"/>
  <c r="C156" s="1"/>
  <c r="C160" s="1"/>
  <c r="A8"/>
  <c r="D85"/>
  <c r="D86"/>
  <c r="D87"/>
  <c r="D92" s="1"/>
  <c r="D88"/>
  <c r="D89"/>
  <c r="D90"/>
  <c r="D91"/>
  <c r="C85"/>
  <c r="C86"/>
  <c r="C92" s="1"/>
  <c r="C87"/>
  <c r="C88"/>
  <c r="C89"/>
  <c r="C90"/>
  <c r="C91"/>
  <c r="A129"/>
  <c r="A127"/>
  <c r="A126"/>
  <c r="A91"/>
  <c r="A90"/>
  <c r="A89"/>
  <c r="A87"/>
  <c r="A88"/>
  <c r="A86"/>
  <c r="A85"/>
  <c r="A7"/>
  <c r="A50" i="20"/>
  <c r="A52"/>
  <c r="A54"/>
  <c r="A56"/>
  <c r="A58"/>
  <c r="A60"/>
  <c r="A62"/>
  <c r="A64"/>
  <c r="A66"/>
  <c r="A68"/>
  <c r="A70"/>
  <c r="A72"/>
  <c r="A74"/>
  <c r="A49"/>
  <c r="A104"/>
  <c r="A106"/>
  <c r="A108"/>
  <c r="A110"/>
  <c r="A112"/>
  <c r="A114"/>
  <c r="A118"/>
  <c r="E6"/>
  <c r="A9"/>
  <c r="A8"/>
  <c r="C10"/>
  <c r="E54" i="13"/>
  <c r="E118" i="20"/>
  <c r="E110"/>
  <c r="E108"/>
  <c r="D65"/>
  <c r="D63"/>
  <c r="D61"/>
  <c r="D59"/>
  <c r="D57"/>
  <c r="D55"/>
  <c r="D53"/>
  <c r="D51"/>
  <c r="D49"/>
  <c r="E85" i="12"/>
  <c r="E92"/>
  <c r="E80"/>
  <c r="C67" i="20"/>
  <c r="C69"/>
  <c r="E105"/>
  <c r="D68"/>
  <c r="D60"/>
  <c r="D52"/>
  <c r="E114"/>
  <c r="E106"/>
  <c r="E104"/>
  <c r="E102"/>
  <c r="D75"/>
  <c r="D73"/>
  <c r="D71"/>
  <c r="C50"/>
  <c r="E113"/>
  <c r="E107"/>
  <c r="D74"/>
  <c r="D66"/>
  <c r="D58"/>
  <c r="E150" i="12"/>
  <c r="F52" i="23"/>
  <c r="E122" i="2"/>
  <c r="E149" i="12"/>
  <c r="C67" i="2"/>
  <c r="C68" s="1"/>
  <c r="C72" s="1"/>
  <c r="C50"/>
  <c r="G55"/>
  <c r="G60" s="1"/>
  <c r="E146" i="12"/>
  <c r="E156"/>
  <c r="G90" i="2" s="1"/>
  <c r="G95" s="1"/>
  <c r="E160" i="12"/>
  <c r="G33" i="2"/>
  <c r="E33" s="1"/>
  <c r="E47" i="24"/>
  <c r="E63" i="21"/>
  <c r="E50"/>
  <c r="E50" i="12"/>
  <c r="G16" i="2" s="1"/>
  <c r="E16" s="1"/>
  <c r="E53" i="12"/>
  <c r="E136" i="2"/>
  <c r="C55"/>
  <c r="C60" s="1"/>
  <c r="E37"/>
  <c r="E93" i="12"/>
  <c r="G27" i="2"/>
  <c r="E27" s="1"/>
  <c r="G26"/>
  <c r="E26" s="1"/>
  <c r="E106" s="1"/>
  <c r="E94" i="12"/>
  <c r="E96" i="20"/>
  <c r="C99"/>
  <c r="E99"/>
  <c r="I52" i="23"/>
  <c r="E162" i="2" l="1"/>
  <c r="E163" s="1"/>
  <c r="E164" s="1"/>
  <c r="E75"/>
  <c r="E66"/>
  <c r="E105" i="12"/>
  <c r="G39" i="2" s="1"/>
  <c r="E39" s="1"/>
  <c r="E114" s="1"/>
  <c r="E201"/>
  <c r="E42"/>
  <c r="C90"/>
  <c r="E146"/>
  <c r="C131" i="12"/>
  <c r="C132" s="1"/>
  <c r="E202" i="2"/>
  <c r="E193"/>
  <c r="E196" s="1"/>
  <c r="D68" i="13"/>
  <c r="D66"/>
  <c r="D70"/>
  <c r="D64"/>
  <c r="E63" i="12"/>
  <c r="G22" i="2" s="1"/>
  <c r="E22" s="1"/>
  <c r="E103" s="1"/>
  <c r="E104" i="12"/>
  <c r="G38" i="2" s="1"/>
  <c r="E38" s="1"/>
  <c r="E113" s="1"/>
  <c r="E130" i="12"/>
  <c r="C93"/>
  <c r="C94"/>
  <c r="D93"/>
  <c r="D94" s="1"/>
  <c r="D131"/>
  <c r="D132" s="1"/>
  <c r="E204" i="2"/>
  <c r="E208" s="1"/>
  <c r="E55"/>
  <c r="E60" s="1"/>
  <c r="E151" i="12"/>
  <c r="E73" i="24"/>
  <c r="C151" i="12"/>
  <c r="A115" i="20"/>
  <c r="A116"/>
  <c r="E64" i="12"/>
  <c r="G23" i="2" s="1"/>
  <c r="E66" i="12"/>
  <c r="G30" i="2" s="1"/>
  <c r="E30" s="1"/>
  <c r="E115" i="20"/>
  <c r="E79" i="2"/>
  <c r="E206"/>
  <c r="E112" s="1"/>
  <c r="D116" i="20"/>
  <c r="C116"/>
  <c r="E67" i="2"/>
  <c r="E68" s="1"/>
  <c r="D54" i="20"/>
  <c r="D62"/>
  <c r="D70"/>
  <c r="E103"/>
  <c r="E111"/>
  <c r="E117"/>
  <c r="D50"/>
  <c r="C71"/>
  <c r="C73"/>
  <c r="C75"/>
  <c r="C102"/>
  <c r="C104"/>
  <c r="C106"/>
  <c r="C114"/>
  <c r="D56"/>
  <c r="D64"/>
  <c r="D72"/>
  <c r="E109"/>
  <c r="D69"/>
  <c r="D67"/>
  <c r="C49"/>
  <c r="C51"/>
  <c r="C53"/>
  <c r="C55"/>
  <c r="C57"/>
  <c r="C59"/>
  <c r="C61"/>
  <c r="C63"/>
  <c r="C65"/>
  <c r="C108"/>
  <c r="C110"/>
  <c r="C118"/>
  <c r="A102"/>
  <c r="A117"/>
  <c r="A113"/>
  <c r="A111"/>
  <c r="A109"/>
  <c r="A107"/>
  <c r="A105"/>
  <c r="A103"/>
  <c r="A75"/>
  <c r="A73"/>
  <c r="A71"/>
  <c r="A69"/>
  <c r="A67"/>
  <c r="A65"/>
  <c r="A63"/>
  <c r="A61"/>
  <c r="A59"/>
  <c r="A57"/>
  <c r="A55"/>
  <c r="A53"/>
  <c r="A51"/>
  <c r="E75"/>
  <c r="E73"/>
  <c r="E71"/>
  <c r="E69"/>
  <c r="E67"/>
  <c r="E65"/>
  <c r="E63"/>
  <c r="E61"/>
  <c r="E59"/>
  <c r="E57"/>
  <c r="E55"/>
  <c r="E53"/>
  <c r="E51"/>
  <c r="E49"/>
  <c r="D117"/>
  <c r="D114"/>
  <c r="D112"/>
  <c r="D110"/>
  <c r="D108"/>
  <c r="D106"/>
  <c r="D104"/>
  <c r="D102"/>
  <c r="C109"/>
  <c r="C74"/>
  <c r="C70"/>
  <c r="C66"/>
  <c r="C62"/>
  <c r="C58"/>
  <c r="C54"/>
  <c r="C107"/>
  <c r="A76"/>
  <c r="D76"/>
  <c r="C68"/>
  <c r="C112"/>
  <c r="E116"/>
  <c r="E108" i="12"/>
  <c r="G48" i="2" s="1"/>
  <c r="E48" s="1"/>
  <c r="C119" i="20"/>
  <c r="C120" s="1"/>
  <c r="E158" i="2"/>
  <c r="C92"/>
  <c r="E72"/>
  <c r="E168"/>
  <c r="E76"/>
  <c r="E77" s="1"/>
  <c r="C77"/>
  <c r="G81"/>
  <c r="G82"/>
  <c r="E23"/>
  <c r="E104" s="1"/>
  <c r="E159"/>
  <c r="E179" s="1"/>
  <c r="G44" l="1"/>
  <c r="E44" s="1"/>
  <c r="E117" s="1"/>
  <c r="E131" i="12"/>
  <c r="G45" i="2" s="1"/>
  <c r="E45" s="1"/>
  <c r="E119" i="20"/>
  <c r="E110" i="12" s="1"/>
  <c r="E77" i="20"/>
  <c r="E78" s="1"/>
  <c r="E79" s="1"/>
  <c r="D77"/>
  <c r="D78" s="1"/>
  <c r="D68" i="12" s="1"/>
  <c r="C77" i="20"/>
  <c r="C110" i="12"/>
  <c r="D119" i="20"/>
  <c r="C111" i="12"/>
  <c r="C121" i="20"/>
  <c r="C82" i="2"/>
  <c r="E82" s="1"/>
  <c r="C81"/>
  <c r="E81" s="1"/>
  <c r="G84"/>
  <c r="C113" i="12" l="1"/>
  <c r="C122" s="1"/>
  <c r="D67"/>
  <c r="D70" s="1"/>
  <c r="D82" s="1"/>
  <c r="E120" i="20"/>
  <c r="E111" i="12" s="1"/>
  <c r="G47" i="2" s="1"/>
  <c r="E47" s="1"/>
  <c r="E132" i="12"/>
  <c r="D79" i="20"/>
  <c r="D110" i="12"/>
  <c r="D120" i="20"/>
  <c r="D111" i="12" s="1"/>
  <c r="C78" i="20"/>
  <c r="C68" i="12" s="1"/>
  <c r="E68" s="1"/>
  <c r="G29" i="2" s="1"/>
  <c r="C67" i="12"/>
  <c r="G46" i="2"/>
  <c r="E46" s="1"/>
  <c r="E118" s="1"/>
  <c r="E113" i="12"/>
  <c r="E122" s="1"/>
  <c r="E84" i="2"/>
  <c r="C84"/>
  <c r="E172" s="1"/>
  <c r="C91" l="1"/>
  <c r="C95" s="1"/>
  <c r="E121" i="20"/>
  <c r="D113" i="12"/>
  <c r="D122" s="1"/>
  <c r="D134" s="1"/>
  <c r="D139" s="1"/>
  <c r="E67"/>
  <c r="C70"/>
  <c r="C82" s="1"/>
  <c r="C134" s="1"/>
  <c r="C139" s="1"/>
  <c r="C79" i="20"/>
  <c r="D121"/>
  <c r="E29" i="2"/>
  <c r="G28" l="1"/>
  <c r="E70" i="12"/>
  <c r="E82" s="1"/>
  <c r="E134" s="1"/>
  <c r="E139" s="1"/>
  <c r="E28" i="2" l="1"/>
  <c r="G50"/>
  <c r="E107" l="1"/>
  <c r="E120" s="1"/>
  <c r="E50"/>
  <c r="E130" l="1"/>
  <c r="E138"/>
  <c r="E140" s="1"/>
  <c r="E144" s="1"/>
  <c r="E124"/>
  <c r="E128" s="1"/>
  <c r="E132" s="1"/>
  <c r="M15" i="25" l="1"/>
  <c r="E183" i="2"/>
  <c r="E14" i="25" s="1"/>
  <c r="E148" i="2"/>
  <c r="E177" s="1"/>
  <c r="E169"/>
  <c r="E170" s="1"/>
  <c r="E173" s="1"/>
  <c r="E178" s="1"/>
  <c r="E181" l="1"/>
  <c r="M17" i="25" s="1"/>
  <c r="O15"/>
  <c r="E22"/>
  <c r="O14"/>
  <c r="E185" i="2" l="1"/>
  <c r="O17" i="25"/>
  <c r="M22"/>
  <c r="O22"/>
</calcChain>
</file>

<file path=xl/comments1.xml><?xml version="1.0" encoding="utf-8"?>
<comments xmlns="http://schemas.openxmlformats.org/spreadsheetml/2006/main">
  <authors>
    <author>amcgrath</author>
  </authors>
  <commentList>
    <comment ref="J67" authorId="0">
      <text>
        <r>
          <rPr>
            <b/>
            <sz val="8"/>
            <color indexed="81"/>
            <rFont val="Tahoma"/>
            <family val="2"/>
          </rPr>
          <t>amcgrath:</t>
        </r>
        <r>
          <rPr>
            <sz val="8"/>
            <color indexed="81"/>
            <rFont val="Tahoma"/>
            <family val="2"/>
          </rPr>
          <t xml:space="preserve">
HH comment, n/a to TH</t>
        </r>
      </text>
    </comment>
  </commentList>
</comments>
</file>

<file path=xl/sharedStrings.xml><?xml version="1.0" encoding="utf-8"?>
<sst xmlns="http://schemas.openxmlformats.org/spreadsheetml/2006/main" count="883" uniqueCount="509">
  <si>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</si>
  <si>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</si>
  <si>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</si>
  <si>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</si>
  <si>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</si>
  <si>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</si>
  <si>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</si>
  <si>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</si>
  <si>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</si>
  <si>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</si>
  <si>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</si>
  <si>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</si>
  <si>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</si>
  <si>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</si>
  <si>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</si>
  <si>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</si>
  <si>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</si>
  <si>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</si>
  <si>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</si>
  <si>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</si>
  <si>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</si>
  <si>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</si>
  <si>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</si>
  <si>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</si>
  <si>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</si>
  <si>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</si>
  <si>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</si>
  <si>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</si>
  <si>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</si>
  <si>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</si>
  <si>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</si>
  <si>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</si>
  <si>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</si>
  <si>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</si>
  <si>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</si>
  <si>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</si>
  <si>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</si>
  <si>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</si>
  <si>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</si>
  <si>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</si>
  <si>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</si>
  <si>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</si>
  <si>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</si>
  <si>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</si>
  <si>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</si>
  <si>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</si>
  <si>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</si>
  <si>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</si>
  <si>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</si>
  <si>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</si>
  <si>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</si>
  <si>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</si>
  <si>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</si>
  <si>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</si>
  <si>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</si>
  <si>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</si>
  <si>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</si>
  <si>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</si>
  <si>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</si>
  <si>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</si>
  <si>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</si>
  <si>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</si>
  <si>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</si>
  <si>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</si>
  <si>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</si>
  <si>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</si>
  <si>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</si>
  <si>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</si>
  <si>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</si>
  <si>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</si>
  <si>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</si>
  <si>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</si>
  <si>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</si>
  <si>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</si>
  <si>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</si>
  <si>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</si>
  <si>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</si>
  <si>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</si>
  <si>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</si>
  <si>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</si>
  <si>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</si>
  <si>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</si>
  <si>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</si>
  <si>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</si>
  <si>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</si>
  <si>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</si>
  <si>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</si>
  <si>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</si>
  <si>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</si>
  <si>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</si>
  <si>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</si>
  <si>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</si>
  <si>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</si>
  <si>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</si>
  <si>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</si>
  <si>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</si>
  <si>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</si>
  <si>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</si>
  <si>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</si>
  <si>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</si>
  <si>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</si>
  <si>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</si>
  <si>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</si>
  <si>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</si>
  <si>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</si>
  <si>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</si>
  <si>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</si>
  <si>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</si>
  <si>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</si>
  <si>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</si>
  <si>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</si>
  <si>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</si>
  <si>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</si>
  <si>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</si>
  <si>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</si>
  <si>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</si>
  <si>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</si>
  <si>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</si>
  <si>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</si>
  <si>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</si>
  <si>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</si>
  <si>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</si>
  <si>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</si>
  <si>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</si>
  <si>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</si>
  <si>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</si>
  <si>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</si>
  <si>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</si>
  <si>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</si>
  <si>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</si>
  <si>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</si>
  <si>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</si>
  <si>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</si>
  <si>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</si>
  <si>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</si>
  <si>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</si>
  <si>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</si>
  <si>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</si>
  <si>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</si>
  <si>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</si>
  <si>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</si>
  <si>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</si>
  <si>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</si>
  <si>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</si>
  <si>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</si>
  <si>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</si>
  <si>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</si>
  <si>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</si>
  <si>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</si>
  <si>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</si>
  <si>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</si>
  <si>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</si>
  <si>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</si>
  <si>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</si>
  <si>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</si>
  <si>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</si>
  <si>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</si>
  <si>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</si>
  <si>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</si>
  <si>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</si>
  <si>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</si>
  <si>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</si>
  <si>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</si>
  <si>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</si>
  <si>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</si>
  <si>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</si>
  <si>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</si>
  <si>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</si>
  <si>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</si>
  <si>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</si>
  <si>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</si>
  <si>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</si>
  <si>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</si>
  <si>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</si>
  <si>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</si>
  <si>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</si>
  <si>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</si>
  <si>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</si>
  <si>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</si>
  <si>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</si>
  <si>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</si>
  <si>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</si>
  <si>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</si>
  <si>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</si>
  <si>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</si>
  <si>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</si>
  <si>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</si>
  <si>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</si>
  <si>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</si>
  <si>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</si>
  <si>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</si>
  <si>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</si>
  <si>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</si>
  <si>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</si>
  <si>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</si>
  <si>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</si>
  <si>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</si>
  <si>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</si>
  <si>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</si>
  <si>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</si>
  <si>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</si>
  <si>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</si>
  <si>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</si>
  <si>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</si>
  <si>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</si>
  <si>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</si>
  <si>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</si>
  <si>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</si>
  <si>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</si>
  <si>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</si>
  <si>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</si>
  <si>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</si>
  <si>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</si>
  <si>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</si>
  <si>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</si>
  <si>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</si>
  <si>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</si>
  <si>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</si>
  <si>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</si>
  <si>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</si>
  <si>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</si>
  <si>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</si>
  <si>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</si>
  <si>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</si>
  <si>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</si>
  <si>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</si>
  <si>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</si>
  <si>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</si>
  <si>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</si>
  <si>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</si>
  <si>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</si>
  <si>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</si>
  <si>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</si>
  <si>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</si>
  <si>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</si>
  <si>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</si>
  <si>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</si>
  <si>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</si>
  <si>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</si>
  <si>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</si>
  <si>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</si>
  <si>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</si>
  <si>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</si>
  <si>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</si>
  <si>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</si>
  <si>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</si>
  <si>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</si>
  <si>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</si>
  <si>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</si>
  <si>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</si>
  <si>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</si>
  <si>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</si>
  <si>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</si>
  <si>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</si>
  <si>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</si>
  <si>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</si>
  <si>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</si>
  <si>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</si>
  <si>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</si>
  <si>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</si>
  <si>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</si>
  <si>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</si>
  <si>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</si>
  <si>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</si>
  <si>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</si>
  <si>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</si>
  <si>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</si>
  <si>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</si>
  <si>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</si>
  <si>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</si>
  <si>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</si>
  <si>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</si>
  <si>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</si>
  <si>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</si>
  <si>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</si>
  <si>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</si>
  <si>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</si>
  <si>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</si>
  <si>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</si>
  <si>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</si>
  <si>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</si>
  <si>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</si>
  <si>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</si>
  <si>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</si>
  <si>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</si>
  <si>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</si>
  <si>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</si>
  <si>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</si>
  <si>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</si>
  <si>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</si>
  <si>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</si>
  <si>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</si>
  <si>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</si>
  <si>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</si>
  <si>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</si>
  <si>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</si>
  <si>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</si>
  <si>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</si>
  <si>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</si>
  <si>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</si>
  <si>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</si>
  <si>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</si>
  <si>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</si>
  <si>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</si>
  <si>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</si>
  <si>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</si>
  <si>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</si>
  <si>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</si>
  <si>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</si>
  <si>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</si>
  <si>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</si>
  <si>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</si>
  <si>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</si>
  <si>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</si>
  <si>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</si>
  <si>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</si>
  <si>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</si>
  <si>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</si>
  <si>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</si>
  <si>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</si>
  <si>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</si>
  <si>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</si>
  <si>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</si>
  <si>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</si>
  <si>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</si>
  <si>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</si>
  <si>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</si>
  <si>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</si>
  <si>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</si>
  <si>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</si>
  <si>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</si>
  <si>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</si>
  <si>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</si>
  <si>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</si>
  <si>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</si>
  <si>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</si>
  <si>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</si>
  <si>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</si>
  <si>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</si>
  <si>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</si>
  <si>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</si>
  <si>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</si>
  <si>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</si>
  <si>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</si>
  <si>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</si>
  <si>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</si>
  <si>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</si>
  <si>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</si>
  <si>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</si>
  <si>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</si>
  <si>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</si>
  <si>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</si>
  <si>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</si>
  <si>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</si>
  <si>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</si>
  <si>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</si>
  <si>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</si>
  <si>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</si>
  <si>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</si>
  <si>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</si>
  <si>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</si>
  <si>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</si>
  <si>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</si>
  <si>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</si>
  <si>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</si>
  <si>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</si>
  <si>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</si>
  <si>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</si>
  <si>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</si>
  <si>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</si>
  <si>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</si>
  <si>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</si>
  <si>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</si>
  <si>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</si>
  <si>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</si>
  <si>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</si>
  <si>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</si>
  <si>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</si>
  <si>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</si>
  <si>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</si>
  <si>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</si>
  <si>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</si>
  <si>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</si>
  <si>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</si>
  <si>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</si>
  <si>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</si>
  <si>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</si>
  <si>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</si>
  <si>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</si>
  <si>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</si>
  <si>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</si>
  <si>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</si>
  <si>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</si>
  <si>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</si>
  <si>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</si>
  <si>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</si>
  <si>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</si>
  <si>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</si>
  <si>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</si>
  <si>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</si>
  <si>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</si>
  <si>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</si>
  <si>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</si>
  <si>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</si>
  <si>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</si>
  <si>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</si>
  <si>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</si>
  <si>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</si>
  <si>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</si>
  <si>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</si>
  <si>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</si>
  <si>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</si>
  <si>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</si>
  <si>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</si>
  <si>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</si>
  <si>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</si>
  <si>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</si>
  <si>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</si>
  <si>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</si>
  <si>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</si>
  <si>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</si>
  <si>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</si>
  <si>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</si>
  <si>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</si>
  <si>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</si>
  <si>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</si>
  <si>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</si>
  <si>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</si>
  <si>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</si>
  <si>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</si>
  <si>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</si>
  <si>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</si>
  <si>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</si>
  <si>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</si>
  <si>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</si>
  <si>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</si>
  <si>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</si>
  <si>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</si>
  <si>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</si>
  <si>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</si>
  <si>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</si>
  <si>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</si>
  <si>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</si>
  <si>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</si>
  <si>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</si>
  <si>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</si>
  <si>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</si>
  <si>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</si>
  <si>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</si>
  <si>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</si>
  <si>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</si>
  <si>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</si>
  <si>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</si>
  <si>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</si>
  <si>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</si>
  <si>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</si>
  <si>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</si>
  <si>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</si>
  <si>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</si>
  <si>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</si>
  <si>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</si>
  <si>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</si>
  <si>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</si>
  <si>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</si>
  <si>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</si>
  <si>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</si>
  <si>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</si>
  <si>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</si>
  <si>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</si>
  <si>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</si>
  <si>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</si>
  <si>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</si>
  <si>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</si>
  <si>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</si>
  <si>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Enter from tax return</t>
  </si>
  <si>
    <t>No entry on tax return</t>
  </si>
  <si>
    <t>Provision for bad debts</t>
  </si>
  <si>
    <t>DEPRECIATION DIFFERENCE</t>
  </si>
  <si>
    <t xml:space="preserve">RECAP </t>
  </si>
  <si>
    <t>***************</t>
  </si>
  <si>
    <t>&gt;700,000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</si>
  <si>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</si>
  <si>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</si>
  <si>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</si>
  <si>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</si>
  <si>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</si>
  <si>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</si>
  <si>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</si>
  <si>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>Reporting period:  2001</t>
  </si>
  <si>
    <t>12-31-2001</t>
  </si>
  <si>
    <t xml:space="preserve">Total PILs for Rate Adjustment </t>
  </si>
  <si>
    <t xml:space="preserve">Total PILs as per SIMPIL                                                           </t>
  </si>
  <si>
    <t>Actual 2001</t>
  </si>
  <si>
    <t>Non-deductible holdback payable</t>
  </si>
  <si>
    <t xml:space="preserve">Payment to WSIB </t>
  </si>
  <si>
    <t>Rates Used in 2001 RAM PILs Applications for 2001</t>
  </si>
  <si>
    <t>**Exemption amounts must agree with the Board-approved 2001 RAM PILs filing</t>
  </si>
  <si>
    <t>Expected Income Tax Rates for 2001 and Capital Tax Exemptions for 2001</t>
  </si>
  <si>
    <r>
      <t xml:space="preserve">Ontario Capital Tax Exemption  </t>
    </r>
    <r>
      <rPr>
        <b/>
        <sz val="10"/>
        <color indexed="10"/>
        <rFont val="Arial"/>
        <family val="2"/>
      </rPr>
      <t>*** 2001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</si>
  <si>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2001</t>
    </r>
  </si>
  <si>
    <t>Input Information from Utility's Actual 2001 Tax Returns</t>
  </si>
  <si>
    <r>
      <t xml:space="preserve">Income Tax Rate (excluding surtax) from </t>
    </r>
    <r>
      <rPr>
        <b/>
        <sz val="10"/>
        <color indexed="10"/>
        <rFont val="Arial"/>
        <family val="2"/>
      </rPr>
      <t>2001</t>
    </r>
    <r>
      <rPr>
        <sz val="10"/>
        <rFont val="Arial"/>
      </rPr>
      <t xml:space="preserve"> Utility's tax return</t>
    </r>
  </si>
  <si>
    <t>Non-deductible bad debt expense</t>
  </si>
  <si>
    <t xml:space="preserve">Inventory obsolescence expense </t>
  </si>
  <si>
    <t>Net fibre rental expense Oct 1-Dec 31, 2001</t>
  </si>
  <si>
    <t>PILs TAXES - EB-2012-0064</t>
  </si>
  <si>
    <t>Total PILs, as approved</t>
  </si>
  <si>
    <t xml:space="preserve">expenses related to pre Oct 2001 </t>
  </si>
  <si>
    <t xml:space="preserve">WSIB pre Oct 2001 accounting gain 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</si>
</sst>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6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21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0" fontId="26" fillId="0" borderId="0" xfId="0" applyFont="1">
      <alignment vertical="top"/>
      <protection locked="0"/>
    </xf>
    <xf numFmtId="0" fontId="21" fillId="7" borderId="0" xfId="0" applyFont="1" applyFill="1">
      <alignment vertical="top"/>
      <protection locked="0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4" fillId="0" borderId="18" xfId="0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horizontal="center" vertical="top"/>
    </xf>
    <xf numFmtId="3" fontId="4" fillId="0" borderId="12" xfId="0" applyNumberFormat="1" applyFont="1" applyBorder="1">
      <alignment vertical="top"/>
      <protection locked="0"/>
    </xf>
    <xf numFmtId="0" fontId="4" fillId="0" borderId="0" xfId="0" quotePrefix="1" applyFont="1" applyBorder="1" applyAlignment="1">
      <alignment horizontal="center"/>
      <protection locked="0"/>
    </xf>
    <xf numFmtId="37" fontId="4" fillId="6" borderId="9" xfId="0" applyNumberFormat="1" applyFont="1" applyFill="1" applyBorder="1" applyAlignment="1" applyProtection="1"/>
    <xf numFmtId="0" fontId="4" fillId="0" borderId="0" xfId="0" applyFont="1" applyBorder="1" applyAlignment="1">
      <alignment horizontal="left" vertical="top"/>
      <protection locked="0"/>
    </xf>
    <xf numFmtId="3" fontId="4" fillId="0" borderId="12" xfId="0" applyNumberFormat="1" applyFont="1" applyBorder="1" applyProtection="1">
      <alignment vertical="top"/>
    </xf>
    <xf numFmtId="0" fontId="4" fillId="0" borderId="19" xfId="0" applyFont="1" applyBorder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tabSelected="1" view="pageBreakPreview" zoomScale="60" zoomScaleNormal="100" workbookViewId="0">
      <selection activeCell="A25" sqref="A25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505</v>
      </c>
      <c r="C1" s="8"/>
      <c r="E1" s="2" t="s">
        <v>463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482</v>
      </c>
      <c r="C3" s="8"/>
      <c r="D3" s="453" t="s">
        <v>449</v>
      </c>
      <c r="E3" s="8"/>
      <c r="F3" s="8"/>
      <c r="G3" s="8"/>
      <c r="H3" s="8"/>
    </row>
    <row r="4" spans="1:16">
      <c r="A4" s="2" t="s">
        <v>488</v>
      </c>
      <c r="C4" s="8"/>
      <c r="D4" s="452" t="s">
        <v>444</v>
      </c>
      <c r="E4" s="426"/>
      <c r="H4" s="8"/>
    </row>
    <row r="5" spans="1:16">
      <c r="A5" s="52"/>
      <c r="C5" s="8"/>
      <c r="D5" s="451" t="s">
        <v>445</v>
      </c>
      <c r="E5" s="398"/>
      <c r="H5" s="8"/>
    </row>
    <row r="6" spans="1:16">
      <c r="A6" s="2" t="s">
        <v>126</v>
      </c>
      <c r="B6" s="388">
        <v>92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>
      <c r="A10" s="3" t="s">
        <v>61</v>
      </c>
      <c r="B10" s="3"/>
      <c r="C10" s="37"/>
      <c r="D10" s="20"/>
      <c r="E10" s="3"/>
      <c r="F10" s="3"/>
      <c r="G10" s="3"/>
      <c r="H10" s="3"/>
    </row>
    <row r="11" spans="1:16">
      <c r="A11" s="3" t="s">
        <v>62</v>
      </c>
      <c r="C11" s="20"/>
      <c r="D11" s="20"/>
      <c r="E11" s="3"/>
      <c r="F11" s="3"/>
      <c r="G11" s="3"/>
      <c r="H11" s="3"/>
    </row>
    <row r="12" spans="1:16" ht="13.5" thickBot="1">
      <c r="A12" s="3" t="s">
        <v>63</v>
      </c>
      <c r="C12" s="20" t="s">
        <v>64</v>
      </c>
      <c r="D12" s="491" t="s">
        <v>484</v>
      </c>
      <c r="E12" s="3"/>
      <c r="F12" s="3"/>
      <c r="G12" s="3"/>
      <c r="H12" s="3"/>
    </row>
    <row r="13" spans="1:16" ht="6.75" customHeight="1">
      <c r="A13" s="3"/>
      <c r="C13" s="20"/>
      <c r="D13" s="20"/>
      <c r="E13" s="3"/>
      <c r="F13" s="3"/>
      <c r="G13" s="3"/>
    </row>
    <row r="14" spans="1:16">
      <c r="A14" s="3" t="s">
        <v>65</v>
      </c>
      <c r="C14" s="20"/>
      <c r="D14" s="20"/>
      <c r="E14" s="3"/>
      <c r="F14" s="3"/>
      <c r="G14" s="3"/>
    </row>
    <row r="15" spans="1:16" ht="13.5" customHeight="1" thickBot="1">
      <c r="A15" s="3" t="s">
        <v>66</v>
      </c>
      <c r="C15" s="8" t="s">
        <v>64</v>
      </c>
      <c r="D15" s="491" t="s">
        <v>483</v>
      </c>
    </row>
    <row r="16" spans="1:16" ht="7.5" customHeight="1">
      <c r="A16" s="45"/>
      <c r="C16" s="8"/>
      <c r="D16" s="8"/>
    </row>
    <row r="17" spans="1:8" ht="13.5" thickBot="1">
      <c r="A17" s="45" t="s">
        <v>185</v>
      </c>
      <c r="C17" s="8" t="s">
        <v>64</v>
      </c>
      <c r="D17" s="491" t="s">
        <v>483</v>
      </c>
    </row>
    <row r="18" spans="1:8" ht="15" customHeight="1">
      <c r="A18" s="389" t="s">
        <v>314</v>
      </c>
      <c r="C18" s="8"/>
      <c r="D18" s="8"/>
    </row>
    <row r="19" spans="1:8" ht="15" customHeight="1">
      <c r="A19" s="505" t="s">
        <v>315</v>
      </c>
      <c r="B19" s="8" t="s">
        <v>312</v>
      </c>
      <c r="C19" s="8" t="s">
        <v>64</v>
      </c>
      <c r="D19" s="492" t="s">
        <v>484</v>
      </c>
    </row>
    <row r="20" spans="1:8" ht="13.5" thickBot="1">
      <c r="A20" s="506"/>
      <c r="B20" s="8" t="s">
        <v>313</v>
      </c>
      <c r="C20" s="8" t="s">
        <v>64</v>
      </c>
      <c r="D20" s="491" t="s">
        <v>483</v>
      </c>
    </row>
    <row r="21" spans="1:8">
      <c r="A21" s="505" t="s">
        <v>311</v>
      </c>
      <c r="B21" s="8" t="s">
        <v>312</v>
      </c>
      <c r="C21" s="8"/>
      <c r="D21" s="421">
        <v>1</v>
      </c>
    </row>
    <row r="22" spans="1:8">
      <c r="A22" s="505"/>
      <c r="B22" s="8" t="s">
        <v>313</v>
      </c>
      <c r="C22" s="8"/>
      <c r="D22" s="421">
        <v>1</v>
      </c>
    </row>
    <row r="23" spans="1:8" ht="7.5" customHeight="1">
      <c r="A23" s="45"/>
      <c r="C23" s="8"/>
      <c r="D23" s="388"/>
    </row>
    <row r="24" spans="1:8">
      <c r="A24" s="45" t="s">
        <v>212</v>
      </c>
      <c r="C24" s="8" t="s">
        <v>213</v>
      </c>
      <c r="D24" s="422" t="s">
        <v>489</v>
      </c>
    </row>
    <row r="25" spans="1:8" ht="6.75" customHeight="1" thickBot="1">
      <c r="A25" s="12"/>
    </row>
    <row r="26" spans="1:8">
      <c r="A26" s="255" t="s">
        <v>67</v>
      </c>
      <c r="C26" s="8"/>
      <c r="E26" s="441" t="s">
        <v>297</v>
      </c>
    </row>
    <row r="27" spans="1:8">
      <c r="A27" s="256" t="s">
        <v>68</v>
      </c>
      <c r="C27" s="8"/>
      <c r="E27" s="442" t="s">
        <v>298</v>
      </c>
    </row>
    <row r="28" spans="1:8">
      <c r="A28" s="256" t="s">
        <v>69</v>
      </c>
      <c r="C28" s="38"/>
    </row>
    <row r="29" spans="1:8">
      <c r="A29" s="257" t="s">
        <v>70</v>
      </c>
    </row>
    <row r="30" spans="1:8">
      <c r="A30" s="35"/>
    </row>
    <row r="31" spans="1:8" ht="12.75" customHeight="1">
      <c r="A31" t="s">
        <v>287</v>
      </c>
      <c r="D31" s="419">
        <v>1810112688</v>
      </c>
      <c r="H31" s="5"/>
    </row>
    <row r="32" spans="1:8" ht="12.75" customHeight="1"/>
    <row r="33" spans="1:11" ht="12.75" customHeight="1">
      <c r="A33" t="s">
        <v>71</v>
      </c>
      <c r="D33" s="420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0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0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3">
        <v>23304000</v>
      </c>
      <c r="E43" s="387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 ht="12.75" customHeight="1">
      <c r="A45" t="s">
        <v>77</v>
      </c>
      <c r="D45" s="251">
        <f>D41-D43</f>
        <v>119296677.56064001</v>
      </c>
      <c r="H45" s="40"/>
      <c r="J45" s="5"/>
      <c r="K45" s="5"/>
    </row>
    <row r="46" spans="1:11" ht="12.75" customHeight="1">
      <c r="A46" s="2" t="s">
        <v>288</v>
      </c>
      <c r="D46" s="40"/>
      <c r="H46" s="40"/>
      <c r="J46" s="5"/>
      <c r="K46" s="5"/>
    </row>
    <row r="47" spans="1:11" ht="12.75" customHeight="1">
      <c r="A47" t="s">
        <v>289</v>
      </c>
      <c r="D47" s="424">
        <v>39765559</v>
      </c>
      <c r="E47" s="387">
        <f t="shared" ref="E47:E53" si="0">D47</f>
        <v>39765559</v>
      </c>
      <c r="H47" s="40"/>
      <c r="J47" s="5"/>
      <c r="K47" s="5"/>
    </row>
    <row r="48" spans="1:11" ht="12.75" customHeight="1">
      <c r="A48" t="s">
        <v>290</v>
      </c>
      <c r="D48" s="424">
        <v>39765559</v>
      </c>
      <c r="E48" s="387">
        <f>D48</f>
        <v>39765559</v>
      </c>
      <c r="F48" s="22"/>
      <c r="H48" s="40"/>
      <c r="J48" s="5"/>
      <c r="K48" s="5"/>
    </row>
    <row r="49" spans="1:11" ht="12.75" customHeight="1">
      <c r="A49" t="s">
        <v>291</v>
      </c>
      <c r="D49" s="425"/>
      <c r="E49" s="387">
        <v>0</v>
      </c>
      <c r="F49" s="22"/>
      <c r="H49" s="40"/>
      <c r="J49" s="5"/>
      <c r="K49" s="5"/>
    </row>
    <row r="50" spans="1:11" ht="12.75" customHeight="1">
      <c r="A50" t="s">
        <v>292</v>
      </c>
      <c r="D50" s="426"/>
      <c r="E50" s="387">
        <f t="shared" si="0"/>
        <v>0</v>
      </c>
      <c r="H50" s="40"/>
      <c r="J50" s="5"/>
      <c r="K50" s="5"/>
    </row>
    <row r="51" spans="1:11" ht="12.75" customHeight="1">
      <c r="A51" t="s">
        <v>441</v>
      </c>
      <c r="D51" s="423">
        <v>39765559</v>
      </c>
      <c r="E51" s="387">
        <f t="shared" si="0"/>
        <v>39765559</v>
      </c>
      <c r="H51" s="40"/>
      <c r="J51" s="5"/>
      <c r="K51" s="5"/>
    </row>
    <row r="52" spans="1:11" ht="12.75" customHeight="1">
      <c r="A52" t="s">
        <v>464</v>
      </c>
      <c r="D52" s="426"/>
      <c r="E52" s="387">
        <f t="shared" si="0"/>
        <v>0</v>
      </c>
      <c r="H52" s="40"/>
      <c r="J52" s="5"/>
      <c r="K52" s="5"/>
    </row>
    <row r="53" spans="1:11" ht="12.75" customHeight="1">
      <c r="D53" s="426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310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381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382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383</v>
      </c>
      <c r="B69" s="5"/>
      <c r="C69" s="5"/>
      <c r="D69" s="5"/>
      <c r="F69" s="5"/>
      <c r="H69" s="32"/>
      <c r="J69" s="5"/>
    </row>
    <row r="70" spans="1:11">
      <c r="A70" s="45" t="s">
        <v>450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/>
  <pageMargins left="0.31496062992125984" right="0.23622047244094491" top="1.0236220472440944" bottom="0.31496062992125984" header="0.19685039370078741" footer="0.11811023622047245"/>
  <pageSetup scale="78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view="pageBreakPreview" topLeftCell="A151" zoomScale="60" zoomScaleNormal="90" workbookViewId="0">
      <selection activeCell="A175" sqref="A175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4.425781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466</v>
      </c>
      <c r="H1" s="210"/>
    </row>
    <row r="2" spans="1:12">
      <c r="A2" s="211" t="s">
        <v>465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467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3"/>
    </row>
    <row r="7" spans="1:12">
      <c r="A7" s="211" t="str">
        <f>REGINFO!A4</f>
        <v>Reporting period:  2001</v>
      </c>
      <c r="B7" s="115"/>
      <c r="D7" s="137"/>
      <c r="E7" s="115"/>
      <c r="G7" s="115"/>
      <c r="H7" s="463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7">
        <f>REGINFO!B6</f>
        <v>92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7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342</v>
      </c>
      <c r="B16" s="125">
        <v>1</v>
      </c>
      <c r="C16" s="259">
        <f>(23304000+39765559)/4</f>
        <v>15767389.75</v>
      </c>
      <c r="D16" s="17"/>
      <c r="E16" s="267">
        <f>G16-C16</f>
        <v>-24844389.75</v>
      </c>
      <c r="F16" s="3"/>
      <c r="G16" s="267">
        <f>TAXREC!E50</f>
        <v>-9077000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26557250</v>
      </c>
      <c r="D20" s="18"/>
      <c r="E20" s="267">
        <f>G20-C20</f>
        <v>4611750</v>
      </c>
      <c r="F20" s="6"/>
      <c r="G20" s="267">
        <f>TAXREC!E61</f>
        <v>31169000</v>
      </c>
      <c r="H20" s="151"/>
    </row>
    <row r="21" spans="1:8">
      <c r="A21" s="158" t="s">
        <v>56</v>
      </c>
      <c r="B21" s="127">
        <v>3</v>
      </c>
      <c r="C21" s="261">
        <v>8282285</v>
      </c>
      <c r="D21" s="18"/>
      <c r="E21" s="267">
        <f>G21-C21</f>
        <v>-8282285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114054159</v>
      </c>
      <c r="F23" s="6"/>
      <c r="G23" s="267">
        <f>TAXREC!E64</f>
        <v>114054159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0</v>
      </c>
      <c r="F28" s="6"/>
      <c r="G28" s="267">
        <f>TAXREC!E67</f>
        <v>0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1794266</v>
      </c>
      <c r="F29" s="6"/>
      <c r="G29" s="267">
        <f>TAXREC!E68</f>
        <v>1794266</v>
      </c>
      <c r="H29" s="151"/>
    </row>
    <row r="30" spans="1:8" ht="15.75">
      <c r="A30" s="482" t="s">
        <v>398</v>
      </c>
      <c r="B30" s="127"/>
      <c r="C30" s="259"/>
      <c r="D30" s="18"/>
      <c r="E30" s="267">
        <f>G30-C30</f>
        <v>2751184</v>
      </c>
      <c r="F30" s="6"/>
      <c r="G30" s="267">
        <f>TAXREC!E66</f>
        <v>2751184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343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9707458</v>
      </c>
      <c r="D33" s="132"/>
      <c r="E33" s="267">
        <f t="shared" ref="E33:E42" si="0">G33-C33</f>
        <v>25623796</v>
      </c>
      <c r="F33" s="6"/>
      <c r="G33" s="267">
        <f>TAXREC!E97+TAXREC!E98</f>
        <v>35331254</v>
      </c>
      <c r="H33" s="151"/>
    </row>
    <row r="34" spans="1:8">
      <c r="A34" s="158" t="s">
        <v>57</v>
      </c>
      <c r="B34" s="127">
        <v>8</v>
      </c>
      <c r="C34" s="261">
        <v>7502785</v>
      </c>
      <c r="D34" s="132"/>
      <c r="E34" s="267">
        <f t="shared" si="0"/>
        <v>-7502785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v>8846390</v>
      </c>
      <c r="D37" s="132"/>
      <c r="E37" s="267">
        <f t="shared" si="0"/>
        <v>31940610</v>
      </c>
      <c r="F37" s="6"/>
      <c r="G37" s="267">
        <f>TAXREC!E51</f>
        <v>40787000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111923296</v>
      </c>
      <c r="F39" s="6"/>
      <c r="G39" s="267">
        <f>TAXREC!E105</f>
        <v>111923296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0</v>
      </c>
      <c r="F45" s="6"/>
      <c r="G45" s="251">
        <f>TAXREC!E131</f>
        <v>0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1784500</v>
      </c>
      <c r="F46" s="6"/>
      <c r="G46" s="251">
        <f>TAXREC!E110</f>
        <v>1784500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944397</v>
      </c>
      <c r="F47" s="6"/>
      <c r="G47" s="251">
        <f>TAXREC!E111</f>
        <v>944397</v>
      </c>
      <c r="H47" s="151"/>
    </row>
    <row r="48" spans="1:8" ht="15.75">
      <c r="A48" s="482" t="s">
        <v>398</v>
      </c>
      <c r="B48" s="127"/>
      <c r="C48" s="259"/>
      <c r="D48" s="132"/>
      <c r="E48" s="267">
        <f>G48-C48</f>
        <v>4084155</v>
      </c>
      <c r="F48" s="6"/>
      <c r="G48" s="251">
        <f>TAXREC!E108</f>
        <v>4084155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329</v>
      </c>
      <c r="B50" s="125"/>
      <c r="C50" s="263">
        <f>C16+SUM(C20:C30)-SUM(C33:C48)</f>
        <v>24550291.75</v>
      </c>
      <c r="D50" s="102"/>
      <c r="E50" s="264">
        <f>E16+SUM(E20:E30)-SUM(E33:E48)</f>
        <v>-78713284.75</v>
      </c>
      <c r="F50" s="429" t="s">
        <v>370</v>
      </c>
      <c r="G50" s="264">
        <f>G16+SUM(G20:G30)-SUM(G33:G48)</f>
        <v>-54162993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337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341</v>
      </c>
      <c r="B53" s="127">
        <v>13</v>
      </c>
      <c r="C53" s="262">
        <v>0.40620000000000001</v>
      </c>
      <c r="D53" s="102"/>
      <c r="E53" s="471">
        <v>0.40620000000000001</v>
      </c>
      <c r="F53" s="114"/>
      <c r="G53" s="471">
        <v>0.40620000000000001</v>
      </c>
      <c r="H53" s="151"/>
      <c r="I53" s="468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9972328.5088500008</v>
      </c>
      <c r="D55" s="102"/>
      <c r="E55" s="267">
        <f>G55-C55</f>
        <v>-9972328.5088500008</v>
      </c>
      <c r="F55" s="429" t="s">
        <v>371</v>
      </c>
      <c r="G55" s="264">
        <f>TAXREC!E144</f>
        <v>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0</v>
      </c>
      <c r="F58" s="429" t="s">
        <v>371</v>
      </c>
      <c r="G58" s="270">
        <f>TAXREC!E145</f>
        <v>0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9972328.5088500008</v>
      </c>
      <c r="D60" s="133"/>
      <c r="E60" s="269">
        <f>+E55-E58</f>
        <v>-9972328.5088500008</v>
      </c>
      <c r="F60" s="429" t="s">
        <v>371</v>
      </c>
      <c r="G60" s="269">
        <f>+G55-G58</f>
        <v>0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-99081803</v>
      </c>
      <c r="F66" s="6"/>
      <c r="G66" s="473">
        <v>1711030885</v>
      </c>
      <c r="H66" s="151"/>
      <c r="I66" s="474" t="s">
        <v>474</v>
      </c>
    </row>
    <row r="67" spans="1:10">
      <c r="A67" s="152" t="s">
        <v>363</v>
      </c>
      <c r="B67" s="125">
        <v>16</v>
      </c>
      <c r="C67" s="260">
        <f>IF(C66&gt;0,'Tax Rates'!C21,0)</f>
        <v>5000000</v>
      </c>
      <c r="D67" s="102"/>
      <c r="E67" s="267">
        <f>G67-C67</f>
        <v>-212269</v>
      </c>
      <c r="F67" s="6"/>
      <c r="G67" s="473">
        <v>4787731</v>
      </c>
      <c r="H67" s="151"/>
      <c r="I67" s="474" t="s">
        <v>474</v>
      </c>
      <c r="J67" s="475" t="s">
        <v>475</v>
      </c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-99294072</v>
      </c>
      <c r="F68" s="114"/>
      <c r="G68" s="264">
        <f>G66-G67</f>
        <v>1706243154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364</v>
      </c>
      <c r="B70" s="125">
        <v>17</v>
      </c>
      <c r="C70" s="301">
        <f>'Tax Rates'!C18</f>
        <v>3.0000000000000001E-3</v>
      </c>
      <c r="D70" s="102"/>
      <c r="E70" s="301">
        <f>'Tax Rates'!E18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316</v>
      </c>
      <c r="B72" s="125"/>
      <c r="C72" s="264">
        <f>IF(C68&gt;0,C68*C70,0)*(REGINFO!$B$6/REGINFO!$B$7)</f>
        <v>1364961.9229808222</v>
      </c>
      <c r="D72" s="101"/>
      <c r="E72" s="267">
        <f>+G72-C72</f>
        <v>-74761.620230137138</v>
      </c>
      <c r="F72" s="476"/>
      <c r="G72" s="264">
        <f>IF(G68&gt;0,G68*G70,0)*REGINFO!$B$6/REGINFO!$B$7</f>
        <v>1290200.302750685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-107617688</v>
      </c>
      <c r="F75" s="6"/>
      <c r="G75" s="473">
        <v>1702495000</v>
      </c>
      <c r="H75" s="151"/>
      <c r="I75" s="474" t="s">
        <v>474</v>
      </c>
    </row>
    <row r="76" spans="1:10">
      <c r="A76" s="152" t="s">
        <v>363</v>
      </c>
      <c r="B76" s="125">
        <v>19</v>
      </c>
      <c r="C76" s="260">
        <f>IF(C75&gt;0,'Tax Rates'!C22,0)</f>
        <v>10000000</v>
      </c>
      <c r="D76" s="18"/>
      <c r="E76" s="267">
        <f>+G76-C76</f>
        <v>0</v>
      </c>
      <c r="F76" s="6"/>
      <c r="G76" s="473">
        <f>'Tax Rates'!C58</f>
        <v>10000000</v>
      </c>
      <c r="H76" s="151"/>
      <c r="I76" s="474" t="s">
        <v>474</v>
      </c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-107617688</v>
      </c>
      <c r="F77" s="114"/>
      <c r="G77" s="264">
        <f>G75-G76</f>
        <v>1692495000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364</v>
      </c>
      <c r="B79" s="125">
        <v>20</v>
      </c>
      <c r="C79" s="301">
        <f>'Tax Rates'!C19</f>
        <v>2.2499999999999998E-3</v>
      </c>
      <c r="D79" s="102"/>
      <c r="E79" s="268">
        <f>G79-C79</f>
        <v>0</v>
      </c>
      <c r="F79" s="6"/>
      <c r="G79" s="268">
        <f>'Tax Rates'!C55</f>
        <v>2.2499999999999998E-3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317</v>
      </c>
      <c r="B81" s="125"/>
      <c r="C81" s="264">
        <f>IF(C77&gt;0,C77*C79,0)*(REGINFO!$B$6/REGINFO!$B$7)</f>
        <v>1020885.8257972603</v>
      </c>
      <c r="D81" s="102"/>
      <c r="E81" s="267">
        <f>+G81-C81</f>
        <v>-61032.497030137107</v>
      </c>
      <c r="F81" s="6"/>
      <c r="G81" s="264">
        <f>G77*G79*B9/B10</f>
        <v>959853.32876712317</v>
      </c>
      <c r="H81" s="151"/>
    </row>
    <row r="82" spans="1:12">
      <c r="A82" s="152" t="s">
        <v>318</v>
      </c>
      <c r="B82" s="125">
        <v>21</v>
      </c>
      <c r="C82" s="300">
        <f>IF(C77&gt;0,IF(C60&gt;0,C50*'Tax Rates'!C20,0),0)</f>
        <v>274963.26760000002</v>
      </c>
      <c r="D82" s="102"/>
      <c r="E82" s="267">
        <f>+G82-C82</f>
        <v>-274963.26760000002</v>
      </c>
      <c r="F82" s="6"/>
      <c r="G82" s="300">
        <f>IF(G77&gt;0,IF(G60&gt;0,G50*'Tax Rates'!G20,0),0)</f>
        <v>0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745922.55819726025</v>
      </c>
      <c r="D84" s="16"/>
      <c r="E84" s="267">
        <f>E81-E82</f>
        <v>213930.77056986291</v>
      </c>
      <c r="F84" s="103"/>
      <c r="G84" s="264">
        <f>G81-G82</f>
        <v>959853.32876712317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v>0.39500000000000002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372</v>
      </c>
      <c r="B90" s="127">
        <v>22</v>
      </c>
      <c r="C90" s="264">
        <f>C60/(1-C88)</f>
        <v>16483187.617933886</v>
      </c>
      <c r="D90" s="20"/>
      <c r="E90" s="139"/>
      <c r="F90" s="428" t="s">
        <v>492</v>
      </c>
      <c r="G90" s="270">
        <f>TAXREC!E156</f>
        <v>0</v>
      </c>
      <c r="H90" s="151"/>
    </row>
    <row r="91" spans="1:12">
      <c r="A91" s="158" t="s">
        <v>373</v>
      </c>
      <c r="B91" s="127">
        <v>23</v>
      </c>
      <c r="C91" s="264">
        <f>C84/(1-C88)</f>
        <v>1232929.8482599342</v>
      </c>
      <c r="D91" s="20"/>
      <c r="E91" s="139"/>
      <c r="F91" s="428" t="s">
        <v>492</v>
      </c>
      <c r="G91" s="270">
        <v>959854</v>
      </c>
      <c r="H91" s="151"/>
    </row>
    <row r="92" spans="1:12">
      <c r="A92" s="158" t="s">
        <v>351</v>
      </c>
      <c r="B92" s="127">
        <v>24</v>
      </c>
      <c r="C92" s="264">
        <f>C72</f>
        <v>1364961.9229808222</v>
      </c>
      <c r="D92" s="20"/>
      <c r="E92" s="139"/>
      <c r="F92" s="428" t="s">
        <v>492</v>
      </c>
      <c r="G92" s="270">
        <v>1290200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0" t="s">
        <v>490</v>
      </c>
      <c r="B95" s="125">
        <v>25</v>
      </c>
      <c r="C95" s="269">
        <f>SUM(C90:C93)</f>
        <v>19081079.389174644</v>
      </c>
      <c r="D95" s="6"/>
      <c r="E95" s="139"/>
      <c r="F95" s="428" t="s">
        <v>492</v>
      </c>
      <c r="G95" s="412">
        <f>SUM(G90:G94)</f>
        <v>2250054</v>
      </c>
      <c r="H95" s="164"/>
    </row>
    <row r="96" spans="1:12">
      <c r="A96" s="168" t="s">
        <v>491</v>
      </c>
      <c r="B96" s="125"/>
      <c r="C96" s="105">
        <v>19056196</v>
      </c>
      <c r="D96" s="6"/>
      <c r="E96" s="109"/>
      <c r="F96" s="6"/>
      <c r="G96" s="139"/>
      <c r="H96" s="164"/>
    </row>
    <row r="97" spans="1:8" ht="13.5" thickBot="1">
      <c r="A97" s="150" t="s">
        <v>506</v>
      </c>
      <c r="B97" s="125"/>
      <c r="C97" s="105">
        <v>5000000</v>
      </c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349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2">
        <f>E21</f>
        <v>-8282285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114054159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366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367</v>
      </c>
      <c r="B107" s="127">
        <v>6</v>
      </c>
      <c r="C107" s="112"/>
      <c r="D107" s="3"/>
      <c r="E107" s="251">
        <f>E28</f>
        <v>0</v>
      </c>
      <c r="F107" s="37"/>
      <c r="G107" s="201"/>
      <c r="H107" s="164"/>
    </row>
    <row r="108" spans="1:8">
      <c r="A108" s="156" t="s">
        <v>365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2">
        <f>E34</f>
        <v>-7502785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321</v>
      </c>
      <c r="B112" s="127">
        <v>11</v>
      </c>
      <c r="C112" s="112"/>
      <c r="D112" s="3"/>
      <c r="E112" s="470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111923296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368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369</v>
      </c>
      <c r="B118" s="127">
        <v>12</v>
      </c>
      <c r="C118" s="112"/>
      <c r="D118" s="3"/>
      <c r="E118" s="251">
        <f>E46</f>
        <v>1784500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3">
        <f>SUM(E102:E107)-SUM(E109:E118)</f>
        <v>-433137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501</v>
      </c>
      <c r="B122" s="127"/>
      <c r="C122" s="112"/>
      <c r="D122" s="3" t="s">
        <v>231</v>
      </c>
      <c r="E122" s="467">
        <f>+'Tax Rates'!F52</f>
        <v>0.40620000000000001</v>
      </c>
      <c r="F122" s="468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3">
        <f>E120*E122</f>
        <v>-175940.2494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0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3">
        <f>E124-E126</f>
        <v>-175940.2494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7">
        <f>IF((E120+C50)&gt;'Tax Rates'!$E$47,'Tax Rates'!$F$52-1.12%, IF((E120+C50)&gt;'Tax Rates'!$D$47,'Tax Rates'!$E$52-1.12%,IF((E120+C50)&gt;'Tax Rates'!$C$47,'Tax Rates'!$D$52-1.12%,'Tax Rates'!$C$52-1.12%)))</f>
        <v>0.39500000000000002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355</v>
      </c>
      <c r="B132" s="130"/>
      <c r="C132" s="112"/>
      <c r="D132" s="3"/>
      <c r="E132" s="263">
        <f>E128/(1-E130)</f>
        <v>-290810.32958677685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358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24550291.75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7">
        <f>IF((E120+E136)&gt;'Tax Rates'!E47,'Tax Rates'!F52, IF((E120+E136)&gt;'Tax Rates'!D47,'Tax Rates'!E52,IF((E120+E136)&gt;'Tax Rates'!C47,'Tax Rates'!D52,'Tax Rates'!C52)))</f>
        <v>0.40620000000000001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9972328.5088500008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>
        <f>TAXREC!E145</f>
        <v>0</v>
      </c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9972328.5088500008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9972328.5088500008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2">
        <f>E144-E146</f>
        <v>0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361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362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1364961.9229808219</v>
      </c>
      <c r="F157" s="37"/>
      <c r="G157" s="201"/>
      <c r="H157" s="164"/>
    </row>
    <row r="158" spans="1:8" ht="25.5">
      <c r="A158" s="171" t="s">
        <v>308</v>
      </c>
      <c r="B158" s="130"/>
      <c r="C158" s="112"/>
      <c r="D158" s="118" t="s">
        <v>188</v>
      </c>
      <c r="E158" s="305">
        <f>C72</f>
        <v>1364961.9229808222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2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360</v>
      </c>
      <c r="B163" s="130"/>
      <c r="C163" s="112"/>
      <c r="D163" s="118" t="s">
        <v>188</v>
      </c>
      <c r="E163" s="305">
        <f>IF(E162&gt;0,'Tax Rates'!C40,0)</f>
        <v>10000000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1800112688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309</v>
      </c>
      <c r="B166" s="130"/>
      <c r="C166" s="112"/>
      <c r="D166" s="119"/>
      <c r="E166" s="306">
        <f>'Tax Rates'!C55</f>
        <v>2.2499999999999998E-3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1020885.8257972602</v>
      </c>
      <c r="F168" s="37"/>
      <c r="G168" s="201"/>
      <c r="H168" s="164"/>
    </row>
    <row r="169" spans="1:8">
      <c r="A169" s="171" t="s">
        <v>319</v>
      </c>
      <c r="B169" s="130"/>
      <c r="C169" s="112"/>
      <c r="D169" s="118" t="s">
        <v>188</v>
      </c>
      <c r="E169" s="307">
        <f>IF(E164&gt;0,IF(E144&gt;0,E136*'Tax Rates'!C56,0),0)</f>
        <v>274963.26760000002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745922.55819726014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 s="489" customFormat="1" ht="12.75" customHeight="1">
      <c r="A172" s="497" t="s">
        <v>350</v>
      </c>
      <c r="B172" s="498"/>
      <c r="C172" s="499"/>
      <c r="D172" s="500" t="s">
        <v>188</v>
      </c>
      <c r="E172" s="501">
        <f>C84</f>
        <v>745922.55819726025</v>
      </c>
      <c r="F172" s="502"/>
      <c r="G172" s="503"/>
      <c r="H172" s="504"/>
    </row>
    <row r="173" spans="1:8">
      <c r="A173" s="155" t="s">
        <v>245</v>
      </c>
      <c r="B173" s="130"/>
      <c r="C173" s="112"/>
      <c r="D173" s="119" t="s">
        <v>189</v>
      </c>
      <c r="E173" s="472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347</v>
      </c>
      <c r="B175" s="130"/>
      <c r="C175" s="112"/>
      <c r="D175" s="119"/>
      <c r="E175" s="467">
        <v>0.39500000000000002</v>
      </c>
      <c r="F175" s="468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0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356</v>
      </c>
      <c r="B181" s="130"/>
      <c r="C181" s="112"/>
      <c r="D181" s="119" t="s">
        <v>189</v>
      </c>
      <c r="E181" s="302">
        <f>SUM(E177:E179)</f>
        <v>0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348</v>
      </c>
      <c r="B183" s="130"/>
      <c r="C183" s="112"/>
      <c r="D183" s="119" t="s">
        <v>187</v>
      </c>
      <c r="E183" s="302">
        <f>E132</f>
        <v>-290810.32958677685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357</v>
      </c>
      <c r="B185" s="130"/>
      <c r="C185" s="112"/>
      <c r="D185" s="119" t="s">
        <v>189</v>
      </c>
      <c r="E185" s="302">
        <f>E181+E183</f>
        <v>-290810.32958677685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v>8846390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344</v>
      </c>
      <c r="B196" s="127"/>
      <c r="C196" s="112"/>
      <c r="D196" s="120"/>
      <c r="E196" s="308">
        <f>E193-E194</f>
        <v>71160590.809600011</v>
      </c>
      <c r="F196" s="3"/>
      <c r="G196" s="123"/>
      <c r="H196" s="164"/>
    </row>
    <row r="197" spans="1:8">
      <c r="A197" s="155" t="s">
        <v>345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40787000</v>
      </c>
      <c r="F201" s="3"/>
      <c r="G201" s="484"/>
      <c r="H201" s="164"/>
    </row>
    <row r="202" spans="1:8">
      <c r="A202" s="155" t="s">
        <v>346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320</v>
      </c>
      <c r="B206" s="127"/>
      <c r="C206" s="112"/>
      <c r="D206" s="120"/>
      <c r="E206" s="469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71160590.809600011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/>
  <pageMargins left="0.31496062992125984" right="0.23622047244094491" top="0.88" bottom="0.25" header="0.22" footer="0.11811023622047245"/>
  <pageSetup scale="65" fitToWidth="0" fitToHeight="0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  <rowBreaks count="3" manualBreakCount="3">
    <brk id="85" max="6" man="1"/>
    <brk id="149" max="6" man="1"/>
    <brk id="21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163"/>
  <sheetViews>
    <sheetView view="pageBreakPreview" topLeftCell="A121" zoomScale="60" zoomScaleNormal="100" workbookViewId="0">
      <selection activeCell="A121" sqref="A121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2001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6">
        <v>36892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6">
        <v>37256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3">
        <f>REGINFO!B6</f>
        <v>92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1364868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483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484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487" t="s">
        <v>483</v>
      </c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7" t="s">
        <v>483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327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325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326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515614000</v>
      </c>
      <c r="D32" s="286"/>
      <c r="E32" s="284">
        <f>C32-D32</f>
        <v>515614000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3920000</v>
      </c>
      <c r="D33" s="286"/>
      <c r="E33" s="284">
        <f>C33-D33</f>
        <v>3920000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30589000</v>
      </c>
      <c r="D34" s="286"/>
      <c r="E34" s="284">
        <f>C34-D34</f>
        <v>30589000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483598000</v>
      </c>
      <c r="D39" s="286"/>
      <c r="E39" s="284">
        <f>C39-D39</f>
        <v>483598000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44433000</v>
      </c>
      <c r="D42" s="286"/>
      <c r="E42" s="284">
        <f t="shared" si="0"/>
        <v>44433000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31169000</v>
      </c>
      <c r="D43" s="286"/>
      <c r="E43" s="284">
        <f t="shared" si="0"/>
        <v>31169000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481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B46" s="23" t="s">
        <v>188</v>
      </c>
      <c r="C46" s="285"/>
      <c r="D46" s="286"/>
      <c r="E46" s="284">
        <f t="shared" si="0"/>
        <v>0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188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-9077000</v>
      </c>
      <c r="D50" s="281">
        <f>SUM(D31:D36)-SUM(D39:D49)</f>
        <v>0</v>
      </c>
      <c r="E50" s="281">
        <f>SUM(E31:E35)-SUM(E39:E48)</f>
        <v>-9077000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40787000</v>
      </c>
      <c r="D51" s="285"/>
      <c r="E51" s="282">
        <f>+C51-D51</f>
        <v>40787000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912000</v>
      </c>
      <c r="D52" s="285"/>
      <c r="E52" s="283">
        <f>+C52-D52</f>
        <v>912000</v>
      </c>
      <c r="F52" s="8"/>
    </row>
    <row r="53" spans="1:9">
      <c r="A53" s="2" t="s">
        <v>131</v>
      </c>
      <c r="B53" s="8" t="s">
        <v>189</v>
      </c>
      <c r="C53" s="281">
        <f>C50-C51-C52</f>
        <v>-50776000</v>
      </c>
      <c r="D53" s="281">
        <f>D50-D51-D52</f>
        <v>0</v>
      </c>
      <c r="E53" s="281">
        <f>E50-E51-E52</f>
        <v>-50776000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912000</v>
      </c>
      <c r="D59" s="287">
        <f>D52</f>
        <v>0</v>
      </c>
      <c r="E59" s="272">
        <f>+C59-D59</f>
        <v>912000</v>
      </c>
      <c r="F59" s="8"/>
    </row>
    <row r="60" spans="1:9">
      <c r="A60" s="4" t="s">
        <v>328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477">
        <f>C43</f>
        <v>31169000</v>
      </c>
      <c r="D61" s="287">
        <f>D43</f>
        <v>0</v>
      </c>
      <c r="E61" s="272">
        <f>+C61-D61</f>
        <v>31169000</v>
      </c>
      <c r="F61" s="8"/>
      <c r="G61" s="413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114054159</v>
      </c>
      <c r="D64" s="316">
        <f>'Tax Reserves'!D63</f>
        <v>0</v>
      </c>
      <c r="E64" s="272">
        <f>+C64-D64</f>
        <v>114054159</v>
      </c>
      <c r="F64" s="8"/>
    </row>
    <row r="65" spans="1:11">
      <c r="A65" t="s">
        <v>446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5" t="s">
        <v>398</v>
      </c>
      <c r="B66" s="8"/>
      <c r="C66" s="444">
        <f>'TAXREC 3 No True-up'!C47</f>
        <v>2751184</v>
      </c>
      <c r="D66" s="444">
        <f>'TAXREC 3 No True-up'!D47</f>
        <v>0</v>
      </c>
      <c r="E66" s="272">
        <f>+C66-D66</f>
        <v>2751184</v>
      </c>
      <c r="F66" s="8"/>
    </row>
    <row r="67" spans="1:11">
      <c r="A67" t="s">
        <v>160</v>
      </c>
      <c r="B67" s="8" t="s">
        <v>187</v>
      </c>
      <c r="C67" s="251">
        <f>'TAXREC 2'!C77</f>
        <v>0</v>
      </c>
      <c r="D67" s="251">
        <f>'TAXREC 2'!D77</f>
        <v>0</v>
      </c>
      <c r="E67" s="272">
        <f>+C67-D67</f>
        <v>0</v>
      </c>
      <c r="F67" s="8"/>
    </row>
    <row r="68" spans="1:11">
      <c r="A68" t="s">
        <v>161</v>
      </c>
      <c r="B68" s="8" t="s">
        <v>187</v>
      </c>
      <c r="C68" s="251">
        <f>'TAXREC 2'!C78</f>
        <v>1794266</v>
      </c>
      <c r="D68" s="251">
        <f>'TAXREC 2'!D78</f>
        <v>0</v>
      </c>
      <c r="E68" s="272">
        <f>+C68-D68</f>
        <v>1794266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150680609</v>
      </c>
      <c r="D70" s="272">
        <f>SUM(D59:D68)</f>
        <v>0</v>
      </c>
      <c r="E70" s="272">
        <f>SUM(E59:E68)</f>
        <v>150680609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477</v>
      </c>
      <c r="B76" s="8" t="s">
        <v>187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150680609</v>
      </c>
      <c r="D82" s="251">
        <f>D70+D80</f>
        <v>0</v>
      </c>
      <c r="E82" s="251">
        <f>E70+E80</f>
        <v>150680609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434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34967350</v>
      </c>
      <c r="D97" s="294"/>
      <c r="E97" s="272">
        <f>+C97-D97</f>
        <v>34967350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363904</v>
      </c>
      <c r="D98" s="294"/>
      <c r="E98" s="272">
        <f>+C98-D98</f>
        <v>363904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111923296</v>
      </c>
      <c r="D105" s="318">
        <f>'Tax Reserves'!D50</f>
        <v>0</v>
      </c>
      <c r="E105" s="282">
        <f t="shared" si="5"/>
        <v>111923296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5" t="s">
        <v>398</v>
      </c>
      <c r="B108" s="8"/>
      <c r="C108" s="254">
        <f>'TAXREC 3 No True-up'!C73</f>
        <v>4084155</v>
      </c>
      <c r="D108" s="254">
        <f>'TAXREC 3 No True-up'!D73</f>
        <v>0</v>
      </c>
      <c r="E108" s="272">
        <f t="shared" si="5"/>
        <v>4084155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1784500</v>
      </c>
      <c r="D110" s="251">
        <f>'TAXREC 2'!D119</f>
        <v>0</v>
      </c>
      <c r="E110" s="251">
        <f>'TAXREC 2'!E119</f>
        <v>1784500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944397</v>
      </c>
      <c r="D111" s="251">
        <f>'TAXREC 2'!D120</f>
        <v>0</v>
      </c>
      <c r="E111" s="251">
        <f>'TAXREC 2'!E120</f>
        <v>944397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154067602</v>
      </c>
      <c r="D113" s="251">
        <f>SUM(D97:D111)</f>
        <v>0</v>
      </c>
      <c r="E113" s="251">
        <f>SUM(E97:E111)</f>
        <v>154067602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154067602</v>
      </c>
      <c r="D122" s="251">
        <f>D113+D120</f>
        <v>0</v>
      </c>
      <c r="E122" s="251">
        <f>+E113+E120</f>
        <v>154067602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-54162993</v>
      </c>
      <c r="D134" s="251">
        <f>D53+D82-D122</f>
        <v>0</v>
      </c>
      <c r="E134" s="251">
        <f>E53+E82-E122</f>
        <v>-54162993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378</v>
      </c>
      <c r="B136" s="8" t="s">
        <v>188</v>
      </c>
      <c r="C136" s="294"/>
      <c r="D136" s="294"/>
      <c r="E136" s="264">
        <f>C136-D136</f>
        <v>0</v>
      </c>
      <c r="F136" s="8"/>
      <c r="G136" s="45"/>
      <c r="H136" s="45"/>
      <c r="I136" s="45"/>
      <c r="J136" s="45"/>
      <c r="K136" s="45"/>
    </row>
    <row r="137" spans="1:11">
      <c r="A137" s="46" t="s">
        <v>379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1">
        <f>C134-C136-C137-C138</f>
        <v>-54162993</v>
      </c>
      <c r="D139" s="252">
        <f>D134-D136-D137-D138</f>
        <v>0</v>
      </c>
      <c r="E139" s="251">
        <f>E134-E136-E137-E138</f>
        <v>-54162993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324</v>
      </c>
      <c r="B142" s="8" t="s">
        <v>187</v>
      </c>
      <c r="C142" s="298"/>
      <c r="D142" s="298"/>
      <c r="E142" s="252">
        <f>C142-D142</f>
        <v>0</v>
      </c>
      <c r="F142" s="8"/>
      <c r="G142" s="45"/>
      <c r="H142" s="45"/>
      <c r="I142" s="45"/>
      <c r="J142" s="45"/>
      <c r="K142" s="45"/>
    </row>
    <row r="143" spans="1:11">
      <c r="A143" s="46" t="s">
        <v>323</v>
      </c>
      <c r="B143" s="8" t="s">
        <v>187</v>
      </c>
      <c r="C143" s="298"/>
      <c r="D143" s="298"/>
      <c r="E143" s="292">
        <f>C143-D143</f>
        <v>0</v>
      </c>
      <c r="F143" s="8"/>
      <c r="G143" s="45"/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0</v>
      </c>
      <c r="D144" s="252">
        <f>D142+D143</f>
        <v>0</v>
      </c>
      <c r="E144" s="252">
        <f>E142+E143</f>
        <v>0</v>
      </c>
      <c r="F144" s="8"/>
      <c r="G144" s="45"/>
      <c r="H144" s="45"/>
      <c r="I144" s="45"/>
      <c r="J144" s="45"/>
      <c r="K144" s="45"/>
    </row>
    <row r="145" spans="1:11">
      <c r="A145" s="46" t="s">
        <v>335</v>
      </c>
      <c r="B145" s="8" t="s">
        <v>188</v>
      </c>
      <c r="C145" s="298">
        <v>0</v>
      </c>
      <c r="D145" s="298"/>
      <c r="E145" s="293">
        <f>C145-D145</f>
        <v>0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0</v>
      </c>
      <c r="D146" s="252">
        <f>D144-D145</f>
        <v>0</v>
      </c>
      <c r="E146" s="252">
        <f>E144-E145</f>
        <v>0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330</v>
      </c>
      <c r="B149" s="8"/>
      <c r="C149" s="403">
        <f>+'Tax Rates'!F50</f>
        <v>0.28120000000000001</v>
      </c>
      <c r="D149" s="5"/>
      <c r="E149" s="404">
        <f>C149</f>
        <v>0.28120000000000001</v>
      </c>
      <c r="F149" s="8"/>
      <c r="G149" s="45"/>
      <c r="H149" s="45"/>
      <c r="I149" s="45"/>
      <c r="J149" s="45"/>
      <c r="K149" s="45"/>
    </row>
    <row r="150" spans="1:11">
      <c r="A150" s="46" t="s">
        <v>331</v>
      </c>
      <c r="B150" s="8"/>
      <c r="C150" s="403">
        <f>+'Tax Rates'!F51</f>
        <v>0.125</v>
      </c>
      <c r="D150" s="5"/>
      <c r="E150" s="404">
        <f>C150</f>
        <v>0.125</v>
      </c>
      <c r="F150" s="8"/>
      <c r="G150" s="45"/>
      <c r="H150" s="45"/>
      <c r="I150" s="45"/>
      <c r="J150" s="45"/>
      <c r="K150" s="45"/>
    </row>
    <row r="151" spans="1:11">
      <c r="A151" t="s">
        <v>332</v>
      </c>
      <c r="B151" s="8"/>
      <c r="C151" s="404">
        <f>SUM(C149:C150)</f>
        <v>0.40620000000000001</v>
      </c>
      <c r="D151" s="483" t="s">
        <v>479</v>
      </c>
      <c r="E151" s="404">
        <f>SUM(E149:E150)</f>
        <v>0.40620000000000001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359</v>
      </c>
      <c r="B153" s="8"/>
    </row>
    <row r="154" spans="1:11">
      <c r="A154" s="14"/>
      <c r="B154" s="8"/>
    </row>
    <row r="155" spans="1:11">
      <c r="A155" s="2" t="s">
        <v>478</v>
      </c>
      <c r="B155" s="8"/>
    </row>
    <row r="156" spans="1:11">
      <c r="A156" t="s">
        <v>219</v>
      </c>
      <c r="B156" s="86" t="s">
        <v>187</v>
      </c>
      <c r="C156" s="251">
        <f>C146</f>
        <v>0</v>
      </c>
      <c r="D156" s="251">
        <f>D146</f>
        <v>0</v>
      </c>
      <c r="E156" s="251">
        <f>E146</f>
        <v>0</v>
      </c>
    </row>
    <row r="157" spans="1:11">
      <c r="A157" t="s">
        <v>20</v>
      </c>
      <c r="B157" s="86" t="s">
        <v>187</v>
      </c>
      <c r="C157" s="480">
        <v>1290200</v>
      </c>
      <c r="D157" s="251"/>
      <c r="E157" s="251">
        <f>C157+D157</f>
        <v>1290200</v>
      </c>
    </row>
    <row r="158" spans="1:11">
      <c r="A158" t="s">
        <v>218</v>
      </c>
      <c r="B158" s="86" t="s">
        <v>187</v>
      </c>
      <c r="C158" s="480">
        <v>959854</v>
      </c>
      <c r="D158" s="251"/>
      <c r="E158" s="251">
        <f>C158+D158</f>
        <v>959854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2250054</v>
      </c>
      <c r="D160" s="251">
        <f>D156+D157+D158</f>
        <v>0</v>
      </c>
      <c r="E160" s="251">
        <f>E156+E157+E158</f>
        <v>2250054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/>
  <pageMargins left="0.31496062992125984" right="0.23622047244094491" top="0.95" bottom="0.31496062992125984" header="0.19685039370078741" footer="0.11811023622047245"/>
  <pageSetup scale="65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  <rowBreaks count="1" manualBreakCount="1">
    <brk id="8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53" zoomScale="60" zoomScaleNormal="100" workbookViewId="0">
      <selection activeCell="A77" sqref="A77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6.570312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2001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451</v>
      </c>
      <c r="B18" s="61"/>
      <c r="C18" s="294"/>
      <c r="D18" s="294"/>
      <c r="E18" s="251">
        <f t="shared" si="0"/>
        <v>0</v>
      </c>
    </row>
    <row r="19" spans="1:5">
      <c r="A19" s="61" t="s">
        <v>451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451</v>
      </c>
      <c r="B30" s="61"/>
      <c r="C30" s="294"/>
      <c r="D30" s="294"/>
      <c r="E30" s="251">
        <f t="shared" si="1"/>
        <v>0</v>
      </c>
    </row>
    <row r="31" spans="1:5">
      <c r="A31" s="61" t="s">
        <v>451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>
        <v>1018172</v>
      </c>
      <c r="D43" s="294"/>
      <c r="E43" s="251">
        <f t="shared" si="2"/>
        <v>1018172</v>
      </c>
    </row>
    <row r="44" spans="1:5">
      <c r="A44" s="61" t="s">
        <v>268</v>
      </c>
      <c r="B44" s="61"/>
      <c r="C44" s="294"/>
      <c r="D44" s="294"/>
      <c r="E44" s="251">
        <f t="shared" si="2"/>
        <v>0</v>
      </c>
    </row>
    <row r="45" spans="1:5">
      <c r="A45" s="61" t="s">
        <v>269</v>
      </c>
      <c r="B45" s="61"/>
      <c r="C45" s="294">
        <v>5555849</v>
      </c>
      <c r="D45" s="294"/>
      <c r="E45" s="251">
        <f t="shared" si="2"/>
        <v>5555849</v>
      </c>
    </row>
    <row r="46" spans="1:5">
      <c r="A46" s="61" t="s">
        <v>270</v>
      </c>
      <c r="B46" s="61"/>
      <c r="C46" s="294"/>
      <c r="D46" s="294"/>
      <c r="E46" s="251">
        <f t="shared" si="2"/>
        <v>0</v>
      </c>
    </row>
    <row r="47" spans="1:5">
      <c r="A47" s="488" t="s">
        <v>485</v>
      </c>
      <c r="B47" s="61"/>
      <c r="C47" s="294">
        <v>103640750</v>
      </c>
      <c r="D47" s="294"/>
      <c r="E47" s="251">
        <f t="shared" si="2"/>
        <v>103640750</v>
      </c>
    </row>
    <row r="48" spans="1:5">
      <c r="A48" s="488" t="s">
        <v>486</v>
      </c>
      <c r="B48" s="61"/>
      <c r="C48" s="294">
        <v>1708525</v>
      </c>
      <c r="D48" s="294"/>
      <c r="E48" s="251">
        <f t="shared" si="2"/>
        <v>1708525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111923296</v>
      </c>
      <c r="D50" s="251">
        <f>SUM(D41:D49)</f>
        <v>0</v>
      </c>
      <c r="E50" s="251">
        <f>SUM(E41:E49)</f>
        <v>111923296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>
        <v>1800596</v>
      </c>
      <c r="D55" s="294"/>
      <c r="E55" s="251">
        <f t="shared" si="3"/>
        <v>1800596</v>
      </c>
    </row>
    <row r="56" spans="1:5">
      <c r="A56" s="246" t="s">
        <v>268</v>
      </c>
      <c r="B56" s="61"/>
      <c r="C56" s="294"/>
      <c r="D56" s="294"/>
      <c r="E56" s="251">
        <f t="shared" si="3"/>
        <v>0</v>
      </c>
    </row>
    <row r="57" spans="1:5">
      <c r="A57" s="246" t="s">
        <v>269</v>
      </c>
      <c r="B57" s="61"/>
      <c r="C57" s="294">
        <v>7525248</v>
      </c>
      <c r="D57" s="294"/>
      <c r="E57" s="251">
        <f t="shared" si="3"/>
        <v>7525248</v>
      </c>
    </row>
    <row r="58" spans="1:5">
      <c r="A58" s="246" t="s">
        <v>270</v>
      </c>
      <c r="B58" s="61"/>
      <c r="C58" s="294"/>
      <c r="D58" s="294"/>
      <c r="E58" s="251">
        <f t="shared" si="3"/>
        <v>0</v>
      </c>
    </row>
    <row r="59" spans="1:5">
      <c r="A59" s="488" t="s">
        <v>485</v>
      </c>
      <c r="B59" s="61"/>
      <c r="C59" s="294">
        <v>103550000</v>
      </c>
      <c r="D59" s="294"/>
      <c r="E59" s="251">
        <f t="shared" si="3"/>
        <v>103550000</v>
      </c>
    </row>
    <row r="60" spans="1:5">
      <c r="A60" s="488" t="s">
        <v>486</v>
      </c>
      <c r="B60" s="61"/>
      <c r="C60" s="294">
        <v>1178315</v>
      </c>
      <c r="D60" s="294"/>
      <c r="E60" s="251">
        <f t="shared" si="3"/>
        <v>1178315</v>
      </c>
    </row>
    <row r="61" spans="1:5" ht="13.5" thickBot="1">
      <c r="A61" s="62"/>
      <c r="B61" s="61"/>
      <c r="C61" s="294"/>
      <c r="D61" s="294"/>
      <c r="E61" s="251">
        <f t="shared" si="3"/>
        <v>0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114054159</v>
      </c>
      <c r="D63" s="251">
        <f>SUM(D53:D61)</f>
        <v>0</v>
      </c>
      <c r="E63" s="251">
        <f>SUM(E53:E61)</f>
        <v>114054159</v>
      </c>
    </row>
  </sheetData>
  <phoneticPr fontId="0" type="noConversion"/>
  <printOptions horizontalCentered="1" headings="1"/>
  <pageMargins left="0.31496062992125984" right="0.23622047244094491" top="1.1200000000000001" bottom="0.31496062992125984" header="0.19685039370078741" footer="0.11811023622047245"/>
  <pageSetup scale="85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view="pageBreakPreview" zoomScale="60" zoomScaleNormal="75" workbookViewId="0">
      <pane xSplit="1" ySplit="6" topLeftCell="B83" activePane="bottomRight" state="frozen"/>
      <selection activeCell="A25" sqref="A25"/>
      <selection pane="topRight" activeCell="A25" sqref="A25"/>
      <selection pane="bottomLeft" activeCell="A25" sqref="A25"/>
      <selection pane="bottomRight" activeCell="A25" sqref="A25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14062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469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3" t="s">
        <v>468</v>
      </c>
      <c r="B5" s="8"/>
      <c r="C5" s="8" t="s">
        <v>2</v>
      </c>
      <c r="D5" s="8"/>
      <c r="E5" s="8"/>
      <c r="F5" s="8"/>
    </row>
    <row r="6" spans="1:6">
      <c r="A6" s="413" t="s">
        <v>448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2001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92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1364868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4" si="0">C18-D18</f>
        <v>0</v>
      </c>
    </row>
    <row r="19" spans="1:5">
      <c r="A19" s="67" t="s">
        <v>135</v>
      </c>
      <c r="B19" t="s">
        <v>187</v>
      </c>
      <c r="C19" s="295"/>
      <c r="D19" s="295"/>
      <c r="E19" s="312">
        <f t="shared" si="0"/>
        <v>0</v>
      </c>
    </row>
    <row r="20" spans="1:5">
      <c r="A20" s="67" t="s">
        <v>452</v>
      </c>
      <c r="B20" t="s">
        <v>187</v>
      </c>
      <c r="C20" s="295">
        <v>13175</v>
      </c>
      <c r="D20" s="313"/>
      <c r="E20" s="312">
        <f t="shared" si="0"/>
        <v>13175</v>
      </c>
    </row>
    <row r="21" spans="1:5">
      <c r="A21" s="67" t="s">
        <v>8</v>
      </c>
      <c r="B21" t="s">
        <v>187</v>
      </c>
      <c r="C21" s="295"/>
      <c r="D21" s="295"/>
      <c r="E21" s="312">
        <f t="shared" si="0"/>
        <v>0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/>
      <c r="D24" s="295"/>
      <c r="E24" s="312">
        <f t="shared" si="0"/>
        <v>0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/>
      <c r="D29" s="295"/>
      <c r="E29" s="312">
        <f t="shared" si="0"/>
        <v>0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476</v>
      </c>
      <c r="B36" t="s">
        <v>187</v>
      </c>
      <c r="C36" s="295"/>
      <c r="D36" s="295"/>
      <c r="E36" s="312">
        <f t="shared" si="0"/>
        <v>0</v>
      </c>
    </row>
    <row r="37" spans="1:5">
      <c r="A37" s="490" t="s">
        <v>502</v>
      </c>
      <c r="B37" t="s">
        <v>187</v>
      </c>
      <c r="C37" s="295">
        <v>601846</v>
      </c>
      <c r="D37" s="295"/>
      <c r="E37" s="312">
        <f t="shared" si="0"/>
        <v>601846</v>
      </c>
    </row>
    <row r="38" spans="1:5">
      <c r="A38" s="490" t="s">
        <v>493</v>
      </c>
      <c r="B38" t="s">
        <v>187</v>
      </c>
      <c r="C38" s="295">
        <v>1179245</v>
      </c>
      <c r="D38" s="295"/>
      <c r="E38" s="251">
        <f t="shared" si="0"/>
        <v>1179245</v>
      </c>
    </row>
    <row r="39" spans="1:5">
      <c r="B39" t="s">
        <v>187</v>
      </c>
      <c r="C39" s="294"/>
      <c r="D39" s="295"/>
      <c r="E39" s="251">
        <f t="shared" si="0"/>
        <v>0</v>
      </c>
    </row>
    <row r="40" spans="1:5">
      <c r="A40" s="68" t="s">
        <v>204</v>
      </c>
      <c r="B40" t="s">
        <v>187</v>
      </c>
      <c r="C40" s="294"/>
      <c r="D40" s="294"/>
      <c r="E40" s="251">
        <f t="shared" si="0"/>
        <v>0</v>
      </c>
    </row>
    <row r="41" spans="1:5">
      <c r="A41" s="490"/>
      <c r="B41" t="s">
        <v>187</v>
      </c>
      <c r="C41" s="294"/>
      <c r="D41" s="294"/>
      <c r="E41" s="251">
        <f t="shared" si="0"/>
        <v>0</v>
      </c>
    </row>
    <row r="42" spans="1:5">
      <c r="A42" s="490"/>
      <c r="B42" t="s">
        <v>187</v>
      </c>
      <c r="C42" s="294"/>
      <c r="D42" s="294"/>
      <c r="E42" s="251">
        <f t="shared" si="0"/>
        <v>0</v>
      </c>
    </row>
    <row r="43" spans="1:5">
      <c r="A43" s="490"/>
      <c r="B43" t="s">
        <v>187</v>
      </c>
      <c r="C43" s="294"/>
      <c r="D43" s="294"/>
      <c r="E43" s="251">
        <f t="shared" si="0"/>
        <v>0</v>
      </c>
    </row>
    <row r="44" spans="1:5">
      <c r="A44" s="490"/>
      <c r="B44" t="s">
        <v>187</v>
      </c>
      <c r="C44" s="294"/>
      <c r="D44" s="294"/>
      <c r="E44" s="251">
        <f t="shared" si="0"/>
        <v>0</v>
      </c>
    </row>
    <row r="45" spans="1:5">
      <c r="A45" s="67"/>
      <c r="B45" t="s">
        <v>187</v>
      </c>
      <c r="C45" s="294"/>
      <c r="D45" s="294"/>
      <c r="E45" s="279"/>
    </row>
    <row r="46" spans="1:5">
      <c r="A46" s="70" t="s">
        <v>170</v>
      </c>
      <c r="B46" t="s">
        <v>189</v>
      </c>
      <c r="C46" s="251">
        <f>SUM(C17:C45)</f>
        <v>1794266</v>
      </c>
      <c r="D46" s="251">
        <f>SUM(D17:D45)</f>
        <v>0</v>
      </c>
      <c r="E46" s="251">
        <f>SUM(E17:E45)</f>
        <v>1794266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 t="shared" si="1"/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 t="shared" si="1"/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 t="shared" ref="A71:A76" si="4">IF($E40&gt;$C$11,A40,"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 t="shared" si="4"/>
        <v xml:space="preserve"> </v>
      </c>
      <c r="B72" s="273"/>
      <c r="C72" s="251">
        <f t="shared" si="3"/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 t="shared" si="4"/>
        <v xml:space="preserve"> </v>
      </c>
      <c r="B73" s="273"/>
      <c r="C73" s="251">
        <f t="shared" si="3"/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 xml:space="preserve"> </v>
      </c>
      <c r="B74" s="273"/>
      <c r="C74" s="251">
        <f t="shared" si="3"/>
        <v>0</v>
      </c>
      <c r="D74" s="251">
        <f t="shared" si="3"/>
        <v>0</v>
      </c>
      <c r="E74" s="251">
        <f t="shared" si="3"/>
        <v>0</v>
      </c>
    </row>
    <row r="75" spans="1:5">
      <c r="A75" s="275" t="str">
        <f t="shared" si="4"/>
        <v xml:space="preserve"> </v>
      </c>
      <c r="B75" s="273"/>
      <c r="C75" s="251">
        <f t="shared" si="3"/>
        <v>0</v>
      </c>
      <c r="D75" s="251">
        <f t="shared" si="3"/>
        <v>0</v>
      </c>
      <c r="E75" s="251">
        <f t="shared" si="3"/>
        <v>0</v>
      </c>
    </row>
    <row r="76" spans="1:5">
      <c r="A76" s="275" t="str">
        <f t="shared" si="4"/>
        <v xml:space="preserve"> </v>
      </c>
      <c r="B76" s="274"/>
      <c r="C76" s="251">
        <f t="shared" si="3"/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0</v>
      </c>
      <c r="D77" s="251">
        <f>SUM(D49:D75)</f>
        <v>0</v>
      </c>
      <c r="E77" s="251">
        <f>SUM(E49:E75)</f>
        <v>0</v>
      </c>
    </row>
    <row r="78" spans="1:5">
      <c r="A78" s="276" t="s">
        <v>203</v>
      </c>
      <c r="B78" s="277"/>
      <c r="C78" s="314">
        <f>C46-C77</f>
        <v>1794266</v>
      </c>
      <c r="D78" s="314">
        <f>D46-D77</f>
        <v>0</v>
      </c>
      <c r="E78" s="314">
        <f>E46-E77</f>
        <v>1794266</v>
      </c>
    </row>
    <row r="79" spans="1:5">
      <c r="A79" s="276" t="s">
        <v>170</v>
      </c>
      <c r="B79" s="277"/>
      <c r="C79" s="314">
        <f>C77+C78</f>
        <v>1794266</v>
      </c>
      <c r="D79" s="314">
        <f>D77+D78</f>
        <v>0</v>
      </c>
      <c r="E79" s="314">
        <f>E77+E78</f>
        <v>1794266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/>
      <c r="D82" s="294"/>
      <c r="E82" s="251">
        <f>C82-D82</f>
        <v>0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/>
      <c r="D86" s="294"/>
      <c r="E86" s="251">
        <f t="shared" si="5"/>
        <v>0</v>
      </c>
    </row>
    <row r="87" spans="1:5">
      <c r="A87" s="67" t="s">
        <v>380</v>
      </c>
      <c r="B87" s="8" t="s">
        <v>188</v>
      </c>
      <c r="C87" s="294"/>
      <c r="D87" s="294"/>
      <c r="E87" s="251">
        <f t="shared" si="5"/>
        <v>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B92" s="8" t="s">
        <v>188</v>
      </c>
      <c r="C92" s="294"/>
      <c r="D92" s="294"/>
      <c r="E92" s="251"/>
    </row>
    <row r="93" spans="1:5">
      <c r="A93" s="68" t="s">
        <v>205</v>
      </c>
      <c r="B93" s="8" t="s">
        <v>188</v>
      </c>
      <c r="C93" s="294"/>
      <c r="D93" s="294"/>
      <c r="E93" s="251">
        <f t="shared" si="5"/>
        <v>0</v>
      </c>
    </row>
    <row r="94" spans="1:5">
      <c r="A94" s="490" t="s">
        <v>504</v>
      </c>
      <c r="B94" s="8" t="s">
        <v>188</v>
      </c>
      <c r="C94" s="294">
        <v>287931</v>
      </c>
      <c r="D94" s="294"/>
      <c r="E94" s="251">
        <f t="shared" si="5"/>
        <v>287931</v>
      </c>
    </row>
    <row r="95" spans="1:5">
      <c r="A95" s="490"/>
      <c r="B95" s="8" t="s">
        <v>188</v>
      </c>
      <c r="C95" s="294"/>
      <c r="D95" s="294"/>
      <c r="E95" s="251">
        <f t="shared" si="5"/>
        <v>0</v>
      </c>
    </row>
    <row r="96" spans="1:5" ht="12.75" customHeight="1">
      <c r="A96" s="490"/>
      <c r="B96" s="8" t="s">
        <v>188</v>
      </c>
      <c r="C96" s="294"/>
      <c r="D96" s="294"/>
      <c r="E96" s="251">
        <f t="shared" si="5"/>
        <v>0</v>
      </c>
    </row>
    <row r="97" spans="1:5">
      <c r="A97" s="490" t="s">
        <v>494</v>
      </c>
      <c r="B97" s="8" t="s">
        <v>188</v>
      </c>
      <c r="C97" s="294">
        <v>1784500</v>
      </c>
      <c r="D97" s="294"/>
      <c r="E97" s="251">
        <f t="shared" si="5"/>
        <v>1784500</v>
      </c>
    </row>
    <row r="98" spans="1:5">
      <c r="A98" s="490" t="s">
        <v>503</v>
      </c>
      <c r="B98" s="8" t="s">
        <v>188</v>
      </c>
      <c r="C98" s="294">
        <v>656466</v>
      </c>
      <c r="D98" s="294"/>
      <c r="E98" s="251">
        <f t="shared" si="5"/>
        <v>656466</v>
      </c>
    </row>
    <row r="99" spans="1:5">
      <c r="A99" s="67" t="s">
        <v>171</v>
      </c>
      <c r="B99" s="8" t="s">
        <v>189</v>
      </c>
      <c r="C99" s="251">
        <f>SUM(C82:C98)</f>
        <v>2728897</v>
      </c>
      <c r="D99" s="251">
        <f>SUM(D82:D98)</f>
        <v>0</v>
      </c>
      <c r="E99" s="251">
        <f>SUM(E82:E98)</f>
        <v>2728897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IF($E92&gt;$C$11,A93,"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IF($E94&gt;$C$11,A94,"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 ht="12.75" customHeight="1">
      <c r="A115" s="493" t="str">
        <f>IF($E95&gt;$C$11,A95," ")</f>
        <v xml:space="preserve"> </v>
      </c>
      <c r="B115" s="273"/>
      <c r="C115" s="495">
        <f t="shared" si="7"/>
        <v>0</v>
      </c>
      <c r="D115" s="251">
        <f t="shared" si="7"/>
        <v>0</v>
      </c>
      <c r="E115" s="495">
        <f t="shared" si="7"/>
        <v>0</v>
      </c>
    </row>
    <row r="116" spans="1:5" s="496" customFormat="1" ht="17.25" customHeight="1">
      <c r="A116" s="275" t="str">
        <f>IF($E96&gt;$C$11,A96," ")</f>
        <v xml:space="preserve"> </v>
      </c>
      <c r="B116" s="494"/>
      <c r="C116" s="495">
        <f t="shared" si="7"/>
        <v>0</v>
      </c>
      <c r="D116" s="495">
        <f t="shared" si="7"/>
        <v>0</v>
      </c>
      <c r="E116" s="495">
        <f t="shared" si="7"/>
        <v>0</v>
      </c>
    </row>
    <row r="117" spans="1:5">
      <c r="A117" s="275" t="str">
        <f>IF($E97&gt;$C$11,A97," ")</f>
        <v xml:space="preserve">Payment to WSIB </v>
      </c>
      <c r="B117" s="273"/>
      <c r="C117" s="251">
        <f t="shared" si="7"/>
        <v>1784500</v>
      </c>
      <c r="D117" s="251">
        <f t="shared" si="7"/>
        <v>0</v>
      </c>
      <c r="E117" s="251">
        <f t="shared" si="7"/>
        <v>1784500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1784500</v>
      </c>
      <c r="D119" s="251">
        <f>SUM(D102:D118)</f>
        <v>0</v>
      </c>
      <c r="E119" s="251">
        <f>SUM(E102:E118)</f>
        <v>1784500</v>
      </c>
    </row>
    <row r="120" spans="1:5">
      <c r="A120" s="278" t="s">
        <v>201</v>
      </c>
      <c r="B120" s="273"/>
      <c r="C120" s="251">
        <f>C99-C119</f>
        <v>944397</v>
      </c>
      <c r="D120" s="251">
        <f>D99-D119</f>
        <v>0</v>
      </c>
      <c r="E120" s="251">
        <f>E99-E119</f>
        <v>944397</v>
      </c>
    </row>
    <row r="121" spans="1:5">
      <c r="A121" s="278" t="s">
        <v>171</v>
      </c>
      <c r="B121" s="273"/>
      <c r="C121" s="251">
        <f>C119+C120</f>
        <v>2728897</v>
      </c>
      <c r="D121" s="251">
        <f>D119+D120</f>
        <v>0</v>
      </c>
      <c r="E121" s="251">
        <f>E119+E120</f>
        <v>2728897</v>
      </c>
    </row>
    <row r="122" spans="1:5" ht="6.75" customHeight="1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/>
  <pageMargins left="0.31496062992125984" right="0.23622047244094491" top="1.0236220472440944" bottom="0.31496062992125984" header="0.19685039370078741" footer="0.11811023622047245"/>
  <pageSetup scale="85" fitToHeight="0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topLeftCell="A52" zoomScale="60" zoomScaleNormal="100" workbookViewId="0">
      <selection activeCell="A68" sqref="A68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140625" customWidth="1"/>
  </cols>
  <sheetData>
    <row r="2" spans="1:6">
      <c r="A2" s="1" t="str">
        <f>REGINFO!A1</f>
        <v>PILs TAXES - EB-2012-0064</v>
      </c>
    </row>
    <row r="3" spans="1:6">
      <c r="A3" s="2" t="s">
        <v>388</v>
      </c>
      <c r="E3" s="92"/>
    </row>
    <row r="4" spans="1:6" ht="15.75">
      <c r="A4" s="462" t="s">
        <v>448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4" t="s">
        <v>389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2001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92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45" si="0">C19-D19</f>
        <v>0</v>
      </c>
    </row>
    <row r="20" spans="1:6">
      <c r="A20" t="s">
        <v>391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456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394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395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457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440</v>
      </c>
      <c r="B27" t="s">
        <v>187</v>
      </c>
      <c r="C27" s="295"/>
      <c r="D27" s="295"/>
      <c r="E27" s="312">
        <f t="shared" si="0"/>
        <v>0</v>
      </c>
    </row>
    <row r="28" spans="1:6">
      <c r="A28" s="67" t="s">
        <v>393</v>
      </c>
      <c r="B28" t="s">
        <v>187</v>
      </c>
      <c r="C28" s="295"/>
      <c r="D28" s="295"/>
      <c r="E28" s="312">
        <f t="shared" si="0"/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0"/>
        <v>0</v>
      </c>
    </row>
    <row r="30" spans="1:6">
      <c r="A30" s="67" t="s">
        <v>392</v>
      </c>
      <c r="B30" t="s">
        <v>187</v>
      </c>
      <c r="C30" s="295"/>
      <c r="D30" s="295"/>
      <c r="E30" s="312">
        <f t="shared" si="0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0"/>
        <v>0</v>
      </c>
    </row>
    <row r="32" spans="1:6">
      <c r="A32" s="67" t="s">
        <v>435</v>
      </c>
      <c r="B32" t="s">
        <v>187</v>
      </c>
      <c r="C32" s="295">
        <v>60087</v>
      </c>
      <c r="D32" s="295"/>
      <c r="E32" s="312">
        <f t="shared" si="0"/>
        <v>60087</v>
      </c>
    </row>
    <row r="33" spans="1:5">
      <c r="A33" s="67" t="s">
        <v>436</v>
      </c>
      <c r="B33" t="s">
        <v>187</v>
      </c>
      <c r="C33" s="295">
        <v>7151</v>
      </c>
      <c r="D33" s="295"/>
      <c r="E33" s="312">
        <f t="shared" si="0"/>
        <v>7151</v>
      </c>
    </row>
    <row r="34" spans="1:5">
      <c r="A34" s="67" t="s">
        <v>453</v>
      </c>
      <c r="B34" t="s">
        <v>187</v>
      </c>
      <c r="C34" s="295">
        <v>2287</v>
      </c>
      <c r="D34" s="295"/>
      <c r="E34" s="312">
        <f t="shared" si="0"/>
        <v>2287</v>
      </c>
    </row>
    <row r="35" spans="1:5">
      <c r="A35" s="81" t="s">
        <v>454</v>
      </c>
      <c r="C35" s="295"/>
      <c r="D35" s="295"/>
      <c r="E35" s="312">
        <f t="shared" si="0"/>
        <v>0</v>
      </c>
    </row>
    <row r="36" spans="1:5">
      <c r="A36" s="67" t="s">
        <v>437</v>
      </c>
      <c r="C36" s="295"/>
      <c r="D36" s="295"/>
      <c r="E36" s="312">
        <f t="shared" si="0"/>
        <v>0</v>
      </c>
    </row>
    <row r="37" spans="1:5">
      <c r="A37" s="67" t="s">
        <v>438</v>
      </c>
      <c r="C37" s="295"/>
      <c r="D37" s="295"/>
      <c r="E37" s="312">
        <f t="shared" si="0"/>
        <v>0</v>
      </c>
    </row>
    <row r="38" spans="1:5">
      <c r="A38" s="67" t="s">
        <v>460</v>
      </c>
      <c r="C38" s="295"/>
      <c r="D38" s="295"/>
      <c r="E38" s="312">
        <f t="shared" si="0"/>
        <v>0</v>
      </c>
    </row>
    <row r="39" spans="1:5">
      <c r="A39" s="81" t="s">
        <v>396</v>
      </c>
      <c r="B39" t="s">
        <v>187</v>
      </c>
      <c r="C39" s="295"/>
      <c r="D39" s="295"/>
      <c r="E39" s="312">
        <f t="shared" si="0"/>
        <v>0</v>
      </c>
    </row>
    <row r="40" spans="1:5">
      <c r="A40" s="81" t="s">
        <v>390</v>
      </c>
      <c r="B40" t="s">
        <v>187</v>
      </c>
      <c r="C40" s="295"/>
      <c r="D40" s="295"/>
      <c r="E40" s="312">
        <f t="shared" si="0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0"/>
        <v>0</v>
      </c>
    </row>
    <row r="42" spans="1:5">
      <c r="A42" s="489" t="s">
        <v>507</v>
      </c>
      <c r="B42" t="s">
        <v>187</v>
      </c>
      <c r="C42" s="295">
        <v>2681659</v>
      </c>
      <c r="D42" s="295"/>
      <c r="E42" s="312">
        <f t="shared" si="0"/>
        <v>2681659</v>
      </c>
    </row>
    <row r="43" spans="1:5">
      <c r="A43" s="489"/>
      <c r="B43" t="s">
        <v>187</v>
      </c>
      <c r="C43" s="295"/>
      <c r="D43" s="295"/>
      <c r="E43" s="312">
        <f t="shared" si="0"/>
        <v>0</v>
      </c>
    </row>
    <row r="44" spans="1:5">
      <c r="A44" s="489"/>
      <c r="B44" t="s">
        <v>187</v>
      </c>
      <c r="C44" s="294"/>
      <c r="D44" s="294"/>
      <c r="E44" s="251">
        <f t="shared" si="0"/>
        <v>0</v>
      </c>
    </row>
    <row r="45" spans="1:5">
      <c r="A45" s="489"/>
      <c r="B45" t="s">
        <v>187</v>
      </c>
      <c r="C45" s="294"/>
      <c r="D45" s="294"/>
      <c r="E45" s="251">
        <f t="shared" si="0"/>
        <v>0</v>
      </c>
    </row>
    <row r="46" spans="1:5">
      <c r="A46" s="490"/>
      <c r="B46" t="s">
        <v>187</v>
      </c>
      <c r="C46" s="294"/>
      <c r="D46" s="294"/>
      <c r="E46" s="279"/>
    </row>
    <row r="47" spans="1:5">
      <c r="A47" s="447" t="s">
        <v>400</v>
      </c>
      <c r="B47" t="s">
        <v>189</v>
      </c>
      <c r="C47" s="251">
        <f>SUM(C19:C46)</f>
        <v>2751184</v>
      </c>
      <c r="D47" s="251">
        <f>SUM(D19:D46)</f>
        <v>0</v>
      </c>
      <c r="E47" s="251">
        <f>SUM(E19:E46)</f>
        <v>2751184</v>
      </c>
    </row>
    <row r="48" spans="1:5">
      <c r="A48" s="67"/>
    </row>
    <row r="49" spans="1:5">
      <c r="A49" s="81" t="s">
        <v>145</v>
      </c>
    </row>
    <row r="51" spans="1:5">
      <c r="A51" s="71" t="s">
        <v>391</v>
      </c>
      <c r="B51" s="8" t="s">
        <v>188</v>
      </c>
      <c r="C51" s="294"/>
      <c r="D51" s="294"/>
      <c r="E51" s="251">
        <f t="shared" ref="E51:E61" si="1">C51-D51</f>
        <v>0</v>
      </c>
    </row>
    <row r="52" spans="1:5">
      <c r="A52" s="67" t="s">
        <v>456</v>
      </c>
      <c r="B52" s="8" t="s">
        <v>188</v>
      </c>
      <c r="C52" s="294"/>
      <c r="D52" s="294"/>
      <c r="E52" s="251">
        <f t="shared" si="1"/>
        <v>0</v>
      </c>
    </row>
    <row r="53" spans="1:5">
      <c r="A53" t="s">
        <v>392</v>
      </c>
      <c r="B53" s="8" t="s">
        <v>188</v>
      </c>
      <c r="C53" s="294"/>
      <c r="D53" s="294"/>
      <c r="E53" s="251">
        <f t="shared" si="1"/>
        <v>0</v>
      </c>
    </row>
    <row r="54" spans="1:5">
      <c r="A54" t="s">
        <v>439</v>
      </c>
      <c r="B54" s="8" t="s">
        <v>188</v>
      </c>
      <c r="C54" s="294"/>
      <c r="D54" s="294"/>
      <c r="E54" s="251">
        <f t="shared" si="1"/>
        <v>0</v>
      </c>
    </row>
    <row r="55" spans="1:5">
      <c r="A55" s="67" t="s">
        <v>447</v>
      </c>
      <c r="B55" s="8" t="s">
        <v>188</v>
      </c>
      <c r="C55" s="294"/>
      <c r="D55" s="294"/>
      <c r="E55" s="251">
        <f t="shared" si="1"/>
        <v>0</v>
      </c>
    </row>
    <row r="56" spans="1:5">
      <c r="A56" s="67" t="s">
        <v>459</v>
      </c>
      <c r="B56" s="8" t="s">
        <v>188</v>
      </c>
      <c r="C56" s="294">
        <v>80152</v>
      </c>
      <c r="D56" s="294"/>
      <c r="E56" s="251">
        <f t="shared" si="1"/>
        <v>80152</v>
      </c>
    </row>
    <row r="57" spans="1:5">
      <c r="A57" s="2" t="s">
        <v>455</v>
      </c>
      <c r="B57" s="8" t="s">
        <v>188</v>
      </c>
      <c r="C57" s="294"/>
      <c r="D57" s="294"/>
      <c r="E57" s="251">
        <f t="shared" si="1"/>
        <v>0</v>
      </c>
    </row>
    <row r="58" spans="1:5">
      <c r="A58" s="67" t="s">
        <v>458</v>
      </c>
      <c r="B58" s="8" t="s">
        <v>188</v>
      </c>
      <c r="C58" s="294"/>
      <c r="D58" s="294"/>
      <c r="E58" s="251">
        <f t="shared" si="1"/>
        <v>0</v>
      </c>
    </row>
    <row r="59" spans="1:5">
      <c r="A59" s="490" t="s">
        <v>508</v>
      </c>
      <c r="B59" s="8" t="s">
        <v>188</v>
      </c>
      <c r="C59" s="294">
        <v>3098900</v>
      </c>
      <c r="D59" s="294"/>
      <c r="E59" s="251">
        <f t="shared" si="1"/>
        <v>3098900</v>
      </c>
    </row>
    <row r="60" spans="1:5">
      <c r="B60" s="8" t="s">
        <v>188</v>
      </c>
      <c r="C60" s="294"/>
      <c r="D60" s="294"/>
      <c r="E60" s="251">
        <f t="shared" si="1"/>
        <v>0</v>
      </c>
    </row>
    <row r="61" spans="1:5">
      <c r="B61" s="8" t="s">
        <v>188</v>
      </c>
      <c r="C61" s="294"/>
      <c r="D61" s="294"/>
      <c r="E61" s="251">
        <f t="shared" si="1"/>
        <v>0</v>
      </c>
    </row>
    <row r="62" spans="1:5">
      <c r="B62" s="8" t="s">
        <v>188</v>
      </c>
      <c r="C62" s="294"/>
      <c r="D62" s="294"/>
      <c r="E62" s="251">
        <f t="shared" ref="E62:E71" si="2">C62-D62</f>
        <v>0</v>
      </c>
    </row>
    <row r="63" spans="1:5">
      <c r="B63" s="8" t="s">
        <v>188</v>
      </c>
      <c r="C63" s="294"/>
      <c r="D63" s="294"/>
      <c r="E63" s="251">
        <f t="shared" si="2"/>
        <v>0</v>
      </c>
    </row>
    <row r="64" spans="1:5">
      <c r="A64" s="466" t="s">
        <v>397</v>
      </c>
      <c r="B64" s="8" t="s">
        <v>188</v>
      </c>
      <c r="C64" s="294"/>
      <c r="D64" s="294"/>
      <c r="E64" s="251">
        <f t="shared" si="2"/>
        <v>0</v>
      </c>
    </row>
    <row r="65" spans="1:5">
      <c r="B65" s="8" t="s">
        <v>188</v>
      </c>
      <c r="C65" s="294"/>
      <c r="D65" s="294"/>
      <c r="E65" s="251">
        <f t="shared" si="2"/>
        <v>0</v>
      </c>
    </row>
    <row r="66" spans="1:5">
      <c r="A66" s="466" t="s">
        <v>390</v>
      </c>
      <c r="B66" s="8" t="s">
        <v>188</v>
      </c>
      <c r="C66" s="294">
        <v>905103</v>
      </c>
      <c r="D66" s="294"/>
      <c r="E66" s="251">
        <f t="shared" si="2"/>
        <v>905103</v>
      </c>
    </row>
    <row r="67" spans="1:5">
      <c r="A67" s="67"/>
      <c r="B67" s="8" t="s">
        <v>188</v>
      </c>
      <c r="C67" s="294"/>
      <c r="D67" s="294"/>
      <c r="E67" s="251">
        <f t="shared" si="2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2"/>
        <v>0</v>
      </c>
    </row>
    <row r="69" spans="1:5">
      <c r="A69" s="490"/>
      <c r="B69" s="8" t="s">
        <v>188</v>
      </c>
      <c r="C69" s="294"/>
      <c r="D69" s="294"/>
      <c r="E69" s="251">
        <f t="shared" si="2"/>
        <v>0</v>
      </c>
    </row>
    <row r="70" spans="1:5">
      <c r="A70" s="490"/>
      <c r="B70" s="8" t="s">
        <v>188</v>
      </c>
      <c r="C70" s="294"/>
      <c r="D70" s="294"/>
      <c r="E70" s="251">
        <f t="shared" si="2"/>
        <v>0</v>
      </c>
    </row>
    <row r="71" spans="1:5">
      <c r="A71" s="490"/>
      <c r="B71" s="8" t="s">
        <v>188</v>
      </c>
      <c r="C71" s="294"/>
      <c r="D71" s="294"/>
      <c r="E71" s="251">
        <f t="shared" si="2"/>
        <v>0</v>
      </c>
    </row>
    <row r="72" spans="1:5">
      <c r="B72" s="8" t="s">
        <v>188</v>
      </c>
      <c r="D72" s="294"/>
      <c r="E72" s="279">
        <f>'TAXREC 2'!C95-D72</f>
        <v>0</v>
      </c>
    </row>
    <row r="73" spans="1:5">
      <c r="A73" s="446" t="s">
        <v>399</v>
      </c>
      <c r="B73" s="8" t="s">
        <v>189</v>
      </c>
      <c r="C73" s="251">
        <f>SUM(C51:C71)</f>
        <v>4084155</v>
      </c>
      <c r="D73" s="251">
        <f>SUM(D51:D72)</f>
        <v>0</v>
      </c>
      <c r="E73" s="251">
        <f>SUM(E51:E72)</f>
        <v>4084155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/>
  <pageMargins left="0.24" right="0.23622047244094491" top="0.98" bottom="0.31496062992125984" header="0.19685039370078741" footer="0.11811023622047245"/>
  <pageSetup scale="68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topLeftCell="A42" zoomScale="60" zoomScaleNormal="100" workbookViewId="0">
      <selection activeCell="M50" sqref="M50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3.42578125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2001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09" t="s">
        <v>338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3" t="s">
        <v>495</v>
      </c>
      <c r="B8" s="514"/>
      <c r="C8" s="514"/>
      <c r="D8" s="514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470</v>
      </c>
      <c r="B10" s="326"/>
      <c r="C10" s="375" t="s">
        <v>111</v>
      </c>
      <c r="D10" s="375"/>
      <c r="E10" s="375" t="s">
        <v>111</v>
      </c>
      <c r="F10" s="376" t="s">
        <v>480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8">
        <v>2001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>
        <v>0.13120000000000001</v>
      </c>
      <c r="D14" s="327"/>
      <c r="E14" s="328">
        <v>0.28120000000000001</v>
      </c>
      <c r="F14" s="328">
        <v>0.28120000000000001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>
        <v>0.06</v>
      </c>
      <c r="D15" s="329"/>
      <c r="E15" s="330">
        <v>0.06</v>
      </c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>
        <f>SUM(C14:C15)</f>
        <v>0.19120000000000001</v>
      </c>
      <c r="D16" s="331"/>
      <c r="E16" s="332">
        <v>0.3412</v>
      </c>
      <c r="F16" s="332">
        <f>SUM(F14:F15)</f>
        <v>0.40620000000000001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333</v>
      </c>
      <c r="B21" s="405" t="s">
        <v>472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334</v>
      </c>
      <c r="B22" s="406" t="s">
        <v>473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7" t="s">
        <v>496</v>
      </c>
      <c r="B23" s="508"/>
      <c r="C23" s="508"/>
      <c r="D23" s="508"/>
      <c r="E23" s="508"/>
      <c r="F23" s="508"/>
      <c r="G23" s="436"/>
      <c r="H23" s="418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0"/>
      <c r="B24" s="411"/>
      <c r="C24" s="411"/>
      <c r="D24" s="411"/>
      <c r="E24" s="411"/>
      <c r="F24" s="411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09" t="s">
        <v>339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5" t="s">
        <v>497</v>
      </c>
      <c r="B26" s="516"/>
      <c r="C26" s="516"/>
      <c r="D26" s="516"/>
      <c r="E26" s="516"/>
      <c r="F26" s="516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443</v>
      </c>
      <c r="B28" s="326"/>
      <c r="C28" s="369" t="s">
        <v>111</v>
      </c>
      <c r="D28" s="369"/>
      <c r="E28" s="369" t="s">
        <v>111</v>
      </c>
      <c r="F28" s="370" t="s">
        <v>480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8">
        <v>2001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8">
        <v>2001</v>
      </c>
      <c r="C32" s="327">
        <v>0.13120000000000001</v>
      </c>
      <c r="D32" s="327"/>
      <c r="E32" s="328">
        <v>0.28120000000000001</v>
      </c>
      <c r="F32" s="328">
        <v>0.28120000000000001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8">
        <v>2001</v>
      </c>
      <c r="C33" s="329">
        <v>0.06</v>
      </c>
      <c r="D33" s="329"/>
      <c r="E33" s="330">
        <v>0.06</v>
      </c>
      <c r="F33" s="330">
        <v>0.125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8">
        <v>2001</v>
      </c>
      <c r="C34" s="331">
        <f>SUM(C32:C33)</f>
        <v>0.19120000000000001</v>
      </c>
      <c r="D34" s="331"/>
      <c r="E34" s="332">
        <f>SUM(E32:E33)</f>
        <v>0.3412</v>
      </c>
      <c r="F34" s="332">
        <f>SUM(F32:F33)</f>
        <v>0.40620000000000001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8">
        <v>2001</v>
      </c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8">
        <v>2001</v>
      </c>
      <c r="C37" s="334">
        <v>2.2499999999999998E-3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8">
        <v>2001</v>
      </c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498</v>
      </c>
      <c r="B39" s="405" t="s">
        <v>472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499</v>
      </c>
      <c r="B40" s="406" t="s">
        <v>473</v>
      </c>
      <c r="C40" s="362">
        <v>10000000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9" t="s">
        <v>336</v>
      </c>
      <c r="B41" s="508"/>
      <c r="C41" s="508"/>
      <c r="D41" s="508"/>
      <c r="E41" s="508"/>
      <c r="F41" s="508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10"/>
      <c r="B42" s="510"/>
      <c r="C42" s="510"/>
      <c r="D42" s="510"/>
      <c r="E42" s="510"/>
      <c r="F42" s="510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09" t="s">
        <v>340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7" t="s">
        <v>500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480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8">
        <v>2001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>
        <v>0.13120000000000001</v>
      </c>
      <c r="D50" s="351"/>
      <c r="E50" s="352">
        <v>0.28120000000000001</v>
      </c>
      <c r="F50" s="352">
        <v>0.28120000000000001</v>
      </c>
      <c r="G50" s="194"/>
      <c r="H50" s="485">
        <v>0.26119999999999999</v>
      </c>
      <c r="I50" s="485">
        <f>+H50-F50</f>
        <v>-2.0000000000000018E-2</v>
      </c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>
        <v>0.06</v>
      </c>
      <c r="D51" s="353"/>
      <c r="E51" s="354">
        <v>0.06</v>
      </c>
      <c r="F51" s="354">
        <v>0.125</v>
      </c>
      <c r="G51" s="194"/>
      <c r="H51" s="485">
        <v>0.125</v>
      </c>
      <c r="I51" s="485">
        <f>+H51-F51</f>
        <v>0</v>
      </c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>
        <f>SUM(C50:C51)</f>
        <v>0.19120000000000001</v>
      </c>
      <c r="D52" s="331"/>
      <c r="E52" s="332">
        <f>SUM(E50:E51)</f>
        <v>0.3412</v>
      </c>
      <c r="F52" s="332">
        <f>SUM(F50:F51)</f>
        <v>0.40620000000000001</v>
      </c>
      <c r="G52" s="194"/>
      <c r="H52" s="485">
        <f>+H51+H50</f>
        <v>0.38619999999999999</v>
      </c>
      <c r="I52" s="485">
        <f>+H52-F52</f>
        <v>-2.0000000000000018E-2</v>
      </c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2.2499999999999998E-3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352</v>
      </c>
      <c r="B57" s="405" t="s">
        <v>472</v>
      </c>
      <c r="C57" s="361">
        <v>4787731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353</v>
      </c>
      <c r="B58" s="406" t="s">
        <v>473</v>
      </c>
      <c r="C58" s="362">
        <v>10000000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7" t="s">
        <v>354</v>
      </c>
      <c r="B59" s="511"/>
      <c r="C59" s="511"/>
      <c r="D59" s="511"/>
      <c r="E59" s="511"/>
      <c r="F59" s="511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2"/>
      <c r="B60" s="512"/>
      <c r="C60" s="512"/>
      <c r="D60" s="512"/>
      <c r="E60" s="512"/>
      <c r="F60" s="512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/>
  <pageMargins left="0.47" right="0.23622047244094491" top="1.22" bottom="0.31496062992125984" header="0.19685039370078741" footer="0.11811023622047245"/>
  <pageSetup scale="97" fitToHeight="0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  <rowBreaks count="1" manualBreakCount="1">
    <brk id="42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/>
  <dimension ref="A1:S108"/>
  <sheetViews>
    <sheetView view="pageBreakPreview" topLeftCell="A43" zoomScale="60" zoomScaleNormal="100" workbookViewId="0">
      <selection activeCell="A67" sqref="A67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461</v>
      </c>
      <c r="B2" s="2"/>
    </row>
    <row r="3" spans="1:15">
      <c r="A3" s="2" t="str">
        <f>REGINFO!A3</f>
        <v>Utility Name: TORONTO HYDRO-ELECTRIC SYSTEM LIMITED</v>
      </c>
      <c r="O3" s="414" t="str">
        <f>REGINFO!E1</f>
        <v>Version 2009.1</v>
      </c>
    </row>
    <row r="4" spans="1:15">
      <c r="A4" s="2" t="str">
        <f>REGINFO!A4</f>
        <v>Reporting period:  2001</v>
      </c>
      <c r="E4" s="415" t="s">
        <v>322</v>
      </c>
      <c r="F4" s="398"/>
      <c r="G4" s="398"/>
      <c r="H4" s="398"/>
      <c r="I4" s="398"/>
      <c r="O4" s="414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/>
      <c r="F11" s="417"/>
      <c r="G11" s="396"/>
      <c r="H11" s="417"/>
      <c r="I11" s="396">
        <f>G22</f>
        <v>0</v>
      </c>
      <c r="J11" s="390"/>
      <c r="K11" s="396">
        <f>I22</f>
        <v>0</v>
      </c>
      <c r="L11" s="390"/>
      <c r="M11" s="396">
        <f>K22</f>
        <v>0</v>
      </c>
      <c r="N11" s="390"/>
      <c r="O11" s="396">
        <f>C11</f>
        <v>0</v>
      </c>
    </row>
    <row r="12" spans="1:15" ht="27" customHeight="1">
      <c r="A12" s="81" t="s">
        <v>401</v>
      </c>
      <c r="B12" s="66" t="s">
        <v>190</v>
      </c>
      <c r="C12" s="395">
        <v>5000000</v>
      </c>
      <c r="D12" s="391"/>
      <c r="E12" s="395"/>
      <c r="F12" s="95"/>
      <c r="G12" s="416"/>
      <c r="H12" s="95"/>
      <c r="I12" s="416"/>
      <c r="J12" s="391"/>
      <c r="K12" s="416"/>
      <c r="L12" s="391"/>
      <c r="M12" s="416">
        <f>K13/9*12/4</f>
        <v>0</v>
      </c>
      <c r="N12" s="391"/>
      <c r="O12" s="396">
        <f t="shared" ref="O12:O20" si="0">SUM(C12:N12)</f>
        <v>5000000</v>
      </c>
    </row>
    <row r="13" spans="1:15" ht="27" customHeight="1">
      <c r="A13" s="81" t="s">
        <v>442</v>
      </c>
      <c r="B13" s="66"/>
      <c r="C13" s="416"/>
      <c r="D13" s="391"/>
      <c r="E13" s="416"/>
      <c r="F13" s="95"/>
      <c r="G13" s="416"/>
      <c r="H13" s="95"/>
      <c r="I13" s="416"/>
      <c r="J13" s="391"/>
      <c r="K13" s="395"/>
      <c r="L13" s="391"/>
      <c r="M13" s="416"/>
      <c r="N13" s="391"/>
      <c r="O13" s="396">
        <f t="shared" si="0"/>
        <v>0</v>
      </c>
    </row>
    <row r="14" spans="1:15" ht="25.5">
      <c r="A14" s="81" t="s">
        <v>402</v>
      </c>
      <c r="B14" s="66" t="s">
        <v>190</v>
      </c>
      <c r="C14" s="395"/>
      <c r="D14" s="391"/>
      <c r="E14" s="395">
        <f>TAXCALC!E183</f>
        <v>-290810.32958677685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-290810.32958677685</v>
      </c>
    </row>
    <row r="15" spans="1:15" ht="27" customHeight="1">
      <c r="A15" s="81" t="s">
        <v>403</v>
      </c>
      <c r="B15" s="66" t="s">
        <v>190</v>
      </c>
      <c r="C15" s="395"/>
      <c r="D15" s="391"/>
      <c r="E15" s="395"/>
      <c r="F15" s="95"/>
      <c r="G15" s="395"/>
      <c r="H15" s="95"/>
      <c r="I15" s="395"/>
      <c r="J15" s="391"/>
      <c r="K15" s="395"/>
      <c r="L15" s="391"/>
      <c r="M15" s="416">
        <f>TAXCALC!E132*0</f>
        <v>0</v>
      </c>
      <c r="N15" s="391"/>
      <c r="O15" s="396">
        <f t="shared" si="0"/>
        <v>0</v>
      </c>
    </row>
    <row r="16" spans="1:15" ht="27" customHeight="1">
      <c r="A16" s="81" t="s">
        <v>404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405</v>
      </c>
      <c r="B17" s="66" t="s">
        <v>190</v>
      </c>
      <c r="C17" s="395"/>
      <c r="D17" s="391"/>
      <c r="E17" s="395"/>
      <c r="F17" s="95"/>
      <c r="G17" s="395"/>
      <c r="H17" s="95"/>
      <c r="I17" s="395"/>
      <c r="J17" s="391"/>
      <c r="K17" s="395"/>
      <c r="L17" s="391"/>
      <c r="M17" s="416">
        <f>TAXCALC!E181</f>
        <v>0</v>
      </c>
      <c r="N17" s="391"/>
      <c r="O17" s="396">
        <f t="shared" si="0"/>
        <v>0</v>
      </c>
    </row>
    <row r="18" spans="1:15" ht="25.5">
      <c r="A18" s="81" t="s">
        <v>406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0" t="s">
        <v>407</v>
      </c>
      <c r="B19" s="66" t="s">
        <v>190</v>
      </c>
      <c r="C19" s="395">
        <v>28333</v>
      </c>
      <c r="D19" s="391"/>
      <c r="E19" s="395"/>
      <c r="F19" s="95"/>
      <c r="G19" s="395"/>
      <c r="H19" s="95"/>
      <c r="I19" s="395"/>
      <c r="J19" s="391"/>
      <c r="K19" s="395"/>
      <c r="L19" s="391"/>
      <c r="M19" s="395"/>
      <c r="N19" s="391"/>
      <c r="O19" s="396">
        <f t="shared" si="0"/>
        <v>28333</v>
      </c>
    </row>
    <row r="20" spans="1:15" ht="24.75" customHeight="1">
      <c r="A20" s="81" t="s">
        <v>471</v>
      </c>
      <c r="B20" s="66" t="s">
        <v>188</v>
      </c>
      <c r="C20" s="416">
        <v>0</v>
      </c>
      <c r="D20" s="391"/>
      <c r="E20" s="395"/>
      <c r="F20" s="95"/>
      <c r="G20" s="395"/>
      <c r="H20" s="95"/>
      <c r="I20" s="395"/>
      <c r="J20" s="391"/>
      <c r="K20" s="395"/>
      <c r="L20" s="391"/>
      <c r="M20" s="395"/>
      <c r="N20" s="391"/>
      <c r="O20" s="396">
        <f t="shared" si="0"/>
        <v>0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7"/>
    </row>
    <row r="22" spans="1:15" ht="13.5" thickBot="1">
      <c r="A22" s="81" t="s">
        <v>377</v>
      </c>
      <c r="B22" s="34"/>
      <c r="C22" s="397">
        <f>SUM(C11:C20)</f>
        <v>5028333</v>
      </c>
      <c r="D22" s="417"/>
      <c r="E22" s="397">
        <f>SUM(E11:E20)</f>
        <v>-290810.32958677685</v>
      </c>
      <c r="F22" s="417"/>
      <c r="G22" s="397"/>
      <c r="H22" s="417"/>
      <c r="I22" s="397">
        <f>SUM(I11:I20)</f>
        <v>0</v>
      </c>
      <c r="J22" s="390"/>
      <c r="K22" s="397">
        <f>SUM(K11:K20)</f>
        <v>0</v>
      </c>
      <c r="L22" s="390"/>
      <c r="M22" s="397">
        <f>SUM(M11:M21)</f>
        <v>0</v>
      </c>
      <c r="N22" s="390"/>
      <c r="O22" s="448">
        <f>SUM(O11:O20)</f>
        <v>4737522.6704132231</v>
      </c>
    </row>
    <row r="23" spans="1:15" ht="13.5" thickTop="1">
      <c r="A23" s="431"/>
      <c r="B23" s="432"/>
      <c r="C23" s="438"/>
      <c r="D23" s="439"/>
      <c r="E23" s="438"/>
      <c r="F23" s="439"/>
      <c r="G23" s="438"/>
      <c r="H23" s="439"/>
      <c r="I23" s="438"/>
      <c r="J23" s="432"/>
      <c r="K23" s="438"/>
      <c r="L23" s="188"/>
      <c r="M23" s="440"/>
      <c r="N23" s="188"/>
      <c r="O23" s="440"/>
    </row>
    <row r="24" spans="1:15">
      <c r="A24" s="454"/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6"/>
      <c r="O24" s="457"/>
    </row>
    <row r="25" spans="1:15">
      <c r="A25" s="431"/>
      <c r="B25" s="432"/>
      <c r="C25" s="458"/>
      <c r="D25" s="458"/>
      <c r="E25" s="458"/>
      <c r="F25" s="458"/>
      <c r="G25" s="458"/>
      <c r="H25" s="458"/>
      <c r="I25" s="458"/>
      <c r="J25" s="459"/>
      <c r="K25" s="458"/>
      <c r="L25" s="460"/>
      <c r="M25" s="461"/>
      <c r="N25" s="460"/>
      <c r="O25" s="461"/>
    </row>
    <row r="26" spans="1:15">
      <c r="A26" s="431" t="s">
        <v>408</v>
      </c>
      <c r="B26" s="432"/>
      <c r="C26" s="458"/>
      <c r="D26" s="458"/>
      <c r="E26" s="458"/>
      <c r="F26" s="458"/>
      <c r="G26" s="458"/>
      <c r="H26" s="458"/>
      <c r="I26" s="458"/>
      <c r="J26" s="459"/>
      <c r="K26" s="458"/>
      <c r="L26" s="460"/>
      <c r="M26" s="461"/>
      <c r="N26" s="460"/>
      <c r="O26" s="461"/>
    </row>
    <row r="27" spans="1:15" ht="9" customHeight="1">
      <c r="A27" s="431"/>
      <c r="B27" s="432"/>
      <c r="C27" s="432"/>
      <c r="D27" s="432"/>
      <c r="E27" s="432"/>
      <c r="F27" s="432"/>
      <c r="G27" s="432"/>
      <c r="H27" s="432"/>
      <c r="I27" s="432"/>
      <c r="J27" s="432"/>
      <c r="K27" s="433"/>
      <c r="L27" s="188"/>
      <c r="M27" s="188"/>
      <c r="N27" s="188"/>
      <c r="O27" s="188"/>
    </row>
    <row r="28" spans="1:15">
      <c r="A28" s="431" t="s">
        <v>409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32"/>
      <c r="L28" s="188"/>
      <c r="M28" s="188"/>
      <c r="N28" s="188"/>
      <c r="O28" s="188"/>
    </row>
    <row r="29" spans="1:15">
      <c r="A29" s="434" t="s">
        <v>410</v>
      </c>
      <c r="B29" s="432"/>
      <c r="C29" s="432"/>
      <c r="D29" s="432"/>
      <c r="E29" s="432"/>
      <c r="F29" s="432"/>
      <c r="G29" s="432"/>
      <c r="H29" s="432"/>
      <c r="I29" s="432"/>
      <c r="J29" s="432"/>
      <c r="K29" s="432"/>
      <c r="L29" s="188"/>
      <c r="M29" s="188"/>
      <c r="N29" s="188"/>
      <c r="O29" s="188"/>
    </row>
    <row r="30" spans="1:15" ht="9" customHeight="1">
      <c r="A30" s="188"/>
      <c r="B30" s="432"/>
      <c r="C30" s="432"/>
      <c r="D30" s="432"/>
      <c r="E30" s="432"/>
      <c r="F30" s="432"/>
      <c r="G30" s="432"/>
      <c r="H30" s="432"/>
      <c r="I30" s="432"/>
      <c r="J30" s="432"/>
      <c r="K30" s="432"/>
      <c r="L30" s="188"/>
      <c r="M30" s="188"/>
      <c r="N30" s="188"/>
      <c r="O30" s="188"/>
    </row>
    <row r="31" spans="1:15">
      <c r="A31" s="449" t="s">
        <v>487</v>
      </c>
      <c r="B31" s="80"/>
      <c r="C31" s="80"/>
      <c r="D31" s="80"/>
      <c r="E31" s="80"/>
      <c r="F31" s="80"/>
      <c r="G31" s="80"/>
      <c r="H31" s="80"/>
      <c r="I31" s="445"/>
      <c r="J31" s="445"/>
      <c r="K31" s="445"/>
      <c r="L31" s="445"/>
      <c r="M31" s="445"/>
      <c r="N31" s="445"/>
      <c r="O31" s="445"/>
    </row>
    <row r="32" spans="1:15" ht="9" customHeight="1">
      <c r="A32" s="450"/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</row>
    <row r="33" spans="1:19">
      <c r="A33" s="518" t="s">
        <v>411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418"/>
      <c r="Q33" s="418"/>
      <c r="R33" s="418"/>
      <c r="S33" s="418"/>
    </row>
    <row r="34" spans="1:19">
      <c r="A34" s="517" t="s">
        <v>412</v>
      </c>
      <c r="B34" s="520"/>
      <c r="C34" s="520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  <c r="O34" s="520"/>
      <c r="P34" s="418"/>
      <c r="Q34" s="418"/>
      <c r="R34" s="418"/>
      <c r="S34" s="418"/>
    </row>
    <row r="35" spans="1:19">
      <c r="A35" s="517" t="s">
        <v>433</v>
      </c>
      <c r="B35" s="520"/>
      <c r="C35" s="520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418"/>
      <c r="Q35" s="418"/>
      <c r="R35" s="418"/>
      <c r="S35" s="418"/>
    </row>
    <row r="36" spans="1:19">
      <c r="A36" s="517" t="s">
        <v>413</v>
      </c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418"/>
      <c r="Q36" s="418"/>
      <c r="R36" s="418"/>
      <c r="S36" s="418"/>
    </row>
    <row r="37" spans="1:19">
      <c r="A37" s="435" t="s">
        <v>374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18"/>
      <c r="Q37" s="418"/>
      <c r="R37" s="418"/>
      <c r="S37" s="418"/>
    </row>
    <row r="38" spans="1:19">
      <c r="A38" s="435" t="s">
        <v>375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18"/>
      <c r="Q38" s="418"/>
      <c r="R38" s="418"/>
      <c r="S38" s="418"/>
    </row>
    <row r="39" spans="1:19">
      <c r="A39" s="435" t="s">
        <v>414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18"/>
      <c r="Q39" s="418"/>
      <c r="R39" s="418"/>
      <c r="S39" s="418"/>
    </row>
    <row r="40" spans="1:19">
      <c r="A40" s="435" t="s">
        <v>415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18"/>
      <c r="Q40" s="418"/>
      <c r="R40" s="418"/>
      <c r="S40" s="418"/>
    </row>
    <row r="41" spans="1:19" ht="9" customHeight="1"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18"/>
      <c r="Q41" s="418"/>
      <c r="R41" s="418"/>
      <c r="S41" s="418"/>
    </row>
    <row r="42" spans="1:19">
      <c r="A42" s="437" t="s">
        <v>416</v>
      </c>
      <c r="B42" s="432"/>
      <c r="C42" s="432"/>
      <c r="D42" s="432"/>
      <c r="E42" s="432"/>
      <c r="F42" s="432"/>
      <c r="G42" s="432"/>
      <c r="H42" s="432"/>
      <c r="I42" s="432"/>
      <c r="J42" s="432"/>
      <c r="K42" s="432"/>
      <c r="L42" s="188"/>
      <c r="M42" s="188"/>
      <c r="N42" s="188"/>
      <c r="O42" s="188"/>
    </row>
    <row r="43" spans="1:19">
      <c r="A43" s="432" t="s">
        <v>417</v>
      </c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188"/>
      <c r="M43" s="188"/>
      <c r="N43" s="188"/>
      <c r="O43" s="188"/>
    </row>
    <row r="44" spans="1:19" ht="9" customHeight="1">
      <c r="A44" s="432"/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188"/>
      <c r="M44" s="188"/>
      <c r="N44" s="188"/>
      <c r="O44" s="188"/>
    </row>
    <row r="45" spans="1:19">
      <c r="A45" s="437" t="s">
        <v>418</v>
      </c>
      <c r="B45" s="432"/>
      <c r="C45" s="432"/>
      <c r="D45" s="432"/>
      <c r="E45" s="432"/>
      <c r="F45" s="432"/>
      <c r="G45" s="432"/>
      <c r="H45" s="432"/>
      <c r="I45" s="432"/>
      <c r="J45" s="432"/>
      <c r="K45" s="432"/>
      <c r="L45" s="188"/>
      <c r="M45" s="188"/>
      <c r="N45" s="188"/>
      <c r="O45" s="188"/>
    </row>
    <row r="46" spans="1:19">
      <c r="A46" s="432" t="s">
        <v>419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188"/>
      <c r="M46" s="188"/>
      <c r="N46" s="188"/>
      <c r="O46" s="188"/>
    </row>
    <row r="47" spans="1:19" ht="9" customHeight="1">
      <c r="A47" s="432"/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188"/>
      <c r="M47" s="188"/>
      <c r="N47" s="188"/>
      <c r="O47" s="188"/>
    </row>
    <row r="48" spans="1:19">
      <c r="A48" s="437" t="s">
        <v>420</v>
      </c>
      <c r="B48" s="432"/>
      <c r="C48" s="432"/>
      <c r="D48" s="432"/>
      <c r="E48" s="432"/>
      <c r="F48" s="432"/>
      <c r="G48" s="432"/>
      <c r="H48" s="432"/>
      <c r="I48" s="432"/>
      <c r="J48" s="432"/>
      <c r="K48" s="432"/>
      <c r="L48" s="188"/>
      <c r="M48" s="188"/>
      <c r="N48" s="188"/>
      <c r="O48" s="188"/>
    </row>
    <row r="49" spans="1:15">
      <c r="A49" s="432" t="s">
        <v>421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188"/>
      <c r="M49" s="188"/>
      <c r="N49" s="188"/>
      <c r="O49" s="188"/>
    </row>
    <row r="50" spans="1:15" ht="9" customHeight="1">
      <c r="A50" s="432"/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188"/>
      <c r="M50" s="188"/>
      <c r="N50" s="188"/>
      <c r="O50" s="188"/>
    </row>
    <row r="51" spans="1:15">
      <c r="A51" s="437" t="s">
        <v>422</v>
      </c>
      <c r="B51" s="432"/>
      <c r="C51" s="432"/>
      <c r="D51" s="432"/>
      <c r="E51" s="432"/>
      <c r="F51" s="432"/>
      <c r="G51" s="432"/>
      <c r="H51" s="432"/>
      <c r="I51" s="432"/>
      <c r="J51" s="432"/>
      <c r="K51" s="432"/>
      <c r="L51" s="188"/>
      <c r="M51" s="188"/>
      <c r="N51" s="188"/>
      <c r="O51" s="188"/>
    </row>
    <row r="52" spans="1:15">
      <c r="A52" s="432" t="s">
        <v>419</v>
      </c>
      <c r="B52" s="432"/>
      <c r="C52" s="432"/>
      <c r="D52" s="432"/>
      <c r="E52" s="432"/>
      <c r="F52" s="432"/>
      <c r="G52" s="432"/>
      <c r="H52" s="432"/>
      <c r="I52" s="432"/>
      <c r="J52" s="432"/>
      <c r="K52" s="432"/>
      <c r="L52" s="188"/>
      <c r="M52" s="188"/>
      <c r="N52" s="188"/>
      <c r="O52" s="188"/>
    </row>
    <row r="53" spans="1:15" ht="9" customHeight="1">
      <c r="A53" s="437"/>
      <c r="B53" s="432"/>
      <c r="C53" s="432"/>
      <c r="D53" s="432"/>
      <c r="E53" s="432"/>
      <c r="F53" s="432"/>
      <c r="G53" s="432"/>
      <c r="H53" s="432"/>
      <c r="I53" s="432"/>
      <c r="J53" s="432"/>
      <c r="K53" s="432"/>
      <c r="L53" s="188"/>
      <c r="M53" s="188"/>
      <c r="N53" s="188"/>
      <c r="O53" s="188"/>
    </row>
    <row r="54" spans="1:15">
      <c r="A54" s="432" t="s">
        <v>423</v>
      </c>
      <c r="B54" s="432"/>
      <c r="C54" s="432"/>
      <c r="D54" s="432"/>
      <c r="E54" s="432"/>
      <c r="F54" s="432"/>
      <c r="G54" s="432"/>
      <c r="H54" s="432"/>
      <c r="I54" s="432"/>
      <c r="J54" s="432"/>
      <c r="K54" s="432"/>
      <c r="L54" s="188"/>
      <c r="M54" s="188"/>
      <c r="N54" s="188"/>
      <c r="O54" s="188"/>
    </row>
    <row r="55" spans="1:15" ht="9" customHeight="1">
      <c r="A55" s="432"/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188"/>
      <c r="M55" s="188"/>
      <c r="N55" s="188"/>
      <c r="O55" s="188"/>
    </row>
    <row r="56" spans="1:15" ht="12.75" customHeight="1">
      <c r="A56" s="437" t="s">
        <v>424</v>
      </c>
      <c r="B56" s="432"/>
      <c r="C56" s="432"/>
      <c r="D56" s="432"/>
      <c r="E56" s="432"/>
      <c r="F56" s="432"/>
      <c r="G56" s="432"/>
      <c r="H56" s="432"/>
      <c r="I56" s="432"/>
      <c r="J56" s="432"/>
      <c r="K56" s="432"/>
      <c r="L56" s="188"/>
      <c r="M56" s="188"/>
      <c r="N56" s="188"/>
      <c r="O56" s="188"/>
    </row>
    <row r="57" spans="1:15" ht="9" customHeight="1">
      <c r="A57" s="432"/>
      <c r="B57" s="432"/>
      <c r="C57" s="432"/>
      <c r="D57" s="432"/>
      <c r="E57" s="432"/>
      <c r="F57" s="432"/>
      <c r="G57" s="432"/>
      <c r="H57" s="432"/>
      <c r="I57" s="432"/>
      <c r="J57" s="432"/>
      <c r="K57" s="432"/>
      <c r="L57" s="188"/>
      <c r="M57" s="188"/>
      <c r="N57" s="188"/>
      <c r="O57" s="188"/>
    </row>
    <row r="58" spans="1:15">
      <c r="A58" s="432" t="s">
        <v>425</v>
      </c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188"/>
      <c r="M58" s="188"/>
      <c r="N58" s="188"/>
      <c r="O58" s="188"/>
    </row>
    <row r="59" spans="1:15">
      <c r="A59" s="432" t="s">
        <v>426</v>
      </c>
      <c r="B59" s="432"/>
      <c r="C59" s="432"/>
      <c r="D59" s="432"/>
      <c r="E59" s="432"/>
      <c r="F59" s="432"/>
      <c r="G59" s="432"/>
      <c r="H59" s="432"/>
      <c r="I59" s="432"/>
      <c r="J59" s="432"/>
      <c r="K59" s="432"/>
      <c r="L59" s="188"/>
      <c r="M59" s="188"/>
      <c r="N59" s="188"/>
      <c r="O59" s="188"/>
    </row>
    <row r="60" spans="1:15">
      <c r="A60" s="432" t="s">
        <v>427</v>
      </c>
      <c r="B60" s="432"/>
      <c r="C60" s="432"/>
      <c r="D60" s="432"/>
      <c r="E60" s="432"/>
      <c r="F60" s="432"/>
      <c r="G60" s="432"/>
      <c r="H60" s="432"/>
      <c r="I60" s="432"/>
      <c r="J60" s="432"/>
      <c r="K60" s="432"/>
      <c r="L60" s="188"/>
      <c r="M60" s="188"/>
      <c r="N60" s="188"/>
      <c r="O60" s="188"/>
    </row>
    <row r="61" spans="1:15">
      <c r="A61" s="432" t="s">
        <v>384</v>
      </c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188"/>
      <c r="M61" s="188"/>
      <c r="N61" s="188"/>
      <c r="O61" s="188"/>
    </row>
    <row r="62" spans="1:15" ht="9" customHeight="1">
      <c r="A62" s="432"/>
      <c r="B62" s="432"/>
      <c r="C62" s="432"/>
      <c r="D62" s="432"/>
      <c r="E62" s="432"/>
      <c r="F62" s="432"/>
      <c r="G62" s="432"/>
      <c r="H62" s="432"/>
      <c r="I62" s="432"/>
      <c r="J62" s="432"/>
      <c r="K62" s="432"/>
      <c r="L62" s="188"/>
      <c r="M62" s="188"/>
      <c r="N62" s="188"/>
      <c r="O62" s="188"/>
    </row>
    <row r="63" spans="1:15">
      <c r="A63" s="432" t="s">
        <v>428</v>
      </c>
      <c r="B63" s="432"/>
      <c r="C63" s="432"/>
      <c r="D63" s="432"/>
      <c r="E63" s="432"/>
      <c r="F63" s="432"/>
      <c r="G63" s="432"/>
      <c r="H63" s="432"/>
      <c r="I63" s="432"/>
      <c r="J63" s="432"/>
      <c r="K63" s="432"/>
      <c r="L63" s="188"/>
      <c r="M63" s="188"/>
      <c r="N63" s="188"/>
      <c r="O63" s="188"/>
    </row>
    <row r="64" spans="1:15">
      <c r="A64" s="432" t="s">
        <v>429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188"/>
      <c r="M64" s="188"/>
      <c r="N64" s="188"/>
      <c r="O64" s="188"/>
    </row>
    <row r="65" spans="1:17">
      <c r="A65" s="432" t="s">
        <v>386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188"/>
      <c r="M65" s="188"/>
      <c r="N65" s="188"/>
      <c r="O65" s="188"/>
    </row>
    <row r="66" spans="1:17" ht="3.75" customHeight="1">
      <c r="A66" s="432"/>
      <c r="B66" s="432"/>
      <c r="C66" s="432"/>
      <c r="D66" s="432"/>
      <c r="E66" s="432"/>
      <c r="F66" s="432"/>
      <c r="G66" s="432"/>
      <c r="H66" s="432"/>
      <c r="I66" s="432"/>
      <c r="J66" s="432"/>
      <c r="K66" s="432"/>
      <c r="L66" s="188"/>
      <c r="M66" s="188"/>
      <c r="N66" s="188"/>
      <c r="O66" s="188"/>
    </row>
    <row r="67" spans="1:17">
      <c r="A67" s="432" t="s">
        <v>385</v>
      </c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188"/>
      <c r="M67" s="188"/>
      <c r="N67" s="188"/>
      <c r="O67" s="188"/>
    </row>
    <row r="68" spans="1:17">
      <c r="A68" s="432" t="s">
        <v>387</v>
      </c>
      <c r="B68" s="432"/>
      <c r="C68" s="432"/>
      <c r="D68" s="432"/>
      <c r="E68" s="432"/>
      <c r="F68" s="432"/>
      <c r="G68" s="432"/>
      <c r="H68" s="432"/>
      <c r="I68" s="432"/>
      <c r="J68" s="432"/>
      <c r="K68" s="432"/>
      <c r="L68" s="188"/>
      <c r="M68" s="188"/>
      <c r="N68" s="188"/>
      <c r="O68" s="188"/>
    </row>
    <row r="69" spans="1:17" ht="3.75" customHeight="1">
      <c r="A69" s="432"/>
      <c r="B69" s="432"/>
      <c r="C69" s="432"/>
      <c r="D69" s="432"/>
      <c r="E69" s="432"/>
      <c r="F69" s="432"/>
      <c r="G69" s="432"/>
      <c r="H69" s="432"/>
      <c r="I69" s="432"/>
      <c r="J69" s="432"/>
      <c r="K69" s="432"/>
      <c r="L69" s="188"/>
      <c r="M69" s="188"/>
      <c r="N69" s="188"/>
      <c r="O69" s="188"/>
    </row>
    <row r="70" spans="1:17">
      <c r="A70" s="432" t="s">
        <v>430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188"/>
      <c r="M70" s="188"/>
      <c r="N70" s="188"/>
      <c r="O70" s="188"/>
    </row>
    <row r="71" spans="1:17">
      <c r="A71" s="432" t="s">
        <v>431</v>
      </c>
      <c r="B71" s="432"/>
      <c r="C71" s="432"/>
      <c r="D71" s="432"/>
      <c r="E71" s="432"/>
      <c r="F71" s="432"/>
      <c r="G71" s="432"/>
      <c r="H71" s="432"/>
      <c r="I71" s="432"/>
      <c r="J71" s="432"/>
      <c r="K71" s="432"/>
      <c r="L71" s="188"/>
      <c r="M71" s="188"/>
      <c r="N71" s="188"/>
      <c r="O71" s="188"/>
    </row>
    <row r="72" spans="1:17">
      <c r="A72" s="432" t="s">
        <v>432</v>
      </c>
      <c r="B72" s="432"/>
      <c r="C72" s="432"/>
      <c r="D72" s="432"/>
      <c r="E72" s="432"/>
      <c r="F72" s="432"/>
      <c r="G72" s="432"/>
      <c r="H72" s="432"/>
      <c r="I72" s="432"/>
      <c r="J72" s="432"/>
      <c r="K72" s="432"/>
      <c r="L72" s="188"/>
      <c r="M72" s="188"/>
      <c r="N72" s="188"/>
      <c r="O72" s="188"/>
    </row>
    <row r="73" spans="1:17" ht="9" customHeight="1">
      <c r="A73" s="432"/>
      <c r="B73" s="432"/>
      <c r="C73" s="432"/>
      <c r="D73" s="432"/>
      <c r="E73" s="432"/>
      <c r="F73" s="432"/>
      <c r="G73" s="432"/>
      <c r="H73" s="432"/>
      <c r="I73" s="432"/>
      <c r="J73" s="432"/>
      <c r="K73" s="432"/>
      <c r="L73" s="188"/>
      <c r="M73" s="188"/>
      <c r="N73" s="188"/>
      <c r="O73" s="188"/>
    </row>
    <row r="74" spans="1:17" ht="12.75" customHeight="1">
      <c r="A74" s="517" t="s">
        <v>462</v>
      </c>
      <c r="B74" s="517"/>
      <c r="C74" s="517"/>
      <c r="D74" s="517"/>
      <c r="E74" s="517"/>
      <c r="F74" s="517"/>
      <c r="G74" s="517"/>
      <c r="H74" s="517"/>
      <c r="I74" s="517"/>
      <c r="J74" s="517"/>
      <c r="K74" s="517"/>
      <c r="L74" s="517"/>
      <c r="M74" s="517"/>
      <c r="N74" s="517"/>
      <c r="O74" s="517"/>
    </row>
    <row r="75" spans="1:17">
      <c r="A75" s="432" t="s">
        <v>376</v>
      </c>
      <c r="B75" s="432"/>
      <c r="C75" s="432"/>
      <c r="D75" s="432"/>
      <c r="E75" s="432"/>
      <c r="F75" s="432"/>
      <c r="G75" s="432"/>
      <c r="H75" s="432"/>
      <c r="I75" s="432"/>
      <c r="J75" s="432"/>
      <c r="K75" s="432"/>
      <c r="L75" s="188"/>
      <c r="M75" s="188"/>
      <c r="N75" s="188"/>
      <c r="O75" s="188"/>
    </row>
    <row r="76" spans="1:17">
      <c r="A76" s="188"/>
      <c r="B76" s="432"/>
      <c r="C76" s="432"/>
      <c r="D76" s="432"/>
      <c r="E76" s="432"/>
      <c r="F76" s="432"/>
      <c r="G76" s="432"/>
      <c r="H76" s="432"/>
      <c r="I76" s="432"/>
      <c r="J76" s="432"/>
      <c r="K76" s="432"/>
      <c r="L76" s="188"/>
      <c r="M76" s="188"/>
      <c r="N76" s="188"/>
      <c r="O76" s="188"/>
    </row>
    <row r="77" spans="1:17">
      <c r="A77" s="188"/>
      <c r="B77" s="432"/>
      <c r="C77" s="432"/>
      <c r="D77" s="432"/>
      <c r="E77" s="432"/>
      <c r="F77" s="432"/>
      <c r="G77" s="432"/>
      <c r="H77" s="432"/>
      <c r="I77" s="432"/>
      <c r="J77" s="432"/>
      <c r="K77" s="432"/>
      <c r="L77" s="188"/>
      <c r="M77" s="188"/>
      <c r="N77" s="188"/>
      <c r="O77" s="188"/>
    </row>
    <row r="78" spans="1:17">
      <c r="A78" s="188"/>
      <c r="B78" s="432"/>
      <c r="C78" s="432"/>
      <c r="D78" s="432"/>
      <c r="E78" s="432"/>
      <c r="F78" s="432"/>
      <c r="G78" s="432"/>
      <c r="H78" s="432"/>
      <c r="I78" s="432"/>
      <c r="J78" s="432"/>
      <c r="K78" s="432"/>
      <c r="L78" s="432"/>
      <c r="M78" s="432"/>
      <c r="N78" s="188"/>
      <c r="O78" s="188"/>
      <c r="P78" s="188"/>
      <c r="Q78" s="188"/>
    </row>
    <row r="79" spans="1:17">
      <c r="A79" s="188"/>
      <c r="B79" s="432"/>
      <c r="C79" s="432"/>
      <c r="D79" s="432"/>
      <c r="E79" s="432"/>
      <c r="F79" s="432"/>
      <c r="G79" s="432"/>
      <c r="H79" s="432"/>
      <c r="I79" s="432"/>
      <c r="J79" s="432"/>
      <c r="K79" s="432"/>
      <c r="L79" s="432"/>
      <c r="M79" s="432"/>
      <c r="N79" s="188"/>
      <c r="O79" s="188"/>
      <c r="P79" s="188"/>
      <c r="Q79" s="188"/>
    </row>
    <row r="80" spans="1:17">
      <c r="A80" s="188"/>
      <c r="B80" s="432"/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188"/>
      <c r="O80" s="188"/>
      <c r="P80" s="188"/>
      <c r="Q80" s="188"/>
    </row>
    <row r="81" spans="1:17">
      <c r="A81" s="432"/>
      <c r="B81" s="432"/>
      <c r="C81" s="432"/>
      <c r="D81" s="432"/>
      <c r="E81" s="432"/>
      <c r="F81" s="432"/>
      <c r="G81" s="432"/>
      <c r="H81" s="432"/>
      <c r="I81" s="432"/>
      <c r="J81" s="432"/>
      <c r="K81" s="432"/>
      <c r="L81" s="432"/>
      <c r="M81" s="432"/>
      <c r="N81" s="188"/>
      <c r="O81" s="188"/>
      <c r="P81" s="188"/>
      <c r="Q81" s="188"/>
    </row>
    <row r="82" spans="1:17">
      <c r="A82" s="188"/>
      <c r="B82" s="188"/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188"/>
      <c r="O82" s="188"/>
      <c r="P82" s="188"/>
      <c r="Q82" s="188"/>
    </row>
    <row r="83" spans="1:17">
      <c r="A83" s="188"/>
      <c r="B83" s="188"/>
      <c r="C83" s="432"/>
      <c r="D83" s="432"/>
      <c r="E83" s="432"/>
      <c r="F83" s="432"/>
      <c r="G83" s="432"/>
      <c r="H83" s="432"/>
      <c r="I83" s="432"/>
      <c r="J83" s="432"/>
      <c r="K83" s="432"/>
      <c r="L83" s="432"/>
      <c r="M83" s="432"/>
      <c r="N83" s="188"/>
      <c r="O83" s="188"/>
      <c r="P83" s="188"/>
      <c r="Q83" s="188"/>
    </row>
    <row r="84" spans="1:17">
      <c r="A84" s="432"/>
      <c r="B84" s="432"/>
      <c r="C84" s="432"/>
      <c r="D84" s="432"/>
      <c r="E84" s="432"/>
      <c r="F84" s="432"/>
      <c r="G84" s="432"/>
      <c r="H84" s="432"/>
      <c r="I84" s="432"/>
      <c r="J84" s="432"/>
      <c r="K84" s="432"/>
      <c r="L84" s="432"/>
      <c r="M84" s="432"/>
      <c r="N84" s="188"/>
      <c r="O84" s="188"/>
      <c r="P84" s="188"/>
      <c r="Q84" s="188"/>
    </row>
    <row r="85" spans="1:17">
      <c r="A85" s="188"/>
      <c r="B85" s="432"/>
      <c r="C85" s="432"/>
      <c r="D85" s="432"/>
      <c r="E85" s="432"/>
      <c r="F85" s="432"/>
      <c r="G85" s="432"/>
      <c r="H85" s="432"/>
      <c r="I85" s="432"/>
      <c r="J85" s="432"/>
      <c r="K85" s="432"/>
      <c r="L85" s="432"/>
      <c r="M85" s="432"/>
      <c r="N85" s="188"/>
      <c r="O85" s="188"/>
      <c r="P85" s="188"/>
      <c r="Q85" s="188"/>
    </row>
    <row r="86" spans="1:17">
      <c r="A86" s="188"/>
      <c r="B86" s="432"/>
      <c r="C86" s="432"/>
      <c r="D86" s="432"/>
      <c r="E86" s="432"/>
      <c r="F86" s="432"/>
      <c r="G86" s="432"/>
      <c r="H86" s="432"/>
      <c r="I86" s="432"/>
      <c r="J86" s="432"/>
      <c r="K86" s="432"/>
      <c r="L86" s="432"/>
      <c r="M86" s="432"/>
      <c r="N86" s="188"/>
      <c r="O86" s="188"/>
      <c r="P86" s="188"/>
      <c r="Q86" s="188"/>
    </row>
    <row r="87" spans="1:17">
      <c r="A87" s="188"/>
      <c r="B87" s="188"/>
      <c r="C87" s="432"/>
      <c r="D87" s="432"/>
      <c r="E87" s="432"/>
      <c r="F87" s="432"/>
      <c r="G87" s="432"/>
      <c r="H87" s="432"/>
      <c r="I87" s="432"/>
      <c r="J87" s="432"/>
      <c r="K87" s="432"/>
      <c r="L87" s="432"/>
      <c r="M87" s="432"/>
      <c r="N87" s="188"/>
      <c r="O87" s="188"/>
      <c r="P87" s="188"/>
      <c r="Q87" s="188"/>
    </row>
    <row r="88" spans="1:17">
      <c r="A88" s="188"/>
      <c r="B88" s="188"/>
      <c r="C88" s="432"/>
      <c r="D88" s="432"/>
      <c r="E88" s="432"/>
      <c r="F88" s="432"/>
      <c r="G88" s="432"/>
      <c r="H88" s="432"/>
      <c r="I88" s="432"/>
      <c r="J88" s="432"/>
      <c r="K88" s="432"/>
      <c r="L88" s="432"/>
      <c r="M88" s="432"/>
      <c r="N88" s="188"/>
      <c r="O88" s="188"/>
      <c r="P88" s="188"/>
      <c r="Q88" s="188"/>
    </row>
    <row r="89" spans="1:17">
      <c r="A89" s="188"/>
      <c r="B89" s="188"/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188"/>
      <c r="O89" s="188"/>
      <c r="P89" s="188"/>
      <c r="Q89" s="188"/>
    </row>
    <row r="90" spans="1:17">
      <c r="A90" s="188"/>
      <c r="B90" s="188"/>
      <c r="C90" s="432"/>
      <c r="D90" s="432"/>
      <c r="E90" s="432"/>
      <c r="F90" s="432"/>
      <c r="G90" s="432"/>
      <c r="H90" s="432"/>
      <c r="I90" s="432"/>
      <c r="J90" s="432"/>
      <c r="K90" s="432"/>
      <c r="L90" s="432"/>
      <c r="M90" s="432"/>
      <c r="N90" s="188"/>
      <c r="O90" s="188"/>
      <c r="P90" s="188"/>
      <c r="Q90" s="188"/>
    </row>
    <row r="91" spans="1:17">
      <c r="A91" s="188"/>
      <c r="B91" s="188"/>
      <c r="D91" s="432"/>
      <c r="E91" s="432"/>
      <c r="F91" s="432"/>
      <c r="G91" s="432"/>
      <c r="H91" s="432"/>
      <c r="I91" s="432"/>
      <c r="J91" s="432"/>
      <c r="K91" s="432"/>
      <c r="L91" s="432"/>
      <c r="M91" s="432"/>
      <c r="N91" s="188"/>
      <c r="O91" s="188"/>
      <c r="P91" s="188"/>
      <c r="Q91" s="188"/>
    </row>
    <row r="92" spans="1:17">
      <c r="A92" s="188"/>
      <c r="B92" s="188"/>
      <c r="C92" s="517"/>
      <c r="D92" s="517"/>
      <c r="E92" s="517"/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</row>
    <row r="93" spans="1:17">
      <c r="A93" s="188"/>
      <c r="B93" s="188"/>
      <c r="C93" s="432"/>
      <c r="D93" s="432"/>
      <c r="E93" s="432"/>
      <c r="F93" s="432"/>
      <c r="G93" s="432"/>
      <c r="H93" s="432"/>
      <c r="I93" s="432"/>
      <c r="J93" s="432"/>
      <c r="K93" s="432"/>
      <c r="L93" s="432"/>
      <c r="M93" s="432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/>
  <pageMargins left="0.31496062992125984" right="0.23622047244094491" top="0.95" bottom="0.31496062992125984" header="0.19685039370078741" footer="0.11811023622047245"/>
  <pageSetup scale="65" orientation="portrait" cellComments="asDisplayed" r:id="rId1"/>
  <headerFooter alignWithMargins="0">
    <oddHeader>&amp;R&amp;9Toronto Hydro-Electric System Limited
EB-2012-0064
Tab 5
Schedule C
ORIGINAL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2012-05-08T20:16:08Z</cp:lastPrinted>
  <dcterms:created xsi:type="dcterms:W3CDTF">2001-11-07T16:15:53Z</dcterms:created>
  <dcterms:modified xsi:type="dcterms:W3CDTF">2012-05-08T20:16:24Z</dcterms:modified>
</cp:coreProperties>
</file>