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7955" windowHeight="10590" tabRatio="901" activeTab="7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Calculation'!$A$1:$O$75</definedName>
    <definedName name="_xlnm.Print_Area" localSheetId="0">REGINFO!$A$1:$E$70</definedName>
    <definedName name="_xlnm.Print_Area" localSheetId="6">'Tax Rates'!$A$1:$G$60</definedName>
    <definedName name="_xlnm.Print_Area" localSheetId="3">'Tax Reserves'!$A$1:$F$63</definedName>
    <definedName name="_xlnm.Print_Area" localSheetId="1">TAXCALC!$A$1:$H$208</definedName>
    <definedName name="_xlnm.Print_Area" localSheetId="4">'TAXREC 2'!$A$1:$F$122</definedName>
    <definedName name="_xlnm.Print_Area" localSheetId="5">'TAXREC 3 No True-up'!$A$1:$F$74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/>
</workbook>
</file>

<file path=xl/calcChain.xml><?xml version="1.0" encoding="utf-8"?>
<calcChain xmlns="http://schemas.openxmlformats.org/spreadsheetml/2006/main">
  <c r="E45" i="20"/>
  <c r="E20"/>
  <c r="E19"/>
  <c r="C150" i="12"/>
  <c r="C149"/>
  <c r="E149"/>
  <c r="C11" i="20"/>
  <c r="C112" s="1"/>
  <c r="C80" i="12"/>
  <c r="E38" i="24"/>
  <c r="E37"/>
  <c r="E36"/>
  <c r="E35"/>
  <c r="C50" i="12"/>
  <c r="C53" s="1"/>
  <c r="E48" i="13"/>
  <c r="G76" i="2"/>
  <c r="G77" s="1"/>
  <c r="G79"/>
  <c r="B9"/>
  <c r="B10"/>
  <c r="C75"/>
  <c r="C76" s="1"/>
  <c r="C79"/>
  <c r="E142" i="12"/>
  <c r="E143"/>
  <c r="E144"/>
  <c r="E76"/>
  <c r="E88"/>
  <c r="E112" i="20"/>
  <c r="E43" i="12"/>
  <c r="E45"/>
  <c r="F16" i="23"/>
  <c r="G68" i="2"/>
  <c r="G72"/>
  <c r="E158" i="12"/>
  <c r="E157"/>
  <c r="E166" i="2"/>
  <c r="C66"/>
  <c r="E151" s="1"/>
  <c r="E155"/>
  <c r="C70"/>
  <c r="E70" s="1"/>
  <c r="A1" i="25"/>
  <c r="A1" i="23"/>
  <c r="A2" i="24"/>
  <c r="A2" i="20"/>
  <c r="A1" i="21"/>
  <c r="E37" i="20"/>
  <c r="C68" s="1"/>
  <c r="E38"/>
  <c r="A1" i="12"/>
  <c r="A1" i="2"/>
  <c r="E52" i="13"/>
  <c r="D76" i="20"/>
  <c r="A76"/>
  <c r="D35" i="13"/>
  <c r="D60" s="1"/>
  <c r="D62" s="1"/>
  <c r="O13" i="25"/>
  <c r="M12"/>
  <c r="O12" s="1"/>
  <c r="O4"/>
  <c r="O3"/>
  <c r="A4"/>
  <c r="A3"/>
  <c r="E47" i="13"/>
  <c r="E43"/>
  <c r="E51" i="12"/>
  <c r="G37" i="2" s="1"/>
  <c r="E62" i="12"/>
  <c r="G21" i="2" s="1"/>
  <c r="E21" s="1"/>
  <c r="E102" s="1"/>
  <c r="E99" i="12"/>
  <c r="G34" i="2" s="1"/>
  <c r="E34" s="1"/>
  <c r="E109" s="1"/>
  <c r="E36" i="20"/>
  <c r="E87"/>
  <c r="C107"/>
  <c r="E145" i="12"/>
  <c r="G58" i="2"/>
  <c r="E58" s="1"/>
  <c r="E126" s="1"/>
  <c r="E65" i="12"/>
  <c r="G24" i="2"/>
  <c r="E24" s="1"/>
  <c r="E105" s="1"/>
  <c r="E73" i="12"/>
  <c r="E74"/>
  <c r="E86" s="1"/>
  <c r="E75"/>
  <c r="E87" s="1"/>
  <c r="E77"/>
  <c r="E89" s="1"/>
  <c r="E78"/>
  <c r="E90" s="1"/>
  <c r="E79"/>
  <c r="E91" s="1"/>
  <c r="E17" i="20"/>
  <c r="E18"/>
  <c r="E21"/>
  <c r="E22"/>
  <c r="E23"/>
  <c r="E24"/>
  <c r="E25"/>
  <c r="E26"/>
  <c r="E27"/>
  <c r="E28"/>
  <c r="E29"/>
  <c r="E30"/>
  <c r="E31"/>
  <c r="E33"/>
  <c r="C64"/>
  <c r="E34"/>
  <c r="E35"/>
  <c r="C66" s="1"/>
  <c r="E39"/>
  <c r="E40"/>
  <c r="E41"/>
  <c r="C72" s="1"/>
  <c r="E42"/>
  <c r="E43"/>
  <c r="C74"/>
  <c r="E44"/>
  <c r="E100" i="12"/>
  <c r="G35" i="2" s="1"/>
  <c r="E35" s="1"/>
  <c r="E110" s="1"/>
  <c r="E102" i="12"/>
  <c r="G36" i="2" s="1"/>
  <c r="E36" s="1"/>
  <c r="E111" s="1"/>
  <c r="E103" i="12"/>
  <c r="E109"/>
  <c r="G42" i="2"/>
  <c r="E42" s="1"/>
  <c r="E106" i="12"/>
  <c r="G40" i="2"/>
  <c r="E40" s="1"/>
  <c r="E115" s="1"/>
  <c r="E107" i="12"/>
  <c r="G41" i="2"/>
  <c r="E41" s="1"/>
  <c r="E116" s="1"/>
  <c r="E115" i="12"/>
  <c r="E125" s="1"/>
  <c r="E116"/>
  <c r="E126" s="1"/>
  <c r="E117"/>
  <c r="E127" s="1"/>
  <c r="E118"/>
  <c r="E128" s="1"/>
  <c r="E119"/>
  <c r="E129" s="1"/>
  <c r="E82" i="20"/>
  <c r="E83"/>
  <c r="E84"/>
  <c r="E85"/>
  <c r="C105"/>
  <c r="E86"/>
  <c r="E88"/>
  <c r="E89"/>
  <c r="C109"/>
  <c r="E90"/>
  <c r="E91"/>
  <c r="E93"/>
  <c r="E94"/>
  <c r="E95"/>
  <c r="C115"/>
  <c r="E97"/>
  <c r="E98"/>
  <c r="E31" i="12"/>
  <c r="E32"/>
  <c r="E33"/>
  <c r="E34"/>
  <c r="E35"/>
  <c r="E39"/>
  <c r="E40"/>
  <c r="E41"/>
  <c r="E42"/>
  <c r="E44"/>
  <c r="E46"/>
  <c r="E47"/>
  <c r="E48"/>
  <c r="D61"/>
  <c r="E61" s="1"/>
  <c r="G20" i="2" s="1"/>
  <c r="E20" s="1"/>
  <c r="C46" i="20"/>
  <c r="D46"/>
  <c r="C47" i="24"/>
  <c r="C66" i="12" s="1"/>
  <c r="E97"/>
  <c r="E98"/>
  <c r="C22" i="25"/>
  <c r="E11"/>
  <c r="E22" s="1"/>
  <c r="G11" s="1"/>
  <c r="O11"/>
  <c r="O14"/>
  <c r="O16"/>
  <c r="O18"/>
  <c r="O19"/>
  <c r="O20"/>
  <c r="E61" i="24"/>
  <c r="A7"/>
  <c r="E8"/>
  <c r="A8"/>
  <c r="A11"/>
  <c r="C11" i="12"/>
  <c r="C12" i="24" s="1"/>
  <c r="E19"/>
  <c r="E20"/>
  <c r="E21"/>
  <c r="E22"/>
  <c r="E23"/>
  <c r="E24"/>
  <c r="E25"/>
  <c r="E26"/>
  <c r="E27"/>
  <c r="E28"/>
  <c r="E29"/>
  <c r="E30"/>
  <c r="E31"/>
  <c r="E32"/>
  <c r="E33"/>
  <c r="E34"/>
  <c r="E39"/>
  <c r="E40"/>
  <c r="E41"/>
  <c r="E42"/>
  <c r="E43"/>
  <c r="E44"/>
  <c r="E45"/>
  <c r="D47"/>
  <c r="D66" i="12"/>
  <c r="E51" i="24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C73"/>
  <c r="C108" i="12" s="1"/>
  <c r="D73" i="24"/>
  <c r="D108" i="12" s="1"/>
  <c r="D41" i="13"/>
  <c r="C63" i="21"/>
  <c r="C64" i="12"/>
  <c r="C50" i="21"/>
  <c r="C105" i="12"/>
  <c r="E32" i="20"/>
  <c r="E53" i="13"/>
  <c r="E51"/>
  <c r="E50"/>
  <c r="E101" i="12"/>
  <c r="C59"/>
  <c r="D59"/>
  <c r="E59" s="1"/>
  <c r="E60"/>
  <c r="E52"/>
  <c r="E138"/>
  <c r="E136"/>
  <c r="E137"/>
  <c r="D102" i="20"/>
  <c r="D104"/>
  <c r="D106"/>
  <c r="D108"/>
  <c r="D110"/>
  <c r="D112"/>
  <c r="D114"/>
  <c r="D117"/>
  <c r="D99"/>
  <c r="D120" i="12"/>
  <c r="D80"/>
  <c r="D50"/>
  <c r="D53" s="1"/>
  <c r="C120"/>
  <c r="A5" i="2"/>
  <c r="A4" i="12"/>
  <c r="A5" i="21"/>
  <c r="G91" i="2"/>
  <c r="G92"/>
  <c r="F2" i="23"/>
  <c r="A5"/>
  <c r="A4"/>
  <c r="E49" i="20"/>
  <c r="E51"/>
  <c r="E53"/>
  <c r="E55"/>
  <c r="E57"/>
  <c r="E59"/>
  <c r="E61"/>
  <c r="E63"/>
  <c r="E65"/>
  <c r="E67"/>
  <c r="E69"/>
  <c r="E71"/>
  <c r="E73"/>
  <c r="E75"/>
  <c r="F34" i="23"/>
  <c r="E55" i="21"/>
  <c r="E56"/>
  <c r="E57"/>
  <c r="E58"/>
  <c r="E59"/>
  <c r="D63"/>
  <c r="D64" i="12" s="1"/>
  <c r="E64" s="1"/>
  <c r="G23" i="2" s="1"/>
  <c r="D35" i="21"/>
  <c r="D104" i="12" s="1"/>
  <c r="C35" i="21"/>
  <c r="C104" i="12" s="1"/>
  <c r="E25" i="21"/>
  <c r="E26"/>
  <c r="E27"/>
  <c r="E28"/>
  <c r="E35" s="1"/>
  <c r="E29"/>
  <c r="E30"/>
  <c r="E31"/>
  <c r="E32"/>
  <c r="E33"/>
  <c r="E13"/>
  <c r="E22" s="1"/>
  <c r="E14"/>
  <c r="E15"/>
  <c r="E16"/>
  <c r="E17"/>
  <c r="E18"/>
  <c r="E19"/>
  <c r="E20"/>
  <c r="E21"/>
  <c r="D22"/>
  <c r="D63" i="12" s="1"/>
  <c r="C22" i="21"/>
  <c r="C63" i="12" s="1"/>
  <c r="E41" i="21"/>
  <c r="E42"/>
  <c r="E43"/>
  <c r="D45" i="13"/>
  <c r="D56"/>
  <c r="D58" s="1"/>
  <c r="E5" i="21"/>
  <c r="A8"/>
  <c r="A7"/>
  <c r="E53"/>
  <c r="E54"/>
  <c r="E60"/>
  <c r="E61"/>
  <c r="E48"/>
  <c r="E44"/>
  <c r="E45"/>
  <c r="E46"/>
  <c r="E47"/>
  <c r="E49"/>
  <c r="D50"/>
  <c r="D105" i="12"/>
  <c r="A7" i="2"/>
  <c r="E79"/>
  <c r="G5"/>
  <c r="A6"/>
  <c r="E46" i="20"/>
  <c r="E66" i="2"/>
  <c r="E5" i="12"/>
  <c r="D125"/>
  <c r="D130" s="1"/>
  <c r="D126"/>
  <c r="D127"/>
  <c r="D128"/>
  <c r="D129"/>
  <c r="C125"/>
  <c r="C130" s="1"/>
  <c r="C126"/>
  <c r="C127"/>
  <c r="C128"/>
  <c r="C129"/>
  <c r="A125"/>
  <c r="D144"/>
  <c r="D146"/>
  <c r="D156" s="1"/>
  <c r="D160" s="1"/>
  <c r="C144"/>
  <c r="C146"/>
  <c r="C156" s="1"/>
  <c r="C160" s="1"/>
  <c r="A8"/>
  <c r="D85"/>
  <c r="D92" s="1"/>
  <c r="D86"/>
  <c r="D87"/>
  <c r="D88"/>
  <c r="D89"/>
  <c r="D90"/>
  <c r="D91"/>
  <c r="C85"/>
  <c r="C92" s="1"/>
  <c r="C86"/>
  <c r="C87"/>
  <c r="C88"/>
  <c r="C89"/>
  <c r="C90"/>
  <c r="C91"/>
  <c r="A129"/>
  <c r="A127"/>
  <c r="A126"/>
  <c r="A91"/>
  <c r="A90"/>
  <c r="A89"/>
  <c r="A87"/>
  <c r="A88"/>
  <c r="A86"/>
  <c r="A85"/>
  <c r="A7"/>
  <c r="A51" i="20"/>
  <c r="A53"/>
  <c r="A55"/>
  <c r="A57"/>
  <c r="A59"/>
  <c r="A61"/>
  <c r="A63"/>
  <c r="A65"/>
  <c r="A67"/>
  <c r="A69"/>
  <c r="A71"/>
  <c r="A73"/>
  <c r="A75"/>
  <c r="A103"/>
  <c r="A105"/>
  <c r="A107"/>
  <c r="A109"/>
  <c r="A111"/>
  <c r="A113"/>
  <c r="A115"/>
  <c r="A118"/>
  <c r="E6"/>
  <c r="A9"/>
  <c r="A8"/>
  <c r="E54" i="13"/>
  <c r="E118" i="20"/>
  <c r="E110"/>
  <c r="E108"/>
  <c r="D65"/>
  <c r="D63"/>
  <c r="D61"/>
  <c r="D59"/>
  <c r="D57"/>
  <c r="D55"/>
  <c r="D53"/>
  <c r="D51"/>
  <c r="D49"/>
  <c r="E85" i="12"/>
  <c r="E92" s="1"/>
  <c r="E80"/>
  <c r="C67" i="20"/>
  <c r="C69"/>
  <c r="E115"/>
  <c r="E105"/>
  <c r="D68"/>
  <c r="D60"/>
  <c r="D52"/>
  <c r="E114"/>
  <c r="E106"/>
  <c r="E104"/>
  <c r="E102"/>
  <c r="D75"/>
  <c r="D73"/>
  <c r="D71"/>
  <c r="C50"/>
  <c r="E113"/>
  <c r="E107"/>
  <c r="D74"/>
  <c r="D66"/>
  <c r="D58"/>
  <c r="E150" i="12"/>
  <c r="F52" i="23"/>
  <c r="C151" i="12"/>
  <c r="E162" i="2"/>
  <c r="E163" s="1"/>
  <c r="E164" s="1"/>
  <c r="C67"/>
  <c r="C68" s="1"/>
  <c r="C72" s="1"/>
  <c r="G33"/>
  <c r="E33"/>
  <c r="E73" i="24"/>
  <c r="E47"/>
  <c r="E63" i="21"/>
  <c r="E50"/>
  <c r="E75" i="2"/>
  <c r="D54" i="20"/>
  <c r="D62"/>
  <c r="D70"/>
  <c r="E103"/>
  <c r="E111"/>
  <c r="E117"/>
  <c r="D50"/>
  <c r="C71"/>
  <c r="C73"/>
  <c r="C75"/>
  <c r="C102"/>
  <c r="C104"/>
  <c r="C106"/>
  <c r="C114"/>
  <c r="D56"/>
  <c r="D64"/>
  <c r="D72"/>
  <c r="E109"/>
  <c r="D69"/>
  <c r="D67"/>
  <c r="C49"/>
  <c r="C51"/>
  <c r="C53"/>
  <c r="C55"/>
  <c r="C57"/>
  <c r="C59"/>
  <c r="C61"/>
  <c r="C63"/>
  <c r="C65"/>
  <c r="C108"/>
  <c r="C110"/>
  <c r="C118"/>
  <c r="C10"/>
  <c r="A102"/>
  <c r="A117"/>
  <c r="A114"/>
  <c r="A112"/>
  <c r="A110"/>
  <c r="A108"/>
  <c r="A106"/>
  <c r="A104"/>
  <c r="A49"/>
  <c r="A74"/>
  <c r="A72"/>
  <c r="A70"/>
  <c r="A68"/>
  <c r="A66"/>
  <c r="A64"/>
  <c r="A62"/>
  <c r="A60"/>
  <c r="A58"/>
  <c r="A56"/>
  <c r="A54"/>
  <c r="A52"/>
  <c r="A50"/>
  <c r="E74"/>
  <c r="E72"/>
  <c r="E70"/>
  <c r="E68"/>
  <c r="E66"/>
  <c r="E64"/>
  <c r="E62"/>
  <c r="E60"/>
  <c r="E58"/>
  <c r="E56"/>
  <c r="E54"/>
  <c r="E52"/>
  <c r="E50"/>
  <c r="E77"/>
  <c r="E78" s="1"/>
  <c r="E79" s="1"/>
  <c r="D118"/>
  <c r="D115"/>
  <c r="D113"/>
  <c r="D111"/>
  <c r="D109"/>
  <c r="D107"/>
  <c r="D105"/>
  <c r="D103"/>
  <c r="D119" s="1"/>
  <c r="D110" i="12" s="1"/>
  <c r="C117" i="20"/>
  <c r="C113"/>
  <c r="C111"/>
  <c r="C103"/>
  <c r="C70"/>
  <c r="C62"/>
  <c r="C60"/>
  <c r="C58"/>
  <c r="C56"/>
  <c r="C54"/>
  <c r="C52"/>
  <c r="C76"/>
  <c r="E76"/>
  <c r="D77"/>
  <c r="D78" s="1"/>
  <c r="E151" i="12"/>
  <c r="G53" i="2" s="1"/>
  <c r="E105" i="12"/>
  <c r="G39" i="2" s="1"/>
  <c r="E39" s="1"/>
  <c r="E114" s="1"/>
  <c r="E122"/>
  <c r="E146" i="12"/>
  <c r="E156" s="1"/>
  <c r="G55" i="2"/>
  <c r="E50" i="12"/>
  <c r="G16" i="2" s="1"/>
  <c r="E16" s="1"/>
  <c r="C99" i="20"/>
  <c r="E96"/>
  <c r="G60" i="2"/>
  <c r="E99" i="20"/>
  <c r="C116"/>
  <c r="E116"/>
  <c r="E119" s="1"/>
  <c r="D116"/>
  <c r="A116"/>
  <c r="E66" i="12" l="1"/>
  <c r="G30" i="2" s="1"/>
  <c r="E30" s="1"/>
  <c r="E120" i="20"/>
  <c r="E111" i="12" s="1"/>
  <c r="E110"/>
  <c r="G46" i="2" s="1"/>
  <c r="E46" s="1"/>
  <c r="E118" s="1"/>
  <c r="E160" i="12"/>
  <c r="G90" i="2"/>
  <c r="G95" s="1"/>
  <c r="C93" i="12"/>
  <c r="C94"/>
  <c r="C131"/>
  <c r="C132" s="1"/>
  <c r="E202" i="2"/>
  <c r="E193"/>
  <c r="D68" i="13"/>
  <c r="D66"/>
  <c r="D70"/>
  <c r="D64"/>
  <c r="E93" i="12"/>
  <c r="G27" i="2" s="1"/>
  <c r="E27" s="1"/>
  <c r="E130" i="12"/>
  <c r="E94"/>
  <c r="G26" i="2"/>
  <c r="E26" s="1"/>
  <c r="E106" s="1"/>
  <c r="D93" i="12"/>
  <c r="D94" s="1"/>
  <c r="D131"/>
  <c r="D132" s="1"/>
  <c r="E201" i="2"/>
  <c r="E63" i="12"/>
  <c r="G22" i="2" s="1"/>
  <c r="E22" s="1"/>
  <c r="E103" s="1"/>
  <c r="E104" i="12"/>
  <c r="G38" i="2" s="1"/>
  <c r="E38" s="1"/>
  <c r="E113" s="1"/>
  <c r="E108" i="12"/>
  <c r="G48" i="2" s="1"/>
  <c r="E48" s="1"/>
  <c r="C77" i="20"/>
  <c r="E53" i="12"/>
  <c r="E120"/>
  <c r="E131" s="1"/>
  <c r="G45" i="2" s="1"/>
  <c r="E45" s="1"/>
  <c r="G81"/>
  <c r="G84" s="1"/>
  <c r="E152"/>
  <c r="E153" s="1"/>
  <c r="E157" s="1"/>
  <c r="D120" i="20"/>
  <c r="D111" i="12" s="1"/>
  <c r="D113" s="1"/>
  <c r="D122" s="1"/>
  <c r="E67" i="2"/>
  <c r="E68" s="1"/>
  <c r="E121" i="20"/>
  <c r="C119"/>
  <c r="G47" i="2"/>
  <c r="E47" s="1"/>
  <c r="E113" i="12"/>
  <c r="E122" s="1"/>
  <c r="E23" i="2"/>
  <c r="E104" s="1"/>
  <c r="C92"/>
  <c r="E72"/>
  <c r="E158"/>
  <c r="E168"/>
  <c r="E76"/>
  <c r="E77" s="1"/>
  <c r="C77"/>
  <c r="D79" i="20"/>
  <c r="D68" i="12"/>
  <c r="C67"/>
  <c r="C78" i="20"/>
  <c r="C68" i="12" s="1"/>
  <c r="E68" s="1"/>
  <c r="G29" i="2" s="1"/>
  <c r="E29" s="1"/>
  <c r="C120" i="20"/>
  <c r="C111" i="12" s="1"/>
  <c r="C110"/>
  <c r="D67"/>
  <c r="D70" s="1"/>
  <c r="D82" s="1"/>
  <c r="C121" i="20" l="1"/>
  <c r="E206" i="2"/>
  <c r="E112" s="1"/>
  <c r="E204"/>
  <c r="D134" i="12"/>
  <c r="D139" s="1"/>
  <c r="C113"/>
  <c r="C122" s="1"/>
  <c r="D121" i="20"/>
  <c r="G44" i="2"/>
  <c r="E44" s="1"/>
  <c r="E117" s="1"/>
  <c r="E132" i="12"/>
  <c r="E194" i="2"/>
  <c r="E196" s="1"/>
  <c r="E208" s="1"/>
  <c r="C37"/>
  <c r="E159"/>
  <c r="E179" s="1"/>
  <c r="C81"/>
  <c r="C79" i="20"/>
  <c r="E67" i="12"/>
  <c r="C70"/>
  <c r="C82" s="1"/>
  <c r="C134" s="1"/>
  <c r="C139" s="1"/>
  <c r="C50" i="2" l="1"/>
  <c r="E37"/>
  <c r="G28"/>
  <c r="E70" i="12"/>
  <c r="E82" s="1"/>
  <c r="E134" s="1"/>
  <c r="E139" s="1"/>
  <c r="E81" i="2"/>
  <c r="C88" l="1"/>
  <c r="C53"/>
  <c r="E53" s="1"/>
  <c r="E136"/>
  <c r="C55"/>
  <c r="E28"/>
  <c r="G50"/>
  <c r="E55" l="1"/>
  <c r="E60" s="1"/>
  <c r="C60"/>
  <c r="E107"/>
  <c r="E120" s="1"/>
  <c r="E50"/>
  <c r="E146" l="1"/>
  <c r="C90"/>
  <c r="C82"/>
  <c r="E130"/>
  <c r="E124"/>
  <c r="E128" s="1"/>
  <c r="E175"/>
  <c r="E138"/>
  <c r="E140" s="1"/>
  <c r="E144" s="1"/>
  <c r="E82" l="1"/>
  <c r="E84" s="1"/>
  <c r="C84"/>
  <c r="E132"/>
  <c r="E183" s="1"/>
  <c r="I15" i="25" s="1"/>
  <c r="O15" s="1"/>
  <c r="E148" i="2"/>
  <c r="E177" s="1"/>
  <c r="E169"/>
  <c r="E170" s="1"/>
  <c r="E172" l="1"/>
  <c r="E173" s="1"/>
  <c r="E178" s="1"/>
  <c r="E181" s="1"/>
  <c r="C91"/>
  <c r="C95" s="1"/>
  <c r="G17" i="25" l="1"/>
  <c r="E185" i="2"/>
  <c r="O17" i="25" l="1"/>
  <c r="O22" s="1"/>
  <c r="G22"/>
  <c r="I11" s="1"/>
  <c r="I22" s="1"/>
  <c r="K11" s="1"/>
  <c r="K22" s="1"/>
  <c r="M11" s="1"/>
  <c r="M22" s="1"/>
</calcChain>
</file>

<file path=xl/sharedStrings.xml><?xml version="1.0" encoding="utf-8"?>
<sst xmlns="http://schemas.openxmlformats.org/spreadsheetml/2006/main" count="880" uniqueCount="508">
  <si>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</si>
  <si>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</si>
  <si>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</si>
  <si>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</si>
  <si>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</si>
  <si>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</si>
  <si>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</si>
  <si>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</si>
  <si>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</si>
  <si>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</si>
  <si>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</si>
  <si>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</si>
  <si>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</si>
  <si>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</si>
  <si>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</si>
  <si>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</si>
  <si>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</si>
  <si>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</si>
  <si>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</si>
  <si>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</si>
  <si>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</si>
  <si>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</si>
  <si>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</si>
  <si>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</si>
  <si>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</si>
  <si>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</si>
  <si>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</si>
  <si>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</si>
  <si>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</si>
  <si>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</si>
  <si>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</si>
  <si>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</si>
  <si>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</si>
  <si>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</si>
  <si>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</si>
  <si>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</si>
  <si>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</si>
  <si>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</si>
  <si>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</si>
  <si>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</si>
  <si>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</si>
  <si>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</si>
  <si>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</si>
  <si>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</si>
  <si>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</si>
  <si>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</si>
  <si>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</si>
  <si>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</si>
  <si>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</si>
  <si>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</si>
  <si>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</si>
  <si>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</si>
  <si>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</si>
  <si>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</si>
  <si>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</si>
  <si>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</si>
  <si>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</si>
  <si>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</si>
  <si>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</si>
  <si>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</si>
  <si>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</si>
  <si>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</si>
  <si>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</si>
  <si>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</si>
  <si>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</si>
  <si>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</si>
  <si>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</si>
  <si>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</si>
  <si>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</si>
  <si>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</si>
  <si>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</si>
  <si>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</si>
  <si>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</si>
  <si>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</si>
  <si>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</si>
  <si>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</si>
  <si>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</si>
  <si>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</si>
  <si>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</si>
  <si>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</si>
  <si>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</si>
  <si>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</si>
  <si>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</si>
  <si>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</si>
  <si>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</si>
  <si>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</si>
  <si>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</si>
  <si>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</si>
  <si>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</si>
  <si>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</si>
  <si>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</si>
  <si>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</si>
  <si>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</si>
  <si>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</si>
  <si>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</si>
  <si>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</si>
  <si>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</si>
  <si>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</si>
  <si>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</si>
  <si>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</si>
  <si>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</si>
  <si>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</si>
  <si>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</si>
  <si>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</si>
  <si>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</si>
  <si>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</si>
  <si>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</si>
  <si>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</si>
  <si>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</si>
  <si>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</si>
  <si>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</si>
  <si>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</si>
  <si>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</si>
  <si>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</si>
  <si>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</si>
  <si>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</si>
  <si>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</si>
  <si>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</si>
  <si>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</si>
  <si>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</si>
  <si>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</si>
  <si>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</si>
  <si>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</si>
  <si>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</si>
  <si>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</si>
  <si>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</si>
  <si>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</si>
  <si>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</si>
  <si>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</si>
  <si>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</si>
  <si>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</si>
  <si>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</si>
  <si>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</si>
  <si>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</si>
  <si>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</si>
  <si>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</si>
  <si>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</si>
  <si>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</si>
  <si>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 xml:space="preserve">   per financial statements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</si>
  <si>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</si>
  <si>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</si>
  <si>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</si>
  <si>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</si>
  <si>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</si>
  <si>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</si>
  <si>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</si>
  <si>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Gain on disposal of assets per f/s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</si>
  <si>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</si>
  <si>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</si>
  <si>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</si>
  <si>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</si>
  <si>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</si>
  <si>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</si>
  <si>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</si>
  <si>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</si>
  <si>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</si>
  <si>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</si>
  <si>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</si>
  <si>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</si>
  <si>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</si>
  <si>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</si>
  <si>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</si>
  <si>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</si>
  <si>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</si>
  <si>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</si>
  <si>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</si>
  <si>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</si>
  <si>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</si>
  <si>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</si>
  <si>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</si>
  <si>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</si>
  <si>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</si>
  <si>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</si>
  <si>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</si>
  <si>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</si>
  <si>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</si>
  <si>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</si>
  <si>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</si>
  <si>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</si>
  <si>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</si>
  <si>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</si>
  <si>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</si>
  <si>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</si>
  <si>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</si>
  <si>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</si>
  <si>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</si>
  <si>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</si>
  <si>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</si>
  <si>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</si>
  <si>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</si>
  <si>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</si>
  <si>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</si>
  <si>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</si>
  <si>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</si>
  <si>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</si>
  <si>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</si>
  <si>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</si>
  <si>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</si>
  <si>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</si>
  <si>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</si>
  <si>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</si>
  <si>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</si>
  <si>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</si>
  <si>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</si>
  <si>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</si>
  <si>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</si>
  <si>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</si>
  <si>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</si>
  <si>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</si>
  <si>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</si>
  <si>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</si>
  <si>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</si>
  <si>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</si>
  <si>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</si>
  <si>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</si>
  <si>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</si>
  <si>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</si>
  <si>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</si>
  <si>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</si>
  <si>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</si>
  <si>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</si>
  <si>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</si>
  <si>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</si>
  <si>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</si>
  <si>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</si>
  <si>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</si>
  <si>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</si>
  <si>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>Income Tax Rate used for gross- up (exclude surtax)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</si>
  <si>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</si>
  <si>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</si>
  <si>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</si>
  <si>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</si>
  <si>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</si>
  <si>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</si>
  <si>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</si>
  <si>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</si>
  <si>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</si>
  <si>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</si>
  <si>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</si>
  <si>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</si>
  <si>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</si>
  <si>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</si>
  <si>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</si>
  <si>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</si>
  <si>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</si>
  <si>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</si>
  <si>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</si>
  <si>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</si>
  <si>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</si>
  <si>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</si>
  <si>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</si>
  <si>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</si>
  <si>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</si>
  <si>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</si>
  <si>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</si>
  <si>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</si>
  <si>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</si>
  <si>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</si>
  <si>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</si>
  <si>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</si>
  <si>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</si>
  <si>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</si>
  <si>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</si>
  <si>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</si>
  <si>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</si>
  <si>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</si>
  <si>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</si>
  <si>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</si>
  <si>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</si>
  <si>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</si>
  <si>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</si>
  <si>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</si>
  <si>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</si>
  <si>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</si>
  <si>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</si>
  <si>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</si>
  <si>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</si>
  <si>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</si>
  <si>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</si>
  <si>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</si>
  <si>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</si>
  <si>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</si>
  <si>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</si>
  <si>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</si>
  <si>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</si>
  <si>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</si>
  <si>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</si>
  <si>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</si>
  <si>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</si>
  <si>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</si>
  <si>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</si>
  <si>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</si>
  <si>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</si>
  <si>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</si>
  <si>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</si>
  <si>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</si>
  <si>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</si>
  <si>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</si>
  <si>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</si>
  <si>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</si>
  <si>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</si>
  <si>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</si>
  <si>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</si>
  <si>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</si>
  <si>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</si>
  <si>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</si>
  <si>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</si>
  <si>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</si>
  <si>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 xml:space="preserve">                                                               RAM DECISION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</si>
  <si>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</si>
  <si>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</si>
  <si>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</si>
  <si>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</si>
  <si>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</si>
  <si>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</si>
  <si>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</si>
  <si>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</si>
  <si>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</si>
  <si>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</si>
  <si>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</si>
  <si>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</si>
  <si>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</si>
  <si>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</si>
  <si>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</si>
  <si>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</si>
  <si>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</si>
  <si>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</si>
  <si>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</si>
  <si>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</si>
  <si>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</si>
  <si>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</si>
  <si>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</si>
  <si>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</si>
  <si>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</si>
  <si>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</si>
  <si>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</si>
  <si>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</si>
  <si>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</si>
  <si>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</si>
  <si>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</si>
  <si>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</si>
  <si>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</si>
  <si>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</si>
  <si>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</si>
  <si>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</si>
  <si>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</si>
  <si>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</si>
  <si>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</si>
  <si>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</si>
  <si>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</si>
  <si>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</si>
  <si>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</si>
  <si>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</si>
  <si>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</si>
  <si>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</si>
  <si>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</si>
  <si>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</si>
  <si>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</si>
  <si>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</si>
  <si>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</si>
  <si>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</si>
  <si>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</si>
  <si>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</si>
  <si>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</si>
  <si>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</si>
  <si>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</si>
  <si>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</si>
  <si>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</si>
  <si>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</si>
  <si>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</si>
  <si>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</si>
  <si>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</si>
  <si>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</si>
  <si>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</si>
  <si>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</si>
  <si>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</si>
  <si>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</si>
  <si>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</si>
  <si>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</si>
  <si>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</si>
  <si>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</si>
  <si>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</si>
  <si>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</si>
  <si>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</si>
  <si>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</si>
  <si>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</si>
  <si>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</si>
  <si>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</si>
  <si>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</si>
  <si>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</si>
  <si>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</si>
  <si>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</si>
  <si>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</si>
  <si>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</si>
  <si>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</si>
  <si>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</si>
  <si>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</si>
  <si>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</si>
  <si>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</si>
  <si>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</si>
  <si>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</si>
  <si>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</si>
  <si>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</si>
  <si>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</si>
  <si>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</si>
  <si>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</si>
  <si>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</si>
  <si>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</si>
  <si>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</si>
  <si>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</si>
  <si>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  <family val="2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</si>
  <si>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</si>
  <si>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</si>
  <si>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</si>
  <si>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</si>
  <si>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</si>
  <si>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</si>
  <si>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</si>
  <si>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</si>
  <si>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</si>
  <si>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</si>
  <si>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</si>
  <si>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</si>
  <si>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</si>
  <si>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</si>
  <si>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</si>
  <si>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</si>
  <si>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</si>
  <si>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</si>
  <si>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</si>
  <si>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</si>
  <si>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</si>
  <si>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</si>
  <si>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</si>
  <si>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</si>
  <si>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</si>
  <si>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</si>
  <si>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</si>
  <si>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</si>
  <si>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</si>
  <si>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</si>
  <si>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</si>
  <si>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</si>
  <si>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</si>
  <si>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</si>
  <si>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</si>
  <si>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</si>
  <si>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  <family val="2"/>
      </rPr>
      <t xml:space="preserve"> apply </t>
    </r>
    <r>
      <rPr>
        <sz val="10"/>
        <color indexed="10"/>
        <rFont val="Arial"/>
        <family val="2"/>
      </rPr>
      <t>(see A66)</t>
    </r>
  </si>
  <si>
    <t>Financing fee amorization - considered to be interest expense for PILs</t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</si>
  <si>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</si>
  <si>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</si>
  <si>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</si>
  <si>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</si>
  <si>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</si>
  <si>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</si>
  <si>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</si>
  <si>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</si>
  <si>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</si>
  <si>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</si>
  <si>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</si>
  <si>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</si>
  <si>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</si>
  <si>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</si>
  <si>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</si>
  <si>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</si>
  <si>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</si>
  <si>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</si>
  <si>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</si>
  <si>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</si>
  <si>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</si>
  <si>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</si>
  <si>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</si>
  <si>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</si>
  <si>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MAX $5MM</t>
  </si>
  <si>
    <t>MAX $10MM</t>
  </si>
  <si>
    <t>Provision for bad debts</t>
  </si>
  <si>
    <t>DEPRECIATION DIFFERENCE</t>
  </si>
  <si>
    <r>
      <t xml:space="preserve">Ontario Capital Tax Exemption  </t>
    </r>
    <r>
      <rPr>
        <b/>
        <sz val="10"/>
        <color indexed="10"/>
        <rFont val="Arial"/>
        <family val="2"/>
      </rPr>
      <t>*** 2002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</si>
  <si>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2002</t>
    </r>
  </si>
  <si>
    <t xml:space="preserve">RECAP </t>
  </si>
  <si>
    <r>
      <t xml:space="preserve">Total PILs for Rate Adjustment -- </t>
    </r>
    <r>
      <rPr>
        <b/>
        <i/>
        <sz val="10"/>
        <color indexed="10"/>
        <rFont val="Arial"/>
        <family val="2"/>
      </rPr>
      <t>MUST AGREE WITH 2002</t>
    </r>
  </si>
  <si>
    <t>***************</t>
  </si>
  <si>
    <t>Rates Used in 2002 RAM PILs Applications for 2002</t>
  </si>
  <si>
    <t>&gt;700,000</t>
  </si>
  <si>
    <t>**Exemption amounts must agree with the Board-approved 2002 RAM PILs filing</t>
  </si>
  <si>
    <t xml:space="preserve">     Reg Assets</t>
  </si>
  <si>
    <t>From Statement of Adjustments</t>
  </si>
  <si>
    <t>Utility Name: TORONTO HYDRO-ELECTRIC SYSTEM LIMITED</t>
  </si>
  <si>
    <t>N</t>
  </si>
  <si>
    <t>Y</t>
  </si>
  <si>
    <t>Other - Post employment benefits</t>
  </si>
  <si>
    <t>Other - Holdback payable</t>
  </si>
  <si>
    <t>Please identify if Method 1, 2 or 3 was used to account for the PILs proxy and recovery.  ANSWER:  METHOD 3</t>
  </si>
  <si>
    <t>Debt financing fees- deducted for tax</t>
  </si>
  <si>
    <t>Reporting period:  2003</t>
  </si>
  <si>
    <t>12-31-2003</t>
  </si>
  <si>
    <t xml:space="preserve">     Financing expenses</t>
  </si>
  <si>
    <t>Other</t>
  </si>
  <si>
    <t>Increase in net income due to restatement</t>
  </si>
  <si>
    <t>Nondeductible penalties</t>
  </si>
  <si>
    <t>Asset retirement obligation- accretion expense</t>
  </si>
  <si>
    <t>Asset retirement obligation- cash payment deducted for tax</t>
  </si>
  <si>
    <t>Expected Income Tax Rates for 2003 and Capital Tax Exemptions for 2003</t>
  </si>
  <si>
    <t>Input Information from Utility's Actual 2003 Tax Returns</t>
  </si>
  <si>
    <t>Actual 2003</t>
  </si>
  <si>
    <r>
      <t xml:space="preserve">Income Tax Rate (excluding surtax) from </t>
    </r>
    <r>
      <rPr>
        <b/>
        <sz val="10"/>
        <color indexed="10"/>
        <rFont val="Arial"/>
        <family val="2"/>
      </rPr>
      <t>2003</t>
    </r>
    <r>
      <rPr>
        <sz val="10"/>
        <rFont val="Arial"/>
        <family val="2"/>
      </rPr>
      <t xml:space="preserve"> Utility's tax return</t>
    </r>
  </si>
  <si>
    <t>PILs TAXES - EB-2012-0064</t>
  </si>
  <si>
    <t>Reversal of environmental provision- reserve adjustment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</si>
</sst>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18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66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0" fontId="21" fillId="0" borderId="18" xfId="0" applyFont="1" applyBorder="1" applyProtection="1">
      <alignment vertical="top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15" fillId="0" borderId="18" xfId="0" applyFont="1" applyFill="1" applyBorder="1" applyAlignment="1" applyProtection="1">
      <alignment vertical="top" wrapText="1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37" fontId="21" fillId="0" borderId="12" xfId="0" applyNumberFormat="1" applyFont="1" applyBorder="1" applyAlignment="1">
      <alignment horizontal="left" vertical="top"/>
      <protection locked="0"/>
    </xf>
    <xf numFmtId="3" fontId="0" fillId="11" borderId="8" xfId="0" applyNumberFormat="1" applyFill="1" applyBorder="1" applyAlignment="1" applyProtection="1">
      <alignment horizontal="righ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4" fillId="0" borderId="0" xfId="0" applyFont="1" applyAlignment="1">
      <alignment vertical="center" wrapText="1"/>
      <protection locked="0"/>
    </xf>
    <xf numFmtId="0" fontId="0" fillId="0" borderId="0" xfId="0" applyAlignment="1">
      <alignment horizontal="center" vertical="center"/>
      <protection locked="0"/>
    </xf>
    <xf numFmtId="3" fontId="0" fillId="10" borderId="8" xfId="0" applyNumberFormat="1" applyFill="1" applyBorder="1" applyAlignment="1">
      <alignment vertical="center"/>
      <protection locked="0"/>
    </xf>
    <xf numFmtId="0" fontId="11" fillId="0" borderId="0" xfId="0" applyFont="1">
      <alignment vertical="top"/>
      <protection locked="0"/>
    </xf>
    <xf numFmtId="0" fontId="21" fillId="0" borderId="0" xfId="0" applyFont="1" applyFill="1">
      <alignment vertical="top"/>
      <protection locked="0"/>
    </xf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P76"/>
  <sheetViews>
    <sheetView view="pageBreakPreview" topLeftCell="A28" zoomScale="60" zoomScaleNormal="100" workbookViewId="0">
      <selection activeCell="B77" sqref="B77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506</v>
      </c>
      <c r="C1" s="8"/>
      <c r="E1" s="2" t="s">
        <v>464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487</v>
      </c>
      <c r="C3" s="8"/>
      <c r="D3" s="455" t="s">
        <v>450</v>
      </c>
      <c r="E3" s="8"/>
      <c r="F3" s="8"/>
      <c r="G3" s="8"/>
      <c r="H3" s="8"/>
    </row>
    <row r="4" spans="1:16">
      <c r="A4" s="2" t="s">
        <v>494</v>
      </c>
      <c r="C4" s="8"/>
      <c r="D4" s="454" t="s">
        <v>445</v>
      </c>
      <c r="E4" s="428"/>
      <c r="H4" s="8"/>
    </row>
    <row r="5" spans="1:16">
      <c r="A5" s="52"/>
      <c r="C5" s="8"/>
      <c r="D5" s="453" t="s">
        <v>446</v>
      </c>
      <c r="E5" s="398"/>
      <c r="H5" s="8"/>
    </row>
    <row r="6" spans="1:16">
      <c r="A6" s="2" t="s">
        <v>126</v>
      </c>
      <c r="B6" s="388">
        <v>365</v>
      </c>
      <c r="C6" s="8" t="s">
        <v>127</v>
      </c>
      <c r="D6" s="21"/>
      <c r="H6" s="8"/>
    </row>
    <row r="7" spans="1:16" ht="13.5" thickBot="1">
      <c r="A7" s="52" t="s">
        <v>256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3.5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6" t="s">
        <v>60</v>
      </c>
      <c r="B9" s="3"/>
      <c r="C9" s="20"/>
      <c r="D9" s="3"/>
      <c r="E9" s="3"/>
      <c r="F9" s="3"/>
      <c r="G9" s="3"/>
      <c r="H9" s="3"/>
    </row>
    <row r="10" spans="1:16">
      <c r="A10" s="3" t="s">
        <v>61</v>
      </c>
      <c r="B10" s="3"/>
      <c r="C10" s="37"/>
      <c r="D10" s="20"/>
      <c r="E10" s="3"/>
      <c r="F10" s="3"/>
      <c r="G10" s="3"/>
      <c r="H10" s="3"/>
    </row>
    <row r="11" spans="1:16">
      <c r="A11" s="3" t="s">
        <v>62</v>
      </c>
      <c r="C11" s="20"/>
      <c r="D11" s="20"/>
      <c r="E11" s="3"/>
      <c r="F11" s="3"/>
      <c r="G11" s="3"/>
      <c r="H11" s="3"/>
    </row>
    <row r="12" spans="1:16" ht="12.75" customHeight="1" thickBot="1">
      <c r="A12" s="3" t="s">
        <v>63</v>
      </c>
      <c r="C12" s="20" t="s">
        <v>64</v>
      </c>
      <c r="D12" s="491" t="s">
        <v>489</v>
      </c>
      <c r="E12" s="3"/>
      <c r="F12" s="3"/>
      <c r="G12" s="3"/>
      <c r="H12" s="3"/>
    </row>
    <row r="13" spans="1:16" ht="12.75" customHeight="1">
      <c r="A13" s="3"/>
      <c r="C13" s="20"/>
      <c r="D13" s="20"/>
      <c r="E13" s="3"/>
      <c r="F13" s="3"/>
      <c r="G13" s="3"/>
    </row>
    <row r="14" spans="1:16" ht="12.75" customHeight="1">
      <c r="A14" s="3" t="s">
        <v>65</v>
      </c>
      <c r="C14" s="20"/>
      <c r="D14" s="20"/>
      <c r="E14" s="3"/>
      <c r="F14" s="3"/>
      <c r="G14" s="3"/>
    </row>
    <row r="15" spans="1:16" ht="12.75" customHeight="1" thickBot="1">
      <c r="A15" s="3" t="s">
        <v>66</v>
      </c>
      <c r="C15" s="8" t="s">
        <v>64</v>
      </c>
      <c r="D15" s="491" t="s">
        <v>488</v>
      </c>
    </row>
    <row r="16" spans="1:16" ht="12.75" customHeight="1">
      <c r="A16" s="45"/>
      <c r="C16" s="8"/>
      <c r="D16" s="8"/>
    </row>
    <row r="17" spans="1:8" ht="12.75" customHeight="1" thickBot="1">
      <c r="A17" s="45" t="s">
        <v>185</v>
      </c>
      <c r="C17" s="8" t="s">
        <v>64</v>
      </c>
      <c r="D17" s="491" t="s">
        <v>488</v>
      </c>
    </row>
    <row r="18" spans="1:8" ht="12.75" customHeight="1">
      <c r="A18" s="389" t="s">
        <v>315</v>
      </c>
      <c r="C18" s="8"/>
      <c r="D18" s="8"/>
    </row>
    <row r="19" spans="1:8" ht="12.75" customHeight="1">
      <c r="A19" s="502" t="s">
        <v>316</v>
      </c>
      <c r="B19" s="8" t="s">
        <v>313</v>
      </c>
      <c r="C19" s="8" t="s">
        <v>64</v>
      </c>
      <c r="D19" s="492" t="s">
        <v>489</v>
      </c>
    </row>
    <row r="20" spans="1:8" ht="12.75" customHeight="1" thickBot="1">
      <c r="A20" s="503"/>
      <c r="B20" s="8" t="s">
        <v>314</v>
      </c>
      <c r="C20" s="8" t="s">
        <v>64</v>
      </c>
      <c r="D20" s="491" t="s">
        <v>488</v>
      </c>
    </row>
    <row r="21" spans="1:8" ht="12.75" customHeight="1">
      <c r="A21" s="502" t="s">
        <v>312</v>
      </c>
      <c r="B21" s="8" t="s">
        <v>313</v>
      </c>
      <c r="C21" s="8"/>
      <c r="D21" s="423">
        <v>1</v>
      </c>
    </row>
    <row r="22" spans="1:8" ht="12.75" customHeight="1">
      <c r="A22" s="502"/>
      <c r="B22" s="8" t="s">
        <v>314</v>
      </c>
      <c r="C22" s="8"/>
      <c r="D22" s="423">
        <v>1</v>
      </c>
    </row>
    <row r="23" spans="1:8" ht="12.75" customHeight="1">
      <c r="A23" s="45"/>
      <c r="C23" s="8"/>
      <c r="D23" s="388"/>
    </row>
    <row r="24" spans="1:8" ht="12.75" customHeight="1">
      <c r="A24" s="45" t="s">
        <v>212</v>
      </c>
      <c r="C24" s="8" t="s">
        <v>213</v>
      </c>
      <c r="D24" s="424" t="s">
        <v>495</v>
      </c>
    </row>
    <row r="25" spans="1:8" ht="12.75" customHeight="1" thickBot="1">
      <c r="A25" s="12"/>
    </row>
    <row r="26" spans="1:8" ht="12.75" customHeight="1">
      <c r="A26" s="255" t="s">
        <v>67</v>
      </c>
      <c r="C26" s="8"/>
      <c r="E26" s="443" t="s">
        <v>297</v>
      </c>
    </row>
    <row r="27" spans="1:8" ht="12.75" customHeight="1">
      <c r="A27" s="256" t="s">
        <v>68</v>
      </c>
      <c r="C27" s="8"/>
      <c r="E27" s="444" t="s">
        <v>298</v>
      </c>
    </row>
    <row r="28" spans="1:8">
      <c r="A28" s="256" t="s">
        <v>69</v>
      </c>
      <c r="C28" s="38"/>
    </row>
    <row r="29" spans="1:8">
      <c r="A29" s="257" t="s">
        <v>70</v>
      </c>
    </row>
    <row r="30" spans="1:8" ht="12.75" customHeight="1">
      <c r="A30" s="35"/>
    </row>
    <row r="31" spans="1:8" ht="12.75" customHeight="1">
      <c r="A31" t="s">
        <v>287</v>
      </c>
      <c r="D31" s="421">
        <v>1810112688</v>
      </c>
      <c r="H31" s="5"/>
    </row>
    <row r="32" spans="1:8" ht="12.75" customHeight="1"/>
    <row r="33" spans="1:11" ht="12.75" customHeight="1">
      <c r="A33" t="s">
        <v>71</v>
      </c>
      <c r="D33" s="422">
        <v>0.35</v>
      </c>
      <c r="F33" t="s">
        <v>102</v>
      </c>
      <c r="H33" s="39"/>
    </row>
    <row r="34" spans="1:11" ht="12.75" customHeight="1">
      <c r="F34" t="s">
        <v>102</v>
      </c>
      <c r="H34" s="34"/>
    </row>
    <row r="35" spans="1:11" ht="12.75" customHeight="1">
      <c r="A35" t="s">
        <v>72</v>
      </c>
      <c r="D35" s="250">
        <f>1-D33</f>
        <v>0.65</v>
      </c>
      <c r="F35" s="39"/>
      <c r="H35" s="41"/>
      <c r="J35" s="39"/>
    </row>
    <row r="36" spans="1:11" ht="12.75" customHeight="1">
      <c r="H36" s="34"/>
    </row>
    <row r="37" spans="1:11" ht="12.75" customHeight="1">
      <c r="A37" t="s">
        <v>73</v>
      </c>
      <c r="D37" s="422">
        <v>9.8799999999999999E-2</v>
      </c>
      <c r="H37" s="41"/>
    </row>
    <row r="38" spans="1:11" ht="12.75" customHeight="1">
      <c r="H38" s="34"/>
    </row>
    <row r="39" spans="1:11" ht="12.75" customHeight="1">
      <c r="A39" t="s">
        <v>74</v>
      </c>
      <c r="D39" s="422">
        <v>6.8000000000000005E-2</v>
      </c>
      <c r="H39" s="41"/>
    </row>
    <row r="40" spans="1:11" ht="12.75" customHeight="1">
      <c r="H40" s="34"/>
    </row>
    <row r="41" spans="1:11" ht="12.75" customHeight="1">
      <c r="A41" t="s">
        <v>75</v>
      </c>
      <c r="D41" s="251">
        <f>D31*((D33*D37)+(D35*D39))</f>
        <v>142600677.56064001</v>
      </c>
      <c r="H41" s="40"/>
    </row>
    <row r="42" spans="1:11" ht="12.75" customHeight="1">
      <c r="D42" s="22"/>
      <c r="H42" s="40"/>
    </row>
    <row r="43" spans="1:11" ht="12.75" customHeight="1">
      <c r="A43" t="s">
        <v>76</v>
      </c>
      <c r="D43" s="425">
        <v>23304000</v>
      </c>
      <c r="E43" s="387">
        <f>D43</f>
        <v>23304000</v>
      </c>
      <c r="F43" s="22"/>
      <c r="H43" s="40"/>
      <c r="J43" s="5"/>
      <c r="K43" s="5"/>
    </row>
    <row r="44" spans="1:11" ht="12.75" customHeight="1">
      <c r="D44" s="22"/>
      <c r="H44" s="40"/>
      <c r="J44" s="5"/>
      <c r="K44" s="5"/>
    </row>
    <row r="45" spans="1:11">
      <c r="A45" t="s">
        <v>77</v>
      </c>
      <c r="D45" s="251">
        <f>D41-D43</f>
        <v>119296677.56064001</v>
      </c>
      <c r="H45" s="40"/>
      <c r="J45" s="5"/>
      <c r="K45" s="5"/>
    </row>
    <row r="46" spans="1:11" ht="12.75" customHeight="1">
      <c r="A46" s="2" t="s">
        <v>288</v>
      </c>
      <c r="D46" s="40"/>
      <c r="H46" s="40"/>
      <c r="J46" s="5"/>
      <c r="K46" s="5"/>
    </row>
    <row r="47" spans="1:11">
      <c r="A47" t="s">
        <v>289</v>
      </c>
      <c r="D47" s="426">
        <v>39765559</v>
      </c>
      <c r="E47" s="387">
        <f t="shared" ref="E47:E53" si="0">D47</f>
        <v>39765559</v>
      </c>
      <c r="H47" s="40"/>
      <c r="J47" s="5"/>
      <c r="K47" s="5"/>
    </row>
    <row r="48" spans="1:11">
      <c r="A48" t="s">
        <v>290</v>
      </c>
      <c r="D48" s="426">
        <v>39765559</v>
      </c>
      <c r="E48" s="387">
        <f>D48</f>
        <v>39765559</v>
      </c>
      <c r="F48" s="22"/>
      <c r="H48" s="40"/>
      <c r="J48" s="5"/>
      <c r="K48" s="5"/>
    </row>
    <row r="49" spans="1:11">
      <c r="A49" t="s">
        <v>291</v>
      </c>
      <c r="D49" s="427"/>
      <c r="E49" s="387">
        <v>0</v>
      </c>
      <c r="F49" s="22"/>
      <c r="H49" s="40"/>
      <c r="J49" s="5"/>
      <c r="K49" s="5"/>
    </row>
    <row r="50" spans="1:11">
      <c r="A50" t="s">
        <v>292</v>
      </c>
      <c r="D50" s="428"/>
      <c r="E50" s="387">
        <f t="shared" si="0"/>
        <v>0</v>
      </c>
      <c r="H50" s="40"/>
      <c r="J50" s="5"/>
      <c r="K50" s="5"/>
    </row>
    <row r="51" spans="1:11">
      <c r="A51" t="s">
        <v>442</v>
      </c>
      <c r="D51" s="428">
        <v>39765559</v>
      </c>
      <c r="E51" s="387">
        <f t="shared" si="0"/>
        <v>39765559</v>
      </c>
      <c r="H51" s="40"/>
      <c r="J51" s="5"/>
      <c r="K51" s="5"/>
    </row>
    <row r="52" spans="1:11">
      <c r="A52" t="s">
        <v>465</v>
      </c>
      <c r="D52" s="428"/>
      <c r="E52" s="387">
        <f t="shared" si="0"/>
        <v>0</v>
      </c>
      <c r="H52" s="40"/>
      <c r="J52" s="5"/>
      <c r="K52" s="5"/>
    </row>
    <row r="53" spans="1:11">
      <c r="D53" s="428"/>
      <c r="E53" s="387">
        <f t="shared" si="0"/>
        <v>0</v>
      </c>
      <c r="H53" s="40"/>
      <c r="J53" s="5"/>
      <c r="K53" s="5"/>
    </row>
    <row r="54" spans="1:11">
      <c r="A54" s="2" t="s">
        <v>293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311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294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382</v>
      </c>
      <c r="B65" s="5"/>
      <c r="C65" s="5"/>
      <c r="D65" s="32"/>
      <c r="F65" s="5"/>
      <c r="H65" s="32"/>
      <c r="J65" s="5"/>
      <c r="K65" s="5"/>
    </row>
    <row r="66" spans="1:11">
      <c r="A66" t="s">
        <v>295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383</v>
      </c>
      <c r="B67" s="5"/>
      <c r="C67" s="5"/>
      <c r="D67" s="32"/>
      <c r="F67" s="5"/>
      <c r="H67" s="32"/>
      <c r="J67" s="5"/>
      <c r="K67" s="5"/>
    </row>
    <row r="68" spans="1:11">
      <c r="A68" s="45" t="s">
        <v>296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384</v>
      </c>
      <c r="B69" s="5"/>
      <c r="C69" s="5"/>
      <c r="D69" s="5"/>
      <c r="F69" s="5"/>
      <c r="H69" s="32"/>
      <c r="J69" s="5"/>
    </row>
    <row r="70" spans="1:11">
      <c r="A70" s="45" t="s">
        <v>451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/>
  <pageMargins left="0.19685039370078741" right="0.23622047244094491" top="1.0236220472440944" bottom="0.39370078740157483" header="0.19685039370078741" footer="0.19685039370078741"/>
  <pageSetup scale="77" orientation="portrait" cellComments="asDisplayed" r:id="rId1"/>
  <headerFooter alignWithMargins="0">
    <oddHeader>&amp;R&amp;9Toronto Hydro-Electric System Limited
EB-2012-0064
Tab 5
Schedule E
ORIGINAL
page &amp;P of &amp;N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L250"/>
  <sheetViews>
    <sheetView view="pageBreakPreview" topLeftCell="A103" zoomScale="60" zoomScaleNormal="90" workbookViewId="0">
      <selection activeCell="B103" sqref="B103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1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467</v>
      </c>
      <c r="H1" s="210"/>
    </row>
    <row r="2" spans="1:12">
      <c r="A2" s="211" t="s">
        <v>466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468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250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5"/>
    </row>
    <row r="7" spans="1:12">
      <c r="A7" s="211" t="str">
        <f>REGINFO!A4</f>
        <v>Reporting period:  2003</v>
      </c>
      <c r="B7" s="115"/>
      <c r="D7" s="137"/>
      <c r="E7" s="115"/>
      <c r="G7" s="115"/>
      <c r="H7" s="465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9">
        <f>REGINFO!B6</f>
        <v>365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256</v>
      </c>
      <c r="B10" s="429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343</v>
      </c>
      <c r="B16" s="125">
        <v>1</v>
      </c>
      <c r="C16" s="259">
        <v>102835118</v>
      </c>
      <c r="D16" s="17"/>
      <c r="E16" s="267">
        <f>G16-C16</f>
        <v>81232387</v>
      </c>
      <c r="F16" s="3"/>
      <c r="G16" s="267">
        <f>TAXREC!E50</f>
        <v>184067505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208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106229000</v>
      </c>
      <c r="D20" s="18"/>
      <c r="E20" s="267">
        <f>G20-C20</f>
        <v>11453140</v>
      </c>
      <c r="F20" s="6"/>
      <c r="G20" s="267">
        <f>TAXREC!E61</f>
        <v>117682140</v>
      </c>
      <c r="H20" s="151"/>
    </row>
    <row r="21" spans="1:8">
      <c r="A21" s="158" t="s">
        <v>56</v>
      </c>
      <c r="B21" s="127">
        <v>3</v>
      </c>
      <c r="C21" s="261">
        <v>33129140</v>
      </c>
      <c r="D21" s="18"/>
      <c r="E21" s="267">
        <f>G21-C21</f>
        <v>-33129140</v>
      </c>
      <c r="F21" s="6"/>
      <c r="G21" s="267">
        <f>TAXREC!E62</f>
        <v>0</v>
      </c>
      <c r="H21" s="151"/>
    </row>
    <row r="22" spans="1:8">
      <c r="A22" s="158" t="s">
        <v>264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263</v>
      </c>
      <c r="B23" s="127">
        <v>4</v>
      </c>
      <c r="C23" s="261"/>
      <c r="D23" s="18"/>
      <c r="E23" s="267">
        <f>G23-C23</f>
        <v>108977216</v>
      </c>
      <c r="F23" s="6"/>
      <c r="G23" s="267">
        <f>TAXREC!E64</f>
        <v>108977216</v>
      </c>
      <c r="H23" s="151"/>
    </row>
    <row r="24" spans="1:8">
      <c r="A24" s="158" t="s">
        <v>265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156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159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158</v>
      </c>
      <c r="B28" s="127">
        <v>6</v>
      </c>
      <c r="C28" s="261"/>
      <c r="D28" s="18"/>
      <c r="E28" s="267">
        <f>G28-C28</f>
        <v>4132505</v>
      </c>
      <c r="F28" s="6"/>
      <c r="G28" s="267">
        <f>TAXREC!E67</f>
        <v>4132505</v>
      </c>
      <c r="H28" s="151"/>
    </row>
    <row r="29" spans="1:8">
      <c r="A29" s="158" t="s">
        <v>157</v>
      </c>
      <c r="B29" s="127">
        <v>6</v>
      </c>
      <c r="C29" s="261"/>
      <c r="D29" s="18"/>
      <c r="E29" s="267">
        <f>G29-C29</f>
        <v>2385415</v>
      </c>
      <c r="F29" s="6"/>
      <c r="G29" s="267">
        <f>TAXREC!E68</f>
        <v>2385415</v>
      </c>
      <c r="H29" s="151"/>
    </row>
    <row r="30" spans="1:8" ht="15.75">
      <c r="A30" s="482" t="s">
        <v>399</v>
      </c>
      <c r="B30" s="127"/>
      <c r="C30" s="259"/>
      <c r="D30" s="18"/>
      <c r="E30" s="267">
        <f>G30-C30</f>
        <v>12122319</v>
      </c>
      <c r="F30" s="6"/>
      <c r="G30" s="267">
        <f>TAXREC!E66</f>
        <v>12122319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344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76692530</v>
      </c>
      <c r="D33" s="132"/>
      <c r="E33" s="267">
        <f t="shared" ref="E33:E42" si="0">G33-C33</f>
        <v>80170009</v>
      </c>
      <c r="F33" s="6"/>
      <c r="G33" s="267">
        <f>TAXREC!E97+TAXREC!E98</f>
        <v>156862539</v>
      </c>
      <c r="H33" s="151"/>
    </row>
    <row r="34" spans="1:8">
      <c r="A34" s="158" t="s">
        <v>57</v>
      </c>
      <c r="B34" s="127">
        <v>8</v>
      </c>
      <c r="C34" s="261">
        <v>30011140</v>
      </c>
      <c r="D34" s="132"/>
      <c r="E34" s="267">
        <f t="shared" si="0"/>
        <v>-30011140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266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f>REGINFO!D66</f>
        <v>57696270.825082511</v>
      </c>
      <c r="D37" s="132"/>
      <c r="E37" s="267">
        <f t="shared" si="0"/>
        <v>18922234.174917489</v>
      </c>
      <c r="F37" s="6"/>
      <c r="G37" s="267">
        <f>TAXREC!E51</f>
        <v>76618505</v>
      </c>
      <c r="H37" s="151"/>
    </row>
    <row r="38" spans="1:8">
      <c r="A38" s="155" t="s">
        <v>262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261</v>
      </c>
      <c r="B39" s="125">
        <v>4</v>
      </c>
      <c r="C39" s="261"/>
      <c r="D39" s="132"/>
      <c r="E39" s="267">
        <f t="shared" si="0"/>
        <v>119132936</v>
      </c>
      <c r="F39" s="6"/>
      <c r="G39" s="267">
        <f>TAXREC!E105</f>
        <v>119132936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184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156</v>
      </c>
      <c r="B44" s="127">
        <v>12</v>
      </c>
      <c r="C44" s="261"/>
      <c r="D44" s="132"/>
      <c r="E44" s="267">
        <f>G44-C44</f>
        <v>0</v>
      </c>
      <c r="F44" s="6"/>
      <c r="G44" s="251">
        <f>TAXREC!E130</f>
        <v>0</v>
      </c>
      <c r="H44" s="151"/>
    </row>
    <row r="45" spans="1:8">
      <c r="A45" s="158" t="s">
        <v>153</v>
      </c>
      <c r="B45" s="127">
        <v>12</v>
      </c>
      <c r="C45" s="261"/>
      <c r="D45" s="132"/>
      <c r="E45" s="267">
        <f>G45-C45</f>
        <v>0</v>
      </c>
      <c r="F45" s="6"/>
      <c r="G45" s="251">
        <f>TAXREC!E131</f>
        <v>0</v>
      </c>
      <c r="H45" s="151"/>
    </row>
    <row r="46" spans="1:8">
      <c r="A46" s="158" t="s">
        <v>155</v>
      </c>
      <c r="B46" s="127">
        <v>12</v>
      </c>
      <c r="C46" s="261"/>
      <c r="D46" s="132"/>
      <c r="E46" s="267">
        <f>G46-C46</f>
        <v>0</v>
      </c>
      <c r="F46" s="6"/>
      <c r="G46" s="251">
        <f>TAXREC!E110</f>
        <v>0</v>
      </c>
      <c r="H46" s="151"/>
    </row>
    <row r="47" spans="1:8">
      <c r="A47" s="158" t="s">
        <v>154</v>
      </c>
      <c r="B47" s="127">
        <v>12</v>
      </c>
      <c r="C47" s="261"/>
      <c r="D47" s="132"/>
      <c r="E47" s="267">
        <f>G47-C47</f>
        <v>3628453</v>
      </c>
      <c r="F47" s="6"/>
      <c r="G47" s="251">
        <f>TAXREC!E111</f>
        <v>3628453</v>
      </c>
      <c r="H47" s="151"/>
    </row>
    <row r="48" spans="1:8" ht="15.75">
      <c r="A48" s="482" t="s">
        <v>399</v>
      </c>
      <c r="B48" s="127"/>
      <c r="C48" s="259"/>
      <c r="D48" s="132"/>
      <c r="E48" s="267">
        <f>G48-C48</f>
        <v>2233343</v>
      </c>
      <c r="F48" s="6"/>
      <c r="G48" s="251">
        <f>TAXREC!E108</f>
        <v>2233343</v>
      </c>
      <c r="H48" s="151"/>
    </row>
    <row r="49" spans="1:9">
      <c r="A49" s="158"/>
      <c r="B49" s="127"/>
      <c r="C49" s="105"/>
      <c r="D49" s="132"/>
      <c r="E49" s="139"/>
      <c r="F49" s="6"/>
      <c r="G49" s="139"/>
      <c r="H49" s="151"/>
    </row>
    <row r="50" spans="1:9">
      <c r="A50" s="152" t="s">
        <v>330</v>
      </c>
      <c r="B50" s="125"/>
      <c r="C50" s="263">
        <f>C16+SUM(C20:C30)-SUM(C33:C48)</f>
        <v>77793317.174917489</v>
      </c>
      <c r="D50" s="102"/>
      <c r="E50" s="264">
        <f>E16+SUM(E20:E30)-SUM(E33:E48)</f>
        <v>-6901993.1749174893</v>
      </c>
      <c r="F50" s="431" t="s">
        <v>371</v>
      </c>
      <c r="G50" s="263">
        <f>G16+SUM(G20:G30)-SUM(G33:G48)</f>
        <v>70891324</v>
      </c>
      <c r="H50" s="160"/>
    </row>
    <row r="51" spans="1:9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338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342</v>
      </c>
      <c r="B53" s="127">
        <v>13</v>
      </c>
      <c r="C53" s="262">
        <f>IF($C$50&gt;'Tax Rates'!$E$11,'Tax Rates'!$F$16,IF($C$50&gt;'Tax Rates'!$C$11,'Tax Rates'!$E$16,'Tax Rates'!$C$16))</f>
        <v>0.38619999999999999</v>
      </c>
      <c r="D53" s="102"/>
      <c r="E53" s="268">
        <f>+G53-C53</f>
        <v>-2.0000000000000018E-2</v>
      </c>
      <c r="F53" s="114"/>
      <c r="G53" s="473">
        <f>TAXREC!E151</f>
        <v>0.36619999999999997</v>
      </c>
      <c r="H53" s="151"/>
      <c r="I53" s="470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30043779.092953134</v>
      </c>
      <c r="D55" s="102"/>
      <c r="E55" s="267">
        <f>G55-C55</f>
        <v>-19346149.092953134</v>
      </c>
      <c r="F55" s="431" t="s">
        <v>372</v>
      </c>
      <c r="G55" s="264">
        <f>TAXREC!E144</f>
        <v>10697630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538238</v>
      </c>
      <c r="F58" s="431" t="s">
        <v>372</v>
      </c>
      <c r="G58" s="270">
        <f>TAXREC!E145</f>
        <v>538238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30043779.092953134</v>
      </c>
      <c r="D60" s="133"/>
      <c r="E60" s="269">
        <f>+E55-E58</f>
        <v>-19884387.092953134</v>
      </c>
      <c r="F60" s="431" t="s">
        <v>372</v>
      </c>
      <c r="G60" s="269">
        <f>+G55-G58</f>
        <v>10159392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258496941</v>
      </c>
      <c r="F66" s="6"/>
      <c r="G66" s="475">
        <v>2068609629</v>
      </c>
      <c r="H66" s="151"/>
      <c r="I66" s="500"/>
    </row>
    <row r="67" spans="1:10">
      <c r="A67" s="152" t="s">
        <v>364</v>
      </c>
      <c r="B67" s="125">
        <v>16</v>
      </c>
      <c r="C67" s="260">
        <f>IF(C66&gt;0,'Tax Rates'!C21,0)</f>
        <v>5000000</v>
      </c>
      <c r="D67" s="102"/>
      <c r="E67" s="267">
        <f>G67-C67</f>
        <v>-271438</v>
      </c>
      <c r="F67" s="6"/>
      <c r="G67" s="475">
        <v>4728562</v>
      </c>
      <c r="H67" s="151"/>
      <c r="I67" s="500"/>
      <c r="J67" s="501"/>
    </row>
    <row r="68" spans="1:10">
      <c r="A68" s="152" t="s">
        <v>42</v>
      </c>
      <c r="B68" s="125"/>
      <c r="C68" s="264">
        <f>IF((C66-C67)&gt;0,C66-C67,0)</f>
        <v>1805112688</v>
      </c>
      <c r="D68" s="102"/>
      <c r="E68" s="267">
        <f>SUM(E66:E67)</f>
        <v>258225503</v>
      </c>
      <c r="F68" s="114"/>
      <c r="G68" s="264">
        <f>G66-G67</f>
        <v>2063881067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365</v>
      </c>
      <c r="B70" s="125">
        <v>17</v>
      </c>
      <c r="C70" s="301">
        <f>'Tax Rates'!C18</f>
        <v>3.0000000000000001E-3</v>
      </c>
      <c r="D70" s="102"/>
      <c r="E70" s="268">
        <f>+G70-C70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317</v>
      </c>
      <c r="B72" s="125"/>
      <c r="C72" s="264">
        <f>IF(C68&gt;0,C68*C70,0)*REGINFO!$B$6/REGINFO!$B$7</f>
        <v>5415338.0640000002</v>
      </c>
      <c r="D72" s="101"/>
      <c r="E72" s="267">
        <f>+G72-C72</f>
        <v>776305.1370000001</v>
      </c>
      <c r="F72" s="476"/>
      <c r="G72" s="264">
        <f>IF(G68&gt;0,G68*G70,0)*REGINFO!$B$6/REGINFO!$B$7</f>
        <v>6191643.2010000004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218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272448650</v>
      </c>
      <c r="F75" s="6"/>
      <c r="G75" s="475">
        <v>2082561338</v>
      </c>
      <c r="H75" s="151"/>
      <c r="I75" s="500"/>
    </row>
    <row r="76" spans="1:10">
      <c r="A76" s="152" t="s">
        <v>364</v>
      </c>
      <c r="B76" s="125">
        <v>19</v>
      </c>
      <c r="C76" s="260">
        <f>IF(C75&gt;0,'Tax Rates'!C22,0)</f>
        <v>10000000</v>
      </c>
      <c r="D76" s="18"/>
      <c r="E76" s="267">
        <f>+G76-C76</f>
        <v>0</v>
      </c>
      <c r="F76" s="6"/>
      <c r="G76" s="475">
        <f>'Tax Rates'!C58</f>
        <v>10000000</v>
      </c>
      <c r="H76" s="151"/>
      <c r="I76" s="500"/>
    </row>
    <row r="77" spans="1:10">
      <c r="A77" s="152" t="s">
        <v>42</v>
      </c>
      <c r="B77" s="125"/>
      <c r="C77" s="264">
        <f>IF((C75-C76)&gt;0,C75-C76,0)</f>
        <v>1800112688</v>
      </c>
      <c r="D77" s="19"/>
      <c r="E77" s="267">
        <f>SUM(E75:E76)</f>
        <v>272448650</v>
      </c>
      <c r="F77" s="114"/>
      <c r="G77" s="264">
        <f>G75-G76</f>
        <v>2072561338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365</v>
      </c>
      <c r="B79" s="125">
        <v>20</v>
      </c>
      <c r="C79" s="301">
        <f>'Tax Rates'!C19</f>
        <v>2.2499999999999998E-3</v>
      </c>
      <c r="D79" s="102"/>
      <c r="E79" s="268">
        <f>G79-C79</f>
        <v>0</v>
      </c>
      <c r="F79" s="6"/>
      <c r="G79" s="268">
        <f>'Tax Rates'!C55</f>
        <v>2.2499999999999998E-3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318</v>
      </c>
      <c r="B81" s="125"/>
      <c r="C81" s="264">
        <f>IF(C77&gt;0,C77*C79,0)*REGINFO!$B$6/REGINFO!$B$7</f>
        <v>4050253.5479999995</v>
      </c>
      <c r="D81" s="102"/>
      <c r="E81" s="267">
        <f>+G81-C81</f>
        <v>613009.46250000037</v>
      </c>
      <c r="F81" s="6"/>
      <c r="G81" s="264">
        <f>G77*G79*B9/B10</f>
        <v>4663263.0104999999</v>
      </c>
      <c r="H81" s="151"/>
    </row>
    <row r="82" spans="1:12">
      <c r="A82" s="152" t="s">
        <v>319</v>
      </c>
      <c r="B82" s="125">
        <v>21</v>
      </c>
      <c r="C82" s="300">
        <f>IF(C77&gt;0,IF(C60&gt;0,C50*'Tax Rates'!C20,0),0)</f>
        <v>871285.15235907584</v>
      </c>
      <c r="D82" s="102"/>
      <c r="E82" s="267">
        <f>+G82-C82</f>
        <v>-544105.15235907584</v>
      </c>
      <c r="F82" s="6"/>
      <c r="G82" s="300">
        <v>327180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3178968.3956409236</v>
      </c>
      <c r="D84" s="16"/>
      <c r="E84" s="267">
        <f>E81-E82</f>
        <v>1157114.6148590762</v>
      </c>
      <c r="F84" s="103"/>
      <c r="G84" s="264">
        <f>G81-G82</f>
        <v>4336083.0104999999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152" t="s">
        <v>227</v>
      </c>
      <c r="B88" s="125"/>
      <c r="C88" s="262">
        <f>IF($C$50&gt;'Tax Rates'!$E$11,'Tax Rates'!$F$16,IF(AND($C$50&gt;='Tax Rates'!$C$11,$C$50&lt;='Tax Rates'!E11),'Tax Rates'!$E$16,'Tax Rates'!$C$16))-1.12%</f>
        <v>0.375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373</v>
      </c>
      <c r="B90" s="127">
        <v>22</v>
      </c>
      <c r="C90" s="264">
        <f>C60/(1-C88)</f>
        <v>48070046.548725016</v>
      </c>
      <c r="D90" s="20"/>
      <c r="E90" s="139"/>
      <c r="F90" s="430" t="s">
        <v>504</v>
      </c>
      <c r="G90" s="270">
        <f>TAXREC!E156</f>
        <v>10159392</v>
      </c>
      <c r="H90" s="151"/>
    </row>
    <row r="91" spans="1:12">
      <c r="A91" s="158" t="s">
        <v>374</v>
      </c>
      <c r="B91" s="127">
        <v>23</v>
      </c>
      <c r="C91" s="264">
        <f>C84/(1-C88)</f>
        <v>5086349.4330254775</v>
      </c>
      <c r="D91" s="20"/>
      <c r="E91" s="139"/>
      <c r="F91" s="430" t="s">
        <v>504</v>
      </c>
      <c r="G91" s="270">
        <f>TAXREC!E158</f>
        <v>4336083</v>
      </c>
      <c r="H91" s="151"/>
    </row>
    <row r="92" spans="1:12">
      <c r="A92" s="158" t="s">
        <v>352</v>
      </c>
      <c r="B92" s="127">
        <v>24</v>
      </c>
      <c r="C92" s="264">
        <f>C72</f>
        <v>5415338.0640000002</v>
      </c>
      <c r="D92" s="20"/>
      <c r="E92" s="139"/>
      <c r="F92" s="430" t="s">
        <v>504</v>
      </c>
      <c r="G92" s="270">
        <f>TAXREC!E157</f>
        <v>6191643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6" t="s">
        <v>480</v>
      </c>
      <c r="B95" s="125">
        <v>25</v>
      </c>
      <c r="C95" s="269">
        <f>SUM(C90:C93)</f>
        <v>58571734.045750499</v>
      </c>
      <c r="D95" s="6"/>
      <c r="E95" s="139"/>
      <c r="F95" s="430" t="s">
        <v>504</v>
      </c>
      <c r="G95" s="413">
        <f>SUM(G90:G94)</f>
        <v>20687118</v>
      </c>
      <c r="H95" s="164"/>
    </row>
    <row r="96" spans="1:12">
      <c r="A96" s="403" t="s">
        <v>308</v>
      </c>
      <c r="B96" s="125"/>
      <c r="C96" s="105"/>
      <c r="D96" s="6"/>
      <c r="E96" s="109"/>
      <c r="F96" s="6"/>
      <c r="G96" s="139"/>
      <c r="H96" s="164"/>
    </row>
    <row r="97" spans="1:8" ht="13.5" thickBot="1">
      <c r="A97" s="150"/>
      <c r="B97" s="125"/>
      <c r="C97" s="105"/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305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247</v>
      </c>
      <c r="B100" s="123"/>
      <c r="C100" s="112"/>
      <c r="D100" s="3"/>
      <c r="E100" s="143" t="s">
        <v>249</v>
      </c>
      <c r="F100" s="37"/>
      <c r="G100" s="200"/>
      <c r="H100" s="164"/>
    </row>
    <row r="101" spans="1:8">
      <c r="A101" s="156" t="s">
        <v>350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1">
        <f>E21</f>
        <v>-33129140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108977216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367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368</v>
      </c>
      <c r="B107" s="127">
        <v>6</v>
      </c>
      <c r="C107" s="112"/>
      <c r="D107" s="3"/>
      <c r="E107" s="251">
        <f>E28</f>
        <v>4132505</v>
      </c>
      <c r="F107" s="37"/>
      <c r="G107" s="201"/>
      <c r="H107" s="164"/>
    </row>
    <row r="108" spans="1:8">
      <c r="A108" s="156" t="s">
        <v>366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1">
        <f>E34</f>
        <v>-30011140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322</v>
      </c>
      <c r="B112" s="127">
        <v>11</v>
      </c>
      <c r="C112" s="112"/>
      <c r="D112" s="3"/>
      <c r="E112" s="472">
        <f>E206</f>
        <v>0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119132936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369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370</v>
      </c>
      <c r="B118" s="127">
        <v>12</v>
      </c>
      <c r="C118" s="112"/>
      <c r="D118" s="3"/>
      <c r="E118" s="251">
        <f>E46</f>
        <v>0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220</v>
      </c>
      <c r="B120" s="127">
        <v>26</v>
      </c>
      <c r="C120" s="112"/>
      <c r="D120" s="117" t="s">
        <v>189</v>
      </c>
      <c r="E120" s="264">
        <f>SUM(E102:E107)-SUM(E109:E118)</f>
        <v>-9141215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505</v>
      </c>
      <c r="B122" s="127"/>
      <c r="C122" s="112"/>
      <c r="D122" s="3" t="s">
        <v>231</v>
      </c>
      <c r="E122" s="469">
        <f>+'Tax Rates'!F52</f>
        <v>0.36619999999999997</v>
      </c>
      <c r="F122" s="470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246</v>
      </c>
      <c r="B124" s="127"/>
      <c r="C124" s="112"/>
      <c r="D124" s="3" t="s">
        <v>189</v>
      </c>
      <c r="E124" s="264">
        <f>E120*E122</f>
        <v>-3347512.9329999997</v>
      </c>
      <c r="F124" s="37"/>
      <c r="G124" s="201"/>
      <c r="H124" s="164"/>
    </row>
    <row r="125" spans="1:8">
      <c r="A125" s="158"/>
      <c r="B125" s="127"/>
      <c r="C125" s="112"/>
      <c r="D125" s="3"/>
      <c r="E125" s="110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4">
        <f>E58</f>
        <v>538238</v>
      </c>
      <c r="F126" s="37"/>
      <c r="G126" s="201"/>
      <c r="H126" s="164"/>
    </row>
    <row r="127" spans="1:8">
      <c r="A127" s="158"/>
      <c r="B127" s="127"/>
      <c r="C127" s="112"/>
      <c r="D127" s="3"/>
      <c r="E127" s="110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4">
        <f>E124-E126</f>
        <v>-3885750.9329999997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196</v>
      </c>
      <c r="B130" s="127"/>
      <c r="C130" s="112"/>
      <c r="D130" s="3"/>
      <c r="E130" s="469">
        <f>IF((E120+C50)&gt;'Tax Rates'!$E$47,'Tax Rates'!$F$52-1.12%, IF((E120+C50)&gt;'Tax Rates'!$D$47,'Tax Rates'!$E$52-1.12%,IF((E120+C50)&gt;'Tax Rates'!$C$47,'Tax Rates'!$D$52-1.12%,'Tax Rates'!$C$52-1.12%)))</f>
        <v>0.35499999999999998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356</v>
      </c>
      <c r="B132" s="130"/>
      <c r="C132" s="112"/>
      <c r="D132" s="3"/>
      <c r="E132" s="264">
        <f>E128/(1-E130)</f>
        <v>-6024420.0511627905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359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235</v>
      </c>
      <c r="B136" s="130"/>
      <c r="C136" s="112"/>
      <c r="D136" s="118" t="s">
        <v>189</v>
      </c>
      <c r="E136" s="302">
        <f>C50</f>
        <v>77793317.174917489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237</v>
      </c>
      <c r="B138" s="130"/>
      <c r="C138" s="112"/>
      <c r="D138" s="119" t="s">
        <v>231</v>
      </c>
      <c r="E138" s="469">
        <f>IF((E120+E136)&gt;'Tax Rates'!E47,'Tax Rates'!F52, IF((E120+E136)&gt;'Tax Rates'!D47,'Tax Rates'!E52,IF((E120+E136)&gt;'Tax Rates'!C47,'Tax Rates'!D52,'Tax Rates'!C52)))</f>
        <v>0.36619999999999997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229</v>
      </c>
      <c r="B140" s="130"/>
      <c r="C140" s="112"/>
      <c r="D140" s="118" t="s">
        <v>189</v>
      </c>
      <c r="E140" s="303">
        <f>IF(E136&gt;0,E136*E138,0)</f>
        <v>28487912.749454781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238</v>
      </c>
      <c r="B142" s="130"/>
      <c r="C142" s="112"/>
      <c r="D142" s="118" t="s">
        <v>188</v>
      </c>
      <c r="E142" s="304"/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230</v>
      </c>
      <c r="B144" s="130"/>
      <c r="C144" s="112"/>
      <c r="D144" s="119" t="s">
        <v>189</v>
      </c>
      <c r="E144" s="302">
        <f>E140-E142</f>
        <v>28487912.749454781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239</v>
      </c>
      <c r="B146" s="130"/>
      <c r="C146" s="112"/>
      <c r="D146" s="118" t="s">
        <v>188</v>
      </c>
      <c r="E146" s="302">
        <f>C60</f>
        <v>30043779.092953134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232</v>
      </c>
      <c r="B148" s="130"/>
      <c r="C148" s="112"/>
      <c r="D148" s="118" t="s">
        <v>189</v>
      </c>
      <c r="E148" s="308">
        <f>E144-E146</f>
        <v>-1555866.3434983529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6" t="s">
        <v>20</v>
      </c>
      <c r="B150" s="130"/>
      <c r="C150" s="112"/>
      <c r="D150" s="119"/>
      <c r="E150" s="481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189</v>
      </c>
      <c r="E151" s="302">
        <f>C66</f>
        <v>1810112688</v>
      </c>
      <c r="F151" s="37"/>
      <c r="G151" s="201"/>
      <c r="H151" s="164"/>
    </row>
    <row r="152" spans="1:8">
      <c r="A152" s="171" t="s">
        <v>362</v>
      </c>
      <c r="B152" s="130"/>
      <c r="C152" s="112"/>
      <c r="D152" s="118" t="s">
        <v>188</v>
      </c>
      <c r="E152" s="305">
        <f>IF(E151&gt;0,'Tax Rates'!C39,0)</f>
        <v>5000000</v>
      </c>
      <c r="F152" s="37"/>
      <c r="G152" s="201"/>
      <c r="H152" s="164"/>
    </row>
    <row r="153" spans="1:8">
      <c r="A153" s="171" t="s">
        <v>233</v>
      </c>
      <c r="B153" s="130"/>
      <c r="C153" s="112"/>
      <c r="D153" s="118" t="s">
        <v>189</v>
      </c>
      <c r="E153" s="302">
        <f>E151-E152</f>
        <v>1805112688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363</v>
      </c>
      <c r="B155" s="130"/>
      <c r="C155" s="112"/>
      <c r="D155" s="119" t="s">
        <v>231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234</v>
      </c>
      <c r="B157" s="130"/>
      <c r="C157" s="112"/>
      <c r="D157" s="119" t="s">
        <v>189</v>
      </c>
      <c r="E157" s="302">
        <f>IF(E153&gt;0,E153*E155*B9/B10,0)</f>
        <v>5415338.0640000002</v>
      </c>
      <c r="F157" s="37"/>
      <c r="G157" s="201"/>
      <c r="H157" s="164"/>
    </row>
    <row r="158" spans="1:8" ht="25.5">
      <c r="A158" s="171" t="s">
        <v>309</v>
      </c>
      <c r="B158" s="130"/>
      <c r="C158" s="112"/>
      <c r="D158" s="118" t="s">
        <v>188</v>
      </c>
      <c r="E158" s="305">
        <f>C72</f>
        <v>5415338.0640000002</v>
      </c>
      <c r="F158" s="37"/>
      <c r="G158" s="201"/>
      <c r="H158" s="164"/>
    </row>
    <row r="159" spans="1:8" ht="12.75" customHeight="1">
      <c r="A159" s="172" t="s">
        <v>244</v>
      </c>
      <c r="B159" s="130"/>
      <c r="C159" s="112"/>
      <c r="D159" s="118" t="s">
        <v>189</v>
      </c>
      <c r="E159" s="474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6" t="s">
        <v>236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361</v>
      </c>
      <c r="B163" s="130"/>
      <c r="C163" s="112"/>
      <c r="D163" s="118" t="s">
        <v>188</v>
      </c>
      <c r="E163" s="305">
        <f>IF(E162&gt;0,'Tax Rates'!C40,0)</f>
        <v>10000000</v>
      </c>
      <c r="F163" s="37"/>
      <c r="G163" s="201"/>
      <c r="H163" s="164"/>
    </row>
    <row r="164" spans="1:8">
      <c r="A164" s="171" t="s">
        <v>240</v>
      </c>
      <c r="B164" s="130"/>
      <c r="C164" s="112"/>
      <c r="D164" s="119" t="s">
        <v>189</v>
      </c>
      <c r="E164" s="302">
        <f>E162-E163</f>
        <v>1800112688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310</v>
      </c>
      <c r="B166" s="130"/>
      <c r="C166" s="112"/>
      <c r="D166" s="119"/>
      <c r="E166" s="306">
        <f>'Tax Rates'!C55</f>
        <v>2.2499999999999998E-3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241</v>
      </c>
      <c r="B168" s="130"/>
      <c r="C168" s="112"/>
      <c r="D168" s="119"/>
      <c r="E168" s="302">
        <f>IF(E164&gt;0,E164*E166*B9/B10,0)</f>
        <v>4050253.5479999995</v>
      </c>
      <c r="F168" s="37"/>
      <c r="G168" s="201"/>
      <c r="H168" s="164"/>
    </row>
    <row r="169" spans="1:8">
      <c r="A169" s="171" t="s">
        <v>320</v>
      </c>
      <c r="B169" s="130"/>
      <c r="C169" s="112"/>
      <c r="D169" s="118" t="s">
        <v>188</v>
      </c>
      <c r="E169" s="307">
        <f>IF(E164&gt;0,IF(E144&gt;0,E136*'Tax Rates'!C56,0),0)</f>
        <v>871285.15235907584</v>
      </c>
      <c r="F169" s="37"/>
      <c r="G169" s="201"/>
      <c r="H169" s="164"/>
    </row>
    <row r="170" spans="1:8">
      <c r="A170" s="171" t="s">
        <v>242</v>
      </c>
      <c r="B170" s="130"/>
      <c r="C170" s="112"/>
      <c r="D170" s="119" t="s">
        <v>189</v>
      </c>
      <c r="E170" s="302">
        <f>E168-E169</f>
        <v>3178968.3956409236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>
      <c r="A172" s="414" t="s">
        <v>351</v>
      </c>
      <c r="B172" s="130"/>
      <c r="C172" s="112"/>
      <c r="D172" s="118" t="s">
        <v>188</v>
      </c>
      <c r="E172" s="305">
        <f>C84</f>
        <v>3178968.3956409236</v>
      </c>
      <c r="F172" s="37"/>
      <c r="G172" s="201"/>
      <c r="H172" s="164"/>
    </row>
    <row r="173" spans="1:8">
      <c r="A173" s="155" t="s">
        <v>245</v>
      </c>
      <c r="B173" s="130"/>
      <c r="C173" s="112"/>
      <c r="D173" s="119" t="s">
        <v>189</v>
      </c>
      <c r="E173" s="474">
        <f>E170-E172</f>
        <v>0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348</v>
      </c>
      <c r="B175" s="130"/>
      <c r="C175" s="112"/>
      <c r="D175" s="119"/>
      <c r="E175" s="469">
        <f>IF((E120+G50)&gt;'Tax Rates'!E47,'Tax Rates'!F52-1.12%, IF((E120+G50)&gt;'Tax Rates'!D47,'Tax Rates'!E52-1.12%,IF((E120+G50)&gt;'Tax Rates'!C47,'Tax Rates'!D52,'Tax Rates'!C52-1.12%)))</f>
        <v>0.35499999999999998</v>
      </c>
      <c r="F175" s="470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243</v>
      </c>
      <c r="B177" s="130"/>
      <c r="C177" s="112"/>
      <c r="D177" s="119" t="s">
        <v>187</v>
      </c>
      <c r="E177" s="302">
        <f>E148/(1-E175)</f>
        <v>-2412195.8813927951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187</v>
      </c>
      <c r="E178" s="302">
        <f>E173/(1-E175)</f>
        <v>0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187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357</v>
      </c>
      <c r="B181" s="130"/>
      <c r="C181" s="112"/>
      <c r="D181" s="119" t="s">
        <v>189</v>
      </c>
      <c r="E181" s="302">
        <f>SUM(E177:E179)</f>
        <v>-2412195.8813927951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349</v>
      </c>
      <c r="B183" s="130"/>
      <c r="C183" s="112"/>
      <c r="D183" s="119" t="s">
        <v>187</v>
      </c>
      <c r="E183" s="302">
        <f>E132</f>
        <v>-6024420.0511627905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358</v>
      </c>
      <c r="B185" s="130"/>
      <c r="C185" s="112"/>
      <c r="D185" s="119" t="s">
        <v>189</v>
      </c>
      <c r="E185" s="302">
        <f>E181+E183</f>
        <v>-8436615.9325555861</v>
      </c>
      <c r="F185" s="37"/>
      <c r="G185" s="201"/>
      <c r="H185" s="164"/>
    </row>
    <row r="186" spans="1:8">
      <c r="A186" s="162" t="s">
        <v>248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224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251</v>
      </c>
      <c r="B194" s="127"/>
      <c r="C194" s="112"/>
      <c r="D194" s="120"/>
      <c r="E194" s="308">
        <f>REGINFO!D66</f>
        <v>57696270.825082511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345</v>
      </c>
      <c r="B196" s="127"/>
      <c r="C196" s="112"/>
      <c r="D196" s="120"/>
      <c r="E196" s="308">
        <f>E193-E194</f>
        <v>22310709.9845175</v>
      </c>
      <c r="F196" s="3"/>
      <c r="G196" s="123"/>
      <c r="H196" s="164"/>
    </row>
    <row r="197" spans="1:8">
      <c r="A197" s="155" t="s">
        <v>346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257</v>
      </c>
      <c r="B199" s="127"/>
      <c r="C199" s="112"/>
      <c r="D199" s="120"/>
      <c r="E199" s="147"/>
      <c r="F199" s="3"/>
      <c r="G199" s="484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4"/>
      <c r="H200" s="164"/>
    </row>
    <row r="201" spans="1:8">
      <c r="A201" s="155" t="s">
        <v>252</v>
      </c>
      <c r="B201" s="127"/>
      <c r="C201" s="112"/>
      <c r="D201" s="120"/>
      <c r="E201" s="308">
        <f>G37+G42</f>
        <v>76618505</v>
      </c>
      <c r="F201" s="3"/>
      <c r="G201" s="484"/>
      <c r="H201" s="164"/>
    </row>
    <row r="202" spans="1:8">
      <c r="A202" s="155" t="s">
        <v>347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0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321</v>
      </c>
      <c r="B206" s="127"/>
      <c r="C206" s="112"/>
      <c r="D206" s="120"/>
      <c r="E206" s="471">
        <f>IF((E201-E202)&gt;0,E201-E202,0)</f>
        <v>0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225</v>
      </c>
      <c r="B208" s="178"/>
      <c r="C208" s="179"/>
      <c r="D208" s="180"/>
      <c r="E208" s="309">
        <f>+E196-E204</f>
        <v>22310709.9845175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/>
  <pageMargins left="0.19685039370078741" right="0.23622047244094491" top="0.83" bottom="0.39370078740157483" header="0.19685039370078741" footer="0.19685039370078741"/>
  <pageSetup scale="63" fitToHeight="0" orientation="portrait" cellComments="asDisplayed" r:id="rId1"/>
  <headerFooter alignWithMargins="0">
    <oddHeader>&amp;R&amp;9Toronto Hydro-Electric System Limited
EB-2012-0064
Tab 5
Schedule E
ORIGINAL
page &amp;P of &amp;N</oddHeader>
    <oddFooter>&amp;C&amp;A</oddFooter>
  </headerFooter>
  <rowBreaks count="3" manualBreakCount="3">
    <brk id="85" max="7" man="1"/>
    <brk id="149" max="7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163"/>
  <sheetViews>
    <sheetView view="pageBreakPreview" topLeftCell="A156" zoomScale="60" zoomScaleNormal="100" workbookViewId="0">
      <selection activeCell="G181" sqref="G181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1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178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2003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215</v>
      </c>
      <c r="B9" s="20"/>
      <c r="C9" s="486">
        <v>37622</v>
      </c>
      <c r="D9" s="25"/>
      <c r="E9" s="25"/>
      <c r="F9" s="20"/>
      <c r="G9" s="3"/>
      <c r="H9" s="3"/>
      <c r="I9" s="3"/>
    </row>
    <row r="10" spans="1:11">
      <c r="A10" s="2" t="s">
        <v>216</v>
      </c>
      <c r="B10" s="20"/>
      <c r="C10" s="486">
        <v>37986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5">
        <f>REGINFO!B6</f>
        <v>365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217</v>
      </c>
      <c r="C13" s="258">
        <v>1736868</v>
      </c>
      <c r="D13" s="83" t="s">
        <v>186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7" t="s">
        <v>488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7" t="s">
        <v>489</v>
      </c>
      <c r="D15" s="25"/>
      <c r="E15" s="25"/>
      <c r="F15" s="20"/>
      <c r="G15" s="3"/>
      <c r="H15" s="3"/>
      <c r="I15" s="3"/>
    </row>
    <row r="16" spans="1:11">
      <c r="A16" s="299" t="s">
        <v>228</v>
      </c>
      <c r="B16" s="20" t="s">
        <v>64</v>
      </c>
      <c r="C16" s="8" t="s">
        <v>488</v>
      </c>
      <c r="D16" s="25"/>
      <c r="E16" s="25"/>
      <c r="F16" s="20"/>
      <c r="G16" s="3"/>
      <c r="H16" s="3"/>
      <c r="I16" s="3"/>
    </row>
    <row r="17" spans="1:9">
      <c r="A17" s="2" t="s">
        <v>285</v>
      </c>
      <c r="B17" s="20" t="s">
        <v>64</v>
      </c>
      <c r="C17" s="487" t="s">
        <v>488</v>
      </c>
      <c r="E17" s="26"/>
      <c r="F17" s="8"/>
    </row>
    <row r="18" spans="1:9">
      <c r="A18" s="55" t="s">
        <v>258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149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150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9" t="s">
        <v>328</v>
      </c>
      <c r="B23" s="400"/>
      <c r="C23" s="401"/>
      <c r="D23" s="402"/>
      <c r="E23" s="28"/>
      <c r="F23" s="11"/>
      <c r="G23" s="11"/>
      <c r="H23" s="6"/>
      <c r="I23" s="6"/>
    </row>
    <row r="24" spans="1:9">
      <c r="A24" s="399" t="s">
        <v>259</v>
      </c>
      <c r="B24" s="400"/>
      <c r="C24" s="401"/>
      <c r="D24" s="402"/>
      <c r="E24" s="28"/>
      <c r="F24" s="11"/>
      <c r="G24" s="11"/>
      <c r="H24" s="6"/>
      <c r="I24" s="6"/>
    </row>
    <row r="25" spans="1:9">
      <c r="A25" s="399" t="s">
        <v>223</v>
      </c>
      <c r="B25" s="400"/>
      <c r="C25" s="401"/>
      <c r="D25" s="402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9" t="s">
        <v>326</v>
      </c>
      <c r="B27" s="400"/>
      <c r="C27" s="401"/>
      <c r="D27" s="402"/>
      <c r="E27" s="28"/>
      <c r="F27" s="11"/>
      <c r="G27" s="11"/>
      <c r="H27" s="6"/>
      <c r="I27" s="6"/>
    </row>
    <row r="28" spans="1:9">
      <c r="A28" s="399" t="s">
        <v>327</v>
      </c>
      <c r="B28" s="400"/>
      <c r="C28" s="401"/>
      <c r="D28" s="402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179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274</v>
      </c>
      <c r="B31" s="23" t="s">
        <v>187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221</v>
      </c>
      <c r="B32" s="23" t="s">
        <v>187</v>
      </c>
      <c r="C32" s="285">
        <v>2389949000</v>
      </c>
      <c r="D32" s="286"/>
      <c r="E32" s="284">
        <f>C32-D32</f>
        <v>2389949000</v>
      </c>
      <c r="F32" s="11"/>
      <c r="G32" s="11"/>
      <c r="H32" s="6"/>
      <c r="I32" s="6"/>
    </row>
    <row r="33" spans="1:11">
      <c r="A33" s="4" t="s">
        <v>211</v>
      </c>
      <c r="B33" s="23" t="s">
        <v>187</v>
      </c>
      <c r="C33" s="285">
        <v>22034000</v>
      </c>
      <c r="D33" s="286"/>
      <c r="E33" s="284">
        <f>C33-D33</f>
        <v>22034000</v>
      </c>
      <c r="F33" s="11"/>
      <c r="G33" s="11"/>
      <c r="H33" s="6"/>
      <c r="I33" s="6"/>
    </row>
    <row r="34" spans="1:11">
      <c r="A34" s="4" t="s">
        <v>226</v>
      </c>
      <c r="B34" s="23" t="s">
        <v>187</v>
      </c>
      <c r="C34" s="285">
        <v>11364000</v>
      </c>
      <c r="D34" s="286"/>
      <c r="E34" s="284">
        <f>C34-D34</f>
        <v>11364000</v>
      </c>
      <c r="F34" s="11"/>
      <c r="G34" s="11"/>
      <c r="H34" s="6"/>
      <c r="I34" s="6"/>
    </row>
    <row r="35" spans="1:11" ht="13.5" thickBot="1">
      <c r="A35" s="10"/>
      <c r="B35" s="23" t="s">
        <v>187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181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286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209</v>
      </c>
      <c r="B39" s="23" t="s">
        <v>188</v>
      </c>
      <c r="C39" s="285">
        <v>1957184000</v>
      </c>
      <c r="D39" s="286"/>
      <c r="E39" s="284">
        <f>C39-D39</f>
        <v>1957184000</v>
      </c>
      <c r="F39" s="11"/>
      <c r="G39" s="11"/>
      <c r="H39" s="6"/>
      <c r="I39" s="6"/>
    </row>
    <row r="40" spans="1:11">
      <c r="A40" s="46" t="s">
        <v>210</v>
      </c>
      <c r="B40" s="23" t="s">
        <v>188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275</v>
      </c>
      <c r="B41" s="23" t="s">
        <v>188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276</v>
      </c>
      <c r="B42" s="23" t="s">
        <v>188</v>
      </c>
      <c r="C42" s="285">
        <v>160995000</v>
      </c>
      <c r="D42" s="286"/>
      <c r="E42" s="284">
        <f t="shared" si="0"/>
        <v>160995000</v>
      </c>
      <c r="F42" s="11"/>
      <c r="G42" s="11"/>
      <c r="H42" s="6"/>
      <c r="I42" s="6"/>
    </row>
    <row r="43" spans="1:11">
      <c r="A43" s="4" t="s">
        <v>277</v>
      </c>
      <c r="B43" s="23" t="s">
        <v>188</v>
      </c>
      <c r="C43" s="285">
        <v>117579000</v>
      </c>
      <c r="D43" s="286"/>
      <c r="E43" s="284">
        <f t="shared" si="0"/>
        <v>117579000</v>
      </c>
      <c r="F43" s="11"/>
      <c r="G43" s="11"/>
      <c r="H43" s="6"/>
      <c r="I43" s="6"/>
    </row>
    <row r="44" spans="1:11">
      <c r="A44" s="4" t="s">
        <v>278</v>
      </c>
      <c r="B44" s="23" t="s">
        <v>188</v>
      </c>
      <c r="C44" s="285"/>
      <c r="D44" s="286"/>
      <c r="E44" s="284">
        <f t="shared" si="0"/>
        <v>0</v>
      </c>
      <c r="F44" s="11"/>
      <c r="G44" s="11"/>
      <c r="H44" s="6"/>
      <c r="I44" s="6"/>
    </row>
    <row r="45" spans="1:11">
      <c r="A45" s="4" t="s">
        <v>485</v>
      </c>
      <c r="B45" s="23" t="s">
        <v>188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A46" s="489" t="s">
        <v>496</v>
      </c>
      <c r="B46" s="23" t="s">
        <v>188</v>
      </c>
      <c r="C46" s="285">
        <v>3521495</v>
      </c>
      <c r="D46" s="286"/>
      <c r="E46" s="284">
        <f t="shared" si="0"/>
        <v>3521495</v>
      </c>
      <c r="F46" s="11"/>
      <c r="G46" s="84"/>
      <c r="H46" s="33"/>
      <c r="I46" s="33"/>
      <c r="J46" s="32"/>
      <c r="K46" s="32"/>
    </row>
    <row r="47" spans="1:11">
      <c r="A47" s="48"/>
      <c r="B47" s="23" t="s">
        <v>188</v>
      </c>
      <c r="C47" s="285"/>
      <c r="D47" s="286"/>
      <c r="E47" s="284">
        <f t="shared" si="0"/>
        <v>0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188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189</v>
      </c>
      <c r="C50" s="281">
        <f>SUM(C31:C36)-SUM(C39:C49)</f>
        <v>184067505</v>
      </c>
      <c r="D50" s="281">
        <f>SUM(D31:D36)-SUM(D39:D49)</f>
        <v>0</v>
      </c>
      <c r="E50" s="281">
        <f>SUM(E31:E35)-SUM(E39:E48)</f>
        <v>184067505</v>
      </c>
      <c r="F50" s="11"/>
      <c r="G50" s="11"/>
      <c r="H50" s="6"/>
      <c r="I50" s="6"/>
    </row>
    <row r="51" spans="1:9">
      <c r="A51" s="4" t="s">
        <v>91</v>
      </c>
      <c r="B51" s="23" t="s">
        <v>188</v>
      </c>
      <c r="C51" s="285">
        <v>76618505</v>
      </c>
      <c r="D51" s="285"/>
      <c r="E51" s="282">
        <f>+C51-D51</f>
        <v>76618505</v>
      </c>
      <c r="F51" s="11"/>
      <c r="G51" s="11"/>
      <c r="H51" s="6"/>
      <c r="I51" s="6"/>
    </row>
    <row r="52" spans="1:9">
      <c r="A52" t="s">
        <v>182</v>
      </c>
      <c r="B52" s="8" t="s">
        <v>188</v>
      </c>
      <c r="C52" s="285">
        <v>34490000</v>
      </c>
      <c r="D52" s="285"/>
      <c r="E52" s="283">
        <f>+C52-D52</f>
        <v>34490000</v>
      </c>
      <c r="F52" s="8"/>
    </row>
    <row r="53" spans="1:9">
      <c r="A53" s="2" t="s">
        <v>131</v>
      </c>
      <c r="B53" s="8" t="s">
        <v>189</v>
      </c>
      <c r="C53" s="281">
        <f>C50-C51-C52</f>
        <v>72959000</v>
      </c>
      <c r="D53" s="281">
        <f>D50-D51-D52</f>
        <v>0</v>
      </c>
      <c r="E53" s="281">
        <f>E50-E51-E52</f>
        <v>72959000</v>
      </c>
      <c r="F53" s="8"/>
    </row>
    <row r="54" spans="1:9" ht="24">
      <c r="A54" s="87" t="s">
        <v>214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177</v>
      </c>
      <c r="B56" s="8"/>
      <c r="C56" s="29"/>
      <c r="D56" s="29"/>
      <c r="E56" s="29"/>
      <c r="F56" s="8"/>
    </row>
    <row r="57" spans="1:9">
      <c r="A57" s="15" t="s">
        <v>165</v>
      </c>
      <c r="B57" s="8"/>
      <c r="C57" s="29"/>
      <c r="D57" s="29"/>
      <c r="E57" s="29"/>
      <c r="F57" s="8"/>
    </row>
    <row r="58" spans="1:9">
      <c r="A58" s="2" t="s">
        <v>166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187</v>
      </c>
      <c r="C59" s="287">
        <f>C52</f>
        <v>34490000</v>
      </c>
      <c r="D59" s="287">
        <f>D52</f>
        <v>0</v>
      </c>
      <c r="E59" s="272">
        <f>+C59-D59</f>
        <v>34490000</v>
      </c>
      <c r="F59" s="8"/>
    </row>
    <row r="60" spans="1:9">
      <c r="A60" s="4" t="s">
        <v>329</v>
      </c>
      <c r="B60" s="8" t="s">
        <v>187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187</v>
      </c>
      <c r="C61" s="477">
        <v>117682140</v>
      </c>
      <c r="D61" s="287">
        <f>D43</f>
        <v>0</v>
      </c>
      <c r="E61" s="272">
        <f>+C61-D61</f>
        <v>117682140</v>
      </c>
      <c r="F61" s="8"/>
      <c r="G61" s="415"/>
    </row>
    <row r="62" spans="1:9">
      <c r="A62" t="s">
        <v>6</v>
      </c>
      <c r="B62" s="8" t="s">
        <v>187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279</v>
      </c>
      <c r="B63" s="8" t="s">
        <v>187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187</v>
      </c>
      <c r="C64" s="315">
        <f>'Tax Reserves'!C63</f>
        <v>108977216</v>
      </c>
      <c r="D64" s="316">
        <f>'Tax Reserves'!D63</f>
        <v>0</v>
      </c>
      <c r="E64" s="272">
        <f>+C64-D64</f>
        <v>108977216</v>
      </c>
      <c r="F64" s="8"/>
    </row>
    <row r="65" spans="1:11">
      <c r="A65" t="s">
        <v>447</v>
      </c>
      <c r="B65" s="8" t="s">
        <v>187</v>
      </c>
      <c r="C65" s="286"/>
      <c r="D65" s="286"/>
      <c r="E65" s="272">
        <f>+C65-D65</f>
        <v>0</v>
      </c>
      <c r="F65" s="8"/>
    </row>
    <row r="66" spans="1:11" ht="15">
      <c r="A66" s="467" t="s">
        <v>399</v>
      </c>
      <c r="B66" s="8"/>
      <c r="C66" s="446">
        <f>'TAXREC 3 No True-up'!C47</f>
        <v>12122319</v>
      </c>
      <c r="D66" s="446">
        <f>'TAXREC 3 No True-up'!D47</f>
        <v>0</v>
      </c>
      <c r="E66" s="272">
        <f>+C66-D66</f>
        <v>12122319</v>
      </c>
      <c r="F66" s="8"/>
    </row>
    <row r="67" spans="1:11">
      <c r="A67" t="s">
        <v>160</v>
      </c>
      <c r="B67" s="8" t="s">
        <v>187</v>
      </c>
      <c r="C67" s="251">
        <f>'TAXREC 2'!C77</f>
        <v>4132505</v>
      </c>
      <c r="D67" s="251">
        <f>'TAXREC 2'!D77</f>
        <v>0</v>
      </c>
      <c r="E67" s="272">
        <f>+C67-D67</f>
        <v>4132505</v>
      </c>
      <c r="F67" s="8"/>
    </row>
    <row r="68" spans="1:11">
      <c r="A68" t="s">
        <v>161</v>
      </c>
      <c r="B68" s="8" t="s">
        <v>187</v>
      </c>
      <c r="C68" s="251">
        <f>'TAXREC 2'!C78</f>
        <v>2385415</v>
      </c>
      <c r="D68" s="251">
        <f>'TAXREC 2'!D78</f>
        <v>0</v>
      </c>
      <c r="E68" s="272">
        <f>+C68-D68</f>
        <v>2385415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279789595</v>
      </c>
      <c r="D70" s="272">
        <f>SUM(D59:D68)</f>
        <v>0</v>
      </c>
      <c r="E70" s="272">
        <f>SUM(E59:E68)</f>
        <v>279789595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207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187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148</v>
      </c>
      <c r="B74" s="8" t="s">
        <v>187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187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476</v>
      </c>
      <c r="B76" s="8" t="s">
        <v>187</v>
      </c>
      <c r="C76" s="478"/>
      <c r="D76" s="294"/>
      <c r="E76" s="479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187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187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187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189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189</v>
      </c>
      <c r="C82" s="251">
        <f>C70+C80</f>
        <v>279789595</v>
      </c>
      <c r="D82" s="251">
        <f>D70+D80</f>
        <v>0</v>
      </c>
      <c r="E82" s="251">
        <f>E70+E80</f>
        <v>279789595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175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151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435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197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188</v>
      </c>
      <c r="C97" s="294">
        <v>155566254</v>
      </c>
      <c r="D97" s="294"/>
      <c r="E97" s="272">
        <f>+C97-D97</f>
        <v>155566254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188</v>
      </c>
      <c r="C98" s="294">
        <v>1296285</v>
      </c>
      <c r="D98" s="294"/>
      <c r="E98" s="272">
        <f>+C98-D98</f>
        <v>1296285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188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188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188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188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188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262</v>
      </c>
      <c r="B104" s="8" t="s">
        <v>188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280</v>
      </c>
      <c r="B105" s="8" t="s">
        <v>188</v>
      </c>
      <c r="C105" s="318">
        <f>'Tax Reserves'!C50</f>
        <v>119132936</v>
      </c>
      <c r="D105" s="318">
        <f>'Tax Reserves'!D50</f>
        <v>0</v>
      </c>
      <c r="E105" s="282">
        <f t="shared" si="5"/>
        <v>119132936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188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188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7" t="s">
        <v>399</v>
      </c>
      <c r="B108" s="8"/>
      <c r="C108" s="254">
        <f>'TAXREC 3 No True-up'!C73</f>
        <v>2233343</v>
      </c>
      <c r="D108" s="254">
        <f>'TAXREC 3 No True-up'!D73</f>
        <v>0</v>
      </c>
      <c r="E108" s="272">
        <f t="shared" si="5"/>
        <v>2233343</v>
      </c>
      <c r="F108" s="8"/>
      <c r="G108" s="45"/>
      <c r="H108" s="45"/>
      <c r="I108" s="45"/>
      <c r="J108" s="45"/>
      <c r="K108" s="45"/>
    </row>
    <row r="109" spans="1:11">
      <c r="A109" s="31" t="s">
        <v>183</v>
      </c>
      <c r="B109" s="8" t="s">
        <v>188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162</v>
      </c>
      <c r="B110" s="8" t="s">
        <v>188</v>
      </c>
      <c r="C110" s="251">
        <f>'TAXREC 2'!C119</f>
        <v>0</v>
      </c>
      <c r="D110" s="251">
        <f>'TAXREC 2'!D119</f>
        <v>0</v>
      </c>
      <c r="E110" s="251">
        <f>'TAXREC 2'!E119</f>
        <v>0</v>
      </c>
      <c r="F110" s="8"/>
      <c r="G110" s="45"/>
      <c r="H110" s="45"/>
      <c r="I110" s="45"/>
      <c r="J110" s="45"/>
      <c r="K110" s="45"/>
    </row>
    <row r="111" spans="1:11">
      <c r="A111" t="s">
        <v>163</v>
      </c>
      <c r="B111" s="8" t="s">
        <v>188</v>
      </c>
      <c r="C111" s="251">
        <f>'TAXREC 2'!C120</f>
        <v>3628453</v>
      </c>
      <c r="D111" s="251">
        <f>'TAXREC 2'!D120</f>
        <v>0</v>
      </c>
      <c r="E111" s="251">
        <f>'TAXREC 2'!E120</f>
        <v>3628453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164</v>
      </c>
      <c r="B113" s="8" t="s">
        <v>189</v>
      </c>
      <c r="C113" s="251">
        <f>SUM(C97:C111)</f>
        <v>281857271</v>
      </c>
      <c r="D113" s="251">
        <f>SUM(D97:D111)</f>
        <v>0</v>
      </c>
      <c r="E113" s="251">
        <f>SUM(E97:E111)</f>
        <v>281857271</v>
      </c>
      <c r="F113" s="8"/>
      <c r="G113" s="45"/>
      <c r="H113" s="45"/>
      <c r="I113" s="23"/>
      <c r="J113" s="45"/>
      <c r="K113" s="23"/>
    </row>
    <row r="114" spans="1:11">
      <c r="A114" s="10" t="s">
        <v>206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188</v>
      </c>
      <c r="C115" s="294"/>
      <c r="D115" s="294"/>
      <c r="E115" s="272">
        <f>+C115-D115</f>
        <v>0</v>
      </c>
      <c r="F115" s="8"/>
      <c r="G115" s="76"/>
      <c r="H115" s="77"/>
      <c r="I115" s="78"/>
      <c r="J115" s="78"/>
      <c r="K115" s="78"/>
    </row>
    <row r="116" spans="1:11">
      <c r="A116" s="68" t="s">
        <v>222</v>
      </c>
      <c r="B116" s="8" t="s">
        <v>188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188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188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189</v>
      </c>
      <c r="C120" s="251">
        <f>SUM(C114:C119)</f>
        <v>0</v>
      </c>
      <c r="D120" s="251">
        <f>SUM(D114:D119)</f>
        <v>0</v>
      </c>
      <c r="E120" s="251">
        <f>SUM(E114:E119)</f>
        <v>0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189</v>
      </c>
      <c r="C122" s="251">
        <f>C113+C120</f>
        <v>281857271</v>
      </c>
      <c r="D122" s="251">
        <f>D113+D120</f>
        <v>0</v>
      </c>
      <c r="E122" s="251">
        <f>+E113+E120</f>
        <v>281857271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176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199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200</v>
      </c>
      <c r="B131" s="273"/>
      <c r="C131" s="251">
        <f>C120-C130</f>
        <v>0</v>
      </c>
      <c r="D131" s="251">
        <f>D120-D130</f>
        <v>0</v>
      </c>
      <c r="E131" s="251">
        <f>E120-E130</f>
        <v>0</v>
      </c>
      <c r="F131" s="8"/>
      <c r="G131" s="45"/>
      <c r="H131" s="45"/>
      <c r="I131" s="45"/>
      <c r="J131" s="45"/>
      <c r="K131" s="45"/>
    </row>
    <row r="132" spans="1:11">
      <c r="A132" s="273" t="s">
        <v>198</v>
      </c>
      <c r="B132" s="273"/>
      <c r="C132" s="251">
        <f>C130+C131</f>
        <v>0</v>
      </c>
      <c r="D132" s="251">
        <f>D130+D131</f>
        <v>0</v>
      </c>
      <c r="E132" s="251">
        <f>E130+E131</f>
        <v>0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189</v>
      </c>
      <c r="C134" s="251">
        <f>+C53+C82-C122</f>
        <v>70891324</v>
      </c>
      <c r="D134" s="251">
        <f>D53+D82-D122</f>
        <v>0</v>
      </c>
      <c r="E134" s="251">
        <f>E53+E82-E122</f>
        <v>70891324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379</v>
      </c>
      <c r="B136" s="8" t="s">
        <v>188</v>
      </c>
      <c r="C136" s="294">
        <v>41678475</v>
      </c>
      <c r="D136" s="294"/>
      <c r="E136" s="264">
        <f>C136-D136</f>
        <v>41678475</v>
      </c>
      <c r="F136" s="8"/>
      <c r="G136" s="45"/>
      <c r="H136" s="45"/>
      <c r="I136" s="45"/>
      <c r="J136" s="45"/>
      <c r="K136" s="45"/>
    </row>
    <row r="137" spans="1:11">
      <c r="A137" s="46" t="s">
        <v>380</v>
      </c>
      <c r="B137" s="8" t="s">
        <v>188</v>
      </c>
      <c r="C137" s="310"/>
      <c r="D137" s="310"/>
      <c r="E137" s="393">
        <f>C137-D137</f>
        <v>0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3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189</v>
      </c>
      <c r="C139" s="252">
        <f>C134-C136-C137-C138</f>
        <v>29212849</v>
      </c>
      <c r="D139" s="252">
        <f>D134-D136-D137-D138</f>
        <v>0</v>
      </c>
      <c r="E139" s="252">
        <f>E134-E136-E137-E138</f>
        <v>29212849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306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325</v>
      </c>
      <c r="B142" s="8" t="s">
        <v>187</v>
      </c>
      <c r="C142" s="298">
        <v>7046063</v>
      </c>
      <c r="D142" s="298"/>
      <c r="E142" s="252">
        <f>C142-D142</f>
        <v>7046063</v>
      </c>
      <c r="F142" s="8"/>
      <c r="G142" s="45" t="s">
        <v>486</v>
      </c>
      <c r="H142" s="45"/>
      <c r="I142" s="45"/>
      <c r="J142" s="45"/>
      <c r="K142" s="45"/>
    </row>
    <row r="143" spans="1:11">
      <c r="A143" s="46" t="s">
        <v>324</v>
      </c>
      <c r="B143" s="8" t="s">
        <v>187</v>
      </c>
      <c r="C143" s="298">
        <v>3651567</v>
      </c>
      <c r="D143" s="298"/>
      <c r="E143" s="292">
        <f>C143-D143</f>
        <v>3651567</v>
      </c>
      <c r="F143" s="8"/>
      <c r="G143" s="45" t="s">
        <v>486</v>
      </c>
      <c r="H143" s="45"/>
      <c r="I143" s="45"/>
      <c r="J143" s="45"/>
      <c r="K143" s="45"/>
    </row>
    <row r="144" spans="1:11">
      <c r="A144" s="46" t="s">
        <v>173</v>
      </c>
      <c r="B144" s="8" t="s">
        <v>189</v>
      </c>
      <c r="C144" s="252">
        <f>C142+C143</f>
        <v>10697630</v>
      </c>
      <c r="D144" s="252">
        <f>D142+D143</f>
        <v>0</v>
      </c>
      <c r="E144" s="252">
        <f>E142+E143</f>
        <v>10697630</v>
      </c>
      <c r="F144" s="8"/>
      <c r="G144" s="45"/>
      <c r="H144" s="45"/>
      <c r="I144" s="45"/>
      <c r="J144" s="45"/>
      <c r="K144" s="45"/>
    </row>
    <row r="145" spans="1:11">
      <c r="A145" s="46" t="s">
        <v>336</v>
      </c>
      <c r="B145" s="8" t="s">
        <v>188</v>
      </c>
      <c r="C145" s="298">
        <v>538238</v>
      </c>
      <c r="D145" s="298"/>
      <c r="E145" s="293">
        <f>C145-D145</f>
        <v>538238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189</v>
      </c>
      <c r="C146" s="252">
        <f>C144-C145</f>
        <v>10159392</v>
      </c>
      <c r="D146" s="252">
        <f>D144-D145</f>
        <v>0</v>
      </c>
      <c r="E146" s="252">
        <f>E144-E145</f>
        <v>10159392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306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331</v>
      </c>
      <c r="B149" s="8"/>
      <c r="C149" s="404">
        <f>+'Tax Rates'!F50</f>
        <v>0.2412</v>
      </c>
      <c r="D149" s="5"/>
      <c r="E149" s="405">
        <f>C149</f>
        <v>0.2412</v>
      </c>
      <c r="F149" s="8"/>
      <c r="G149" s="45"/>
      <c r="H149" s="45"/>
      <c r="I149" s="45"/>
      <c r="J149" s="45"/>
      <c r="K149" s="45"/>
    </row>
    <row r="150" spans="1:11">
      <c r="A150" s="46" t="s">
        <v>332</v>
      </c>
      <c r="B150" s="8"/>
      <c r="C150" s="404">
        <f>+'Tax Rates'!F51</f>
        <v>0.125</v>
      </c>
      <c r="D150" s="5"/>
      <c r="E150" s="405">
        <f>C150</f>
        <v>0.125</v>
      </c>
      <c r="F150" s="8"/>
      <c r="G150" s="45"/>
      <c r="H150" s="45"/>
      <c r="I150" s="45"/>
      <c r="J150" s="45"/>
      <c r="K150" s="45"/>
    </row>
    <row r="151" spans="1:11">
      <c r="A151" t="s">
        <v>333</v>
      </c>
      <c r="B151" s="8"/>
      <c r="C151" s="405">
        <f>SUM(C149:C150)</f>
        <v>0.36619999999999997</v>
      </c>
      <c r="D151" s="483" t="s">
        <v>481</v>
      </c>
      <c r="E151" s="405">
        <f>SUM(E149:E150)</f>
        <v>0.36619999999999997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360</v>
      </c>
      <c r="B153" s="8"/>
    </row>
    <row r="154" spans="1:11">
      <c r="A154" s="14"/>
      <c r="B154" s="8"/>
    </row>
    <row r="155" spans="1:11">
      <c r="A155" s="2" t="s">
        <v>479</v>
      </c>
      <c r="B155" s="8"/>
    </row>
    <row r="156" spans="1:11">
      <c r="A156" t="s">
        <v>219</v>
      </c>
      <c r="B156" s="86" t="s">
        <v>187</v>
      </c>
      <c r="C156" s="251">
        <f>C146</f>
        <v>10159392</v>
      </c>
      <c r="D156" s="251">
        <f>D146</f>
        <v>0</v>
      </c>
      <c r="E156" s="251">
        <f>E146</f>
        <v>10159392</v>
      </c>
    </row>
    <row r="157" spans="1:11">
      <c r="A157" t="s">
        <v>20</v>
      </c>
      <c r="B157" s="86" t="s">
        <v>187</v>
      </c>
      <c r="C157" s="480">
        <v>6191643</v>
      </c>
      <c r="D157" s="251"/>
      <c r="E157" s="251">
        <f>C157+D157</f>
        <v>6191643</v>
      </c>
    </row>
    <row r="158" spans="1:11">
      <c r="A158" t="s">
        <v>218</v>
      </c>
      <c r="B158" s="86" t="s">
        <v>187</v>
      </c>
      <c r="C158" s="480">
        <v>4336083</v>
      </c>
      <c r="D158" s="251"/>
      <c r="E158" s="251">
        <f>C158+D158</f>
        <v>4336083</v>
      </c>
    </row>
    <row r="159" spans="1:11">
      <c r="B159" s="8"/>
    </row>
    <row r="160" spans="1:11">
      <c r="A160" s="2" t="s">
        <v>303</v>
      </c>
      <c r="B160" s="66" t="s">
        <v>189</v>
      </c>
      <c r="C160" s="251">
        <f>C156+C157+C158</f>
        <v>20687118</v>
      </c>
      <c r="D160" s="251">
        <f>D156+D157+D158</f>
        <v>0</v>
      </c>
      <c r="E160" s="251">
        <f>E156+E157+E158</f>
        <v>20687118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/>
  <pageMargins left="0.19685039370078741" right="0.23622047244094491" top="1.0236220472440944" bottom="0.39370078740157483" header="0.19685039370078741" footer="0.19685039370078741"/>
  <pageSetup scale="70" fitToHeight="0" orientation="portrait" cellComments="asDisplayed" r:id="rId1"/>
  <headerFooter alignWithMargins="0">
    <oddHeader>&amp;R&amp;9Toronto Hydro-Electric System Limited
EB-2012-0064
Tab 5
Schedule E
ORIGINAL
page &amp;P of &amp;N</oddHeader>
    <oddFooter>&amp;C&amp;A</oddFooter>
  </headerFooter>
  <rowBreaks count="2" manualBreakCount="2">
    <brk id="55" max="16383" man="1"/>
    <brk id="1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view="pageBreakPreview" topLeftCell="A53" zoomScale="60" zoomScaleNormal="100" workbookViewId="0">
      <selection activeCell="B77" sqref="B77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1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301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302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2003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273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281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282</v>
      </c>
      <c r="B15" s="61"/>
      <c r="C15" s="294"/>
      <c r="D15" s="294"/>
      <c r="E15" s="251">
        <f t="shared" si="0"/>
        <v>0</v>
      </c>
    </row>
    <row r="16" spans="1:6">
      <c r="A16" s="61" t="s">
        <v>283</v>
      </c>
      <c r="B16" s="61"/>
      <c r="C16" s="294"/>
      <c r="D16" s="294"/>
      <c r="E16" s="251">
        <f t="shared" si="0"/>
        <v>0</v>
      </c>
    </row>
    <row r="17" spans="1:5">
      <c r="A17" s="61" t="s">
        <v>284</v>
      </c>
      <c r="B17" s="61"/>
      <c r="C17" s="294"/>
      <c r="D17" s="294"/>
      <c r="E17" s="251">
        <f t="shared" si="0"/>
        <v>0</v>
      </c>
    </row>
    <row r="18" spans="1:5">
      <c r="A18" s="61" t="s">
        <v>452</v>
      </c>
      <c r="B18" s="61"/>
      <c r="C18" s="294"/>
      <c r="D18" s="294"/>
      <c r="E18" s="251">
        <f t="shared" si="0"/>
        <v>0</v>
      </c>
    </row>
    <row r="19" spans="1:5">
      <c r="A19" s="61" t="s">
        <v>452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180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272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281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282</v>
      </c>
      <c r="B27" s="61"/>
      <c r="C27" s="294"/>
      <c r="D27" s="294"/>
      <c r="E27" s="251">
        <f t="shared" si="1"/>
        <v>0</v>
      </c>
    </row>
    <row r="28" spans="1:5">
      <c r="A28" s="61" t="s">
        <v>283</v>
      </c>
      <c r="B28" s="61"/>
      <c r="C28" s="294"/>
      <c r="D28" s="294"/>
      <c r="E28" s="251">
        <f t="shared" si="1"/>
        <v>0</v>
      </c>
    </row>
    <row r="29" spans="1:5">
      <c r="A29" s="61" t="s">
        <v>284</v>
      </c>
      <c r="B29" s="61"/>
      <c r="C29" s="294"/>
      <c r="D29" s="294"/>
      <c r="E29" s="251">
        <f t="shared" si="1"/>
        <v>0</v>
      </c>
    </row>
    <row r="30" spans="1:5">
      <c r="A30" s="61" t="s">
        <v>452</v>
      </c>
      <c r="B30" s="61"/>
      <c r="C30" s="294"/>
      <c r="D30" s="294"/>
      <c r="E30" s="251">
        <f t="shared" si="1"/>
        <v>0</v>
      </c>
    </row>
    <row r="31" spans="1:5">
      <c r="A31" s="61" t="s">
        <v>452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180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271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273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267</v>
      </c>
      <c r="B43" s="61"/>
      <c r="C43" s="294">
        <v>3333000</v>
      </c>
      <c r="D43" s="294"/>
      <c r="E43" s="251">
        <f t="shared" si="2"/>
        <v>3333000</v>
      </c>
    </row>
    <row r="44" spans="1:5">
      <c r="A44" s="61" t="s">
        <v>268</v>
      </c>
      <c r="B44" s="61"/>
      <c r="C44" s="294">
        <v>9000000</v>
      </c>
      <c r="D44" s="294"/>
      <c r="E44" s="251">
        <f t="shared" si="2"/>
        <v>9000000</v>
      </c>
    </row>
    <row r="45" spans="1:5">
      <c r="A45" s="61" t="s">
        <v>269</v>
      </c>
      <c r="B45" s="61"/>
      <c r="C45" s="294">
        <v>2935988</v>
      </c>
      <c r="D45" s="294"/>
      <c r="E45" s="251">
        <f t="shared" si="2"/>
        <v>2935988</v>
      </c>
    </row>
    <row r="46" spans="1:5">
      <c r="A46" s="61" t="s">
        <v>270</v>
      </c>
      <c r="B46" s="61"/>
      <c r="C46" s="294"/>
      <c r="D46" s="294"/>
      <c r="E46" s="251">
        <f t="shared" si="2"/>
        <v>0</v>
      </c>
    </row>
    <row r="47" spans="1:5">
      <c r="A47" s="488" t="s">
        <v>490</v>
      </c>
      <c r="B47" s="61"/>
      <c r="C47" s="294">
        <v>103795000</v>
      </c>
      <c r="D47" s="294"/>
      <c r="E47" s="251">
        <f t="shared" si="2"/>
        <v>103795000</v>
      </c>
    </row>
    <row r="48" spans="1:5">
      <c r="A48" s="488" t="s">
        <v>491</v>
      </c>
      <c r="B48" s="61"/>
      <c r="C48" s="294">
        <v>68948</v>
      </c>
      <c r="D48" s="294"/>
      <c r="E48" s="251">
        <f t="shared" si="2"/>
        <v>68948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180</v>
      </c>
      <c r="C50" s="251">
        <f>SUM(C41:C49)</f>
        <v>119132936</v>
      </c>
      <c r="D50" s="251">
        <f>SUM(D41:D49)</f>
        <v>0</v>
      </c>
      <c r="E50" s="251">
        <f>SUM(E41:E49)</f>
        <v>119132936</v>
      </c>
    </row>
    <row r="51" spans="1:5">
      <c r="C51" s="22"/>
      <c r="D51" s="22"/>
      <c r="E51" s="22"/>
    </row>
    <row r="52" spans="1:5">
      <c r="A52" s="247" t="s">
        <v>272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267</v>
      </c>
      <c r="B55" s="61"/>
      <c r="C55" s="294"/>
      <c r="D55" s="294"/>
      <c r="E55" s="251">
        <f t="shared" si="3"/>
        <v>0</v>
      </c>
    </row>
    <row r="56" spans="1:5">
      <c r="A56" s="246" t="s">
        <v>268</v>
      </c>
      <c r="B56" s="61"/>
      <c r="C56" s="294">
        <v>585360</v>
      </c>
      <c r="D56" s="294"/>
      <c r="E56" s="251">
        <f t="shared" si="3"/>
        <v>585360</v>
      </c>
    </row>
    <row r="57" spans="1:5">
      <c r="A57" s="246" t="s">
        <v>269</v>
      </c>
      <c r="B57" s="61"/>
      <c r="C57" s="294">
        <v>2668190</v>
      </c>
      <c r="D57" s="294"/>
      <c r="E57" s="251">
        <f t="shared" si="3"/>
        <v>2668190</v>
      </c>
    </row>
    <row r="58" spans="1:5">
      <c r="A58" s="246" t="s">
        <v>270</v>
      </c>
      <c r="B58" s="61"/>
      <c r="C58" s="294">
        <v>2000000</v>
      </c>
      <c r="D58" s="294"/>
      <c r="E58" s="251">
        <f t="shared" si="3"/>
        <v>2000000</v>
      </c>
    </row>
    <row r="59" spans="1:5">
      <c r="A59" s="488" t="s">
        <v>490</v>
      </c>
      <c r="B59" s="61"/>
      <c r="C59" s="294">
        <v>103677000</v>
      </c>
      <c r="D59" s="294"/>
      <c r="E59" s="251">
        <f t="shared" si="3"/>
        <v>103677000</v>
      </c>
    </row>
    <row r="60" spans="1:5">
      <c r="A60" s="488" t="s">
        <v>491</v>
      </c>
      <c r="B60" s="61"/>
      <c r="C60" s="294">
        <v>0</v>
      </c>
      <c r="D60" s="294"/>
      <c r="E60" s="251">
        <f t="shared" si="3"/>
        <v>0</v>
      </c>
    </row>
    <row r="61" spans="1:5" ht="13.5" thickBot="1">
      <c r="A61" s="62" t="s">
        <v>497</v>
      </c>
      <c r="B61" s="61"/>
      <c r="C61" s="294">
        <v>46666</v>
      </c>
      <c r="D61" s="294"/>
      <c r="E61" s="251">
        <f t="shared" si="3"/>
        <v>46666</v>
      </c>
    </row>
    <row r="62" spans="1:5">
      <c r="A62" s="56" t="s">
        <v>132</v>
      </c>
      <c r="C62" s="22"/>
      <c r="D62" s="22"/>
      <c r="E62" s="279"/>
    </row>
    <row r="63" spans="1:5">
      <c r="A63" s="2" t="s">
        <v>180</v>
      </c>
      <c r="C63" s="251">
        <f>SUM(C53:C61)</f>
        <v>108977216</v>
      </c>
      <c r="D63" s="251">
        <f>SUM(D53:D61)</f>
        <v>0</v>
      </c>
      <c r="E63" s="251">
        <f>SUM(E53:E61)</f>
        <v>108977216</v>
      </c>
    </row>
  </sheetData>
  <phoneticPr fontId="0" type="noConversion"/>
  <printOptions horizontalCentered="1" headings="1"/>
  <pageMargins left="0.19685039370078741" right="0.23622047244094491" top="1.07" bottom="0.39370078740157483" header="0.19685039370078741" footer="0.19685039370078741"/>
  <pageSetup scale="85" orientation="portrait" cellComments="asDisplayed" r:id="rId1"/>
  <headerFooter alignWithMargins="0">
    <oddHeader>&amp;R&amp;9Toronto Hydro-Electric System Limited
EB-2012-0064
Tab 5
Schedule E
ORIGINAL
page &amp;P of &amp;N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39"/>
  <sheetViews>
    <sheetView view="pageBreakPreview" zoomScale="60" zoomScaleNormal="75" workbookViewId="0">
      <pane xSplit="1" ySplit="6" topLeftCell="B61" activePane="bottomRight" state="frozen"/>
      <selection activeCell="B77" sqref="B77"/>
      <selection pane="topRight" activeCell="B77" sqref="B77"/>
      <selection pane="bottomLeft" activeCell="B77" sqref="B77"/>
      <selection pane="bottomRight" activeCell="L81" sqref="L81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5703125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470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5" t="s">
        <v>469</v>
      </c>
      <c r="B5" s="8"/>
      <c r="C5" s="8" t="s">
        <v>2</v>
      </c>
      <c r="D5" s="8"/>
      <c r="E5" s="8"/>
      <c r="F5" s="8"/>
    </row>
    <row r="6" spans="1:6">
      <c r="A6" s="415" t="s">
        <v>449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2003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365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1736868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177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187</v>
      </c>
      <c r="C17" s="295"/>
      <c r="D17" s="295"/>
      <c r="E17" s="312">
        <f>C17-D17</f>
        <v>0</v>
      </c>
    </row>
    <row r="18" spans="1:5">
      <c r="A18" s="67" t="s">
        <v>253</v>
      </c>
      <c r="B18" t="s">
        <v>187</v>
      </c>
      <c r="C18" s="295"/>
      <c r="D18" s="295"/>
      <c r="E18" s="312">
        <f t="shared" ref="E18:E45" si="0">C18-D18</f>
        <v>0</v>
      </c>
    </row>
    <row r="19" spans="1:5">
      <c r="A19" s="67" t="s">
        <v>135</v>
      </c>
      <c r="B19" t="s">
        <v>187</v>
      </c>
      <c r="C19" s="295"/>
      <c r="D19" s="295"/>
      <c r="E19" s="312">
        <f t="shared" si="0"/>
        <v>0</v>
      </c>
    </row>
    <row r="20" spans="1:5">
      <c r="A20" s="67" t="s">
        <v>453</v>
      </c>
      <c r="B20" t="s">
        <v>187</v>
      </c>
      <c r="C20" s="295">
        <v>316</v>
      </c>
      <c r="D20" s="313"/>
      <c r="E20" s="312">
        <f t="shared" si="0"/>
        <v>316</v>
      </c>
    </row>
    <row r="21" spans="1:5">
      <c r="A21" s="67" t="s">
        <v>8</v>
      </c>
      <c r="B21" t="s">
        <v>187</v>
      </c>
      <c r="C21" s="295"/>
      <c r="D21" s="295"/>
      <c r="E21" s="312">
        <f t="shared" si="0"/>
        <v>0</v>
      </c>
    </row>
    <row r="22" spans="1:5">
      <c r="A22" s="67"/>
      <c r="B22" t="s">
        <v>187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187</v>
      </c>
      <c r="C23" s="295"/>
      <c r="D23" s="295"/>
      <c r="E23" s="312">
        <f t="shared" si="0"/>
        <v>0</v>
      </c>
    </row>
    <row r="24" spans="1:5">
      <c r="A24" s="67" t="s">
        <v>138</v>
      </c>
      <c r="B24" t="s">
        <v>187</v>
      </c>
      <c r="C24" s="295">
        <v>655621</v>
      </c>
      <c r="D24" s="295"/>
      <c r="E24" s="312">
        <f t="shared" si="0"/>
        <v>655621</v>
      </c>
    </row>
    <row r="25" spans="1:5">
      <c r="A25" s="67" t="s">
        <v>9</v>
      </c>
      <c r="B25" t="s">
        <v>187</v>
      </c>
      <c r="C25" s="295"/>
      <c r="D25" s="295"/>
      <c r="E25" s="312">
        <f t="shared" si="0"/>
        <v>0</v>
      </c>
    </row>
    <row r="26" spans="1:5">
      <c r="A26" s="67" t="s">
        <v>191</v>
      </c>
      <c r="B26" t="s">
        <v>187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187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187</v>
      </c>
      <c r="C28" s="295"/>
      <c r="D28" s="295"/>
      <c r="E28" s="312">
        <f t="shared" si="0"/>
        <v>0</v>
      </c>
    </row>
    <row r="29" spans="1:5">
      <c r="A29" s="67" t="s">
        <v>139</v>
      </c>
      <c r="B29" t="s">
        <v>187</v>
      </c>
      <c r="C29" s="295">
        <v>1536876</v>
      </c>
      <c r="D29" s="295"/>
      <c r="E29" s="312">
        <f t="shared" si="0"/>
        <v>1536876</v>
      </c>
    </row>
    <row r="30" spans="1:5">
      <c r="A30" s="67" t="s">
        <v>140</v>
      </c>
      <c r="B30" t="s">
        <v>187</v>
      </c>
      <c r="C30" s="295"/>
      <c r="D30" s="295"/>
      <c r="E30" s="312">
        <f t="shared" si="0"/>
        <v>0</v>
      </c>
    </row>
    <row r="31" spans="1:5">
      <c r="A31" s="67" t="s">
        <v>254</v>
      </c>
      <c r="B31" t="s">
        <v>187</v>
      </c>
      <c r="C31" s="295"/>
      <c r="D31" s="295"/>
      <c r="E31" s="312">
        <f t="shared" si="0"/>
        <v>0</v>
      </c>
    </row>
    <row r="32" spans="1:5">
      <c r="A32" s="67" t="s">
        <v>141</v>
      </c>
      <c r="B32" t="s">
        <v>187</v>
      </c>
      <c r="C32" s="295"/>
      <c r="D32" s="295"/>
      <c r="E32" s="312">
        <f t="shared" si="0"/>
        <v>0</v>
      </c>
    </row>
    <row r="33" spans="1:5">
      <c r="A33" s="67" t="s">
        <v>142</v>
      </c>
      <c r="B33" t="s">
        <v>187</v>
      </c>
      <c r="C33" s="295"/>
      <c r="D33" s="295"/>
      <c r="E33" s="312">
        <f t="shared" si="0"/>
        <v>0</v>
      </c>
    </row>
    <row r="34" spans="1:5">
      <c r="A34" s="67" t="s">
        <v>143</v>
      </c>
      <c r="B34" t="s">
        <v>187</v>
      </c>
      <c r="C34" s="295"/>
      <c r="D34" s="295"/>
      <c r="E34" s="312">
        <f t="shared" si="0"/>
        <v>0</v>
      </c>
    </row>
    <row r="35" spans="1:5">
      <c r="A35" s="67" t="s">
        <v>193</v>
      </c>
      <c r="B35" t="s">
        <v>187</v>
      </c>
      <c r="C35" s="295"/>
      <c r="D35" s="295"/>
      <c r="E35" s="312">
        <f t="shared" si="0"/>
        <v>0</v>
      </c>
    </row>
    <row r="36" spans="1:5">
      <c r="A36" s="67" t="s">
        <v>475</v>
      </c>
      <c r="B36" t="s">
        <v>187</v>
      </c>
      <c r="C36" s="295"/>
      <c r="D36" s="295"/>
      <c r="E36" s="312">
        <f t="shared" si="0"/>
        <v>0</v>
      </c>
    </row>
    <row r="37" spans="1:5">
      <c r="A37" s="67"/>
      <c r="B37" t="s">
        <v>187</v>
      </c>
      <c r="C37" s="295"/>
      <c r="D37" s="295"/>
      <c r="E37" s="312">
        <f t="shared" si="0"/>
        <v>0</v>
      </c>
    </row>
    <row r="38" spans="1:5">
      <c r="B38" t="s">
        <v>187</v>
      </c>
      <c r="C38" s="295"/>
      <c r="D38" s="295"/>
      <c r="E38" s="251">
        <f t="shared" si="0"/>
        <v>0</v>
      </c>
    </row>
    <row r="39" spans="1:5">
      <c r="B39" t="s">
        <v>187</v>
      </c>
      <c r="C39" s="294"/>
      <c r="D39" s="295"/>
      <c r="E39" s="251">
        <f t="shared" si="0"/>
        <v>0</v>
      </c>
    </row>
    <row r="40" spans="1:5">
      <c r="A40" s="68" t="s">
        <v>204</v>
      </c>
      <c r="B40" t="s">
        <v>187</v>
      </c>
      <c r="C40" s="294"/>
      <c r="D40" s="294"/>
      <c r="E40" s="251">
        <f t="shared" si="0"/>
        <v>0</v>
      </c>
    </row>
    <row r="41" spans="1:5">
      <c r="A41" s="490"/>
      <c r="B41" t="s">
        <v>187</v>
      </c>
      <c r="C41" s="294"/>
      <c r="D41" s="294"/>
      <c r="E41" s="251">
        <f t="shared" si="0"/>
        <v>0</v>
      </c>
    </row>
    <row r="42" spans="1:5">
      <c r="A42" s="490" t="s">
        <v>500</v>
      </c>
      <c r="B42" t="s">
        <v>187</v>
      </c>
      <c r="C42" s="294">
        <v>192602</v>
      </c>
      <c r="D42" s="294"/>
      <c r="E42" s="251">
        <f t="shared" si="0"/>
        <v>192602</v>
      </c>
    </row>
    <row r="43" spans="1:5">
      <c r="A43" s="490" t="s">
        <v>507</v>
      </c>
      <c r="B43" t="s">
        <v>187</v>
      </c>
      <c r="C43" s="294">
        <v>4132505</v>
      </c>
      <c r="D43" s="294"/>
      <c r="E43" s="251">
        <f t="shared" si="0"/>
        <v>4132505</v>
      </c>
    </row>
    <row r="44" spans="1:5">
      <c r="A44" s="490"/>
      <c r="B44" t="s">
        <v>187</v>
      </c>
      <c r="C44" s="294"/>
      <c r="D44" s="294"/>
      <c r="E44" s="251">
        <f t="shared" si="0"/>
        <v>0</v>
      </c>
    </row>
    <row r="45" spans="1:5">
      <c r="A45" s="490"/>
      <c r="B45" t="s">
        <v>187</v>
      </c>
      <c r="C45" s="294"/>
      <c r="D45" s="294"/>
      <c r="E45" s="279">
        <f t="shared" si="0"/>
        <v>0</v>
      </c>
    </row>
    <row r="46" spans="1:5">
      <c r="A46" s="70" t="s">
        <v>170</v>
      </c>
      <c r="B46" t="s">
        <v>189</v>
      </c>
      <c r="C46" s="251">
        <f>SUM(C17:C45)</f>
        <v>6517920</v>
      </c>
      <c r="D46" s="251">
        <f>SUM(D17:D45)</f>
        <v>0</v>
      </c>
      <c r="E46" s="251">
        <f>SUM(E17:E45)</f>
        <v>6517920</v>
      </c>
    </row>
    <row r="47" spans="1:5">
      <c r="A47" s="67"/>
    </row>
    <row r="48" spans="1:5">
      <c r="A48" s="67" t="s">
        <v>172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>IF($E19&gt;$C$11,#REF!," ")</f>
        <v xml:space="preserve"> </v>
      </c>
      <c r="B51" s="273"/>
      <c r="C51" s="251">
        <f>IF($E19&gt;$C$11,#REF!,)</f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>IF($E20&gt;$C$11,#REF!," ")</f>
        <v xml:space="preserve"> </v>
      </c>
      <c r="B52" s="273"/>
      <c r="C52" s="251">
        <f>IF($E20&gt;$C$11,#REF!,)</f>
        <v>0</v>
      </c>
      <c r="D52" s="251">
        <f t="shared" si="1"/>
        <v>0</v>
      </c>
      <c r="E52" s="251">
        <f t="shared" si="1"/>
        <v>0</v>
      </c>
    </row>
    <row r="53" spans="1:5">
      <c r="A53" s="275" t="str">
        <f t="shared" ref="A53:A59" si="2">IF($E21&gt;$C$11,A19," ")</f>
        <v xml:space="preserve"> </v>
      </c>
      <c r="B53" s="273"/>
      <c r="C53" s="251">
        <f t="shared" si="1"/>
        <v>0</v>
      </c>
      <c r="D53" s="251">
        <f t="shared" si="1"/>
        <v>0</v>
      </c>
      <c r="E53" s="251">
        <f t="shared" si="1"/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si="2"/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 t="shared" si="2"/>
        <v xml:space="preserve"> </v>
      </c>
      <c r="B56" s="273"/>
      <c r="C56" s="251">
        <f t="shared" si="1"/>
        <v>0</v>
      </c>
      <c r="D56" s="251">
        <f t="shared" si="1"/>
        <v>0</v>
      </c>
      <c r="E56" s="251">
        <f t="shared" si="1"/>
        <v>0</v>
      </c>
    </row>
    <row r="57" spans="1:5">
      <c r="A57" s="275" t="str">
        <f t="shared" si="2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2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2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3">IF($E33&gt;$C$11,C33,)</f>
        <v>0</v>
      </c>
      <c r="D64" s="251">
        <f t="shared" si="3"/>
        <v>0</v>
      </c>
      <c r="E64" s="251">
        <f t="shared" si="3"/>
        <v>0</v>
      </c>
    </row>
    <row r="65" spans="1:5">
      <c r="A65" s="275" t="str">
        <f>IF($E34&gt;$C$11,#REF!," ")</f>
        <v xml:space="preserve"> </v>
      </c>
      <c r="B65" s="273"/>
      <c r="C65" s="251">
        <f t="shared" si="3"/>
        <v>0</v>
      </c>
      <c r="D65" s="251">
        <f t="shared" si="3"/>
        <v>0</v>
      </c>
      <c r="E65" s="251">
        <f t="shared" si="3"/>
        <v>0</v>
      </c>
    </row>
    <row r="66" spans="1:5">
      <c r="A66" s="275" t="str">
        <f>IF($E35&gt;$C$11,#REF!," ")</f>
        <v xml:space="preserve"> </v>
      </c>
      <c r="B66" s="273"/>
      <c r="C66" s="251">
        <f t="shared" si="3"/>
        <v>0</v>
      </c>
      <c r="D66" s="251">
        <f t="shared" si="3"/>
        <v>0</v>
      </c>
      <c r="E66" s="251">
        <f t="shared" si="3"/>
        <v>0</v>
      </c>
    </row>
    <row r="67" spans="1:5">
      <c r="A67" s="275" t="str">
        <f>IF($E36&gt;$C$11,A36," ")</f>
        <v xml:space="preserve"> </v>
      </c>
      <c r="B67" s="273"/>
      <c r="C67" s="251">
        <f t="shared" si="3"/>
        <v>0</v>
      </c>
      <c r="D67" s="251">
        <f t="shared" si="3"/>
        <v>0</v>
      </c>
      <c r="E67" s="251">
        <f t="shared" si="3"/>
        <v>0</v>
      </c>
    </row>
    <row r="68" spans="1:5">
      <c r="A68" s="275" t="str">
        <f>IF($E37&gt;$C$11,A37," ")</f>
        <v xml:space="preserve"> </v>
      </c>
      <c r="B68" s="273"/>
      <c r="C68" s="251">
        <f t="shared" si="3"/>
        <v>0</v>
      </c>
      <c r="D68" s="251">
        <f t="shared" si="3"/>
        <v>0</v>
      </c>
      <c r="E68" s="251">
        <f t="shared" si="3"/>
        <v>0</v>
      </c>
    </row>
    <row r="69" spans="1:5">
      <c r="A69" s="275" t="str">
        <f>IF($E38&gt;$C$11,A29," ")</f>
        <v xml:space="preserve"> </v>
      </c>
      <c r="B69" s="273"/>
      <c r="C69" s="251">
        <f t="shared" si="3"/>
        <v>0</v>
      </c>
      <c r="D69" s="251">
        <f t="shared" si="3"/>
        <v>0</v>
      </c>
      <c r="E69" s="251">
        <f t="shared" si="3"/>
        <v>0</v>
      </c>
    </row>
    <row r="70" spans="1:5">
      <c r="A70" s="275" t="str">
        <f>IF($E39&gt;$C$11,A35," ")</f>
        <v xml:space="preserve"> </v>
      </c>
      <c r="B70" s="273"/>
      <c r="C70" s="251">
        <f t="shared" si="3"/>
        <v>0</v>
      </c>
      <c r="D70" s="251">
        <f t="shared" si="3"/>
        <v>0</v>
      </c>
      <c r="E70" s="251">
        <f t="shared" si="3"/>
        <v>0</v>
      </c>
    </row>
    <row r="71" spans="1:5">
      <c r="A71" s="275" t="str">
        <f t="shared" ref="A71:A76" si="4">IF($E40&gt;$C$11,A40," ")</f>
        <v xml:space="preserve"> </v>
      </c>
      <c r="B71" s="273"/>
      <c r="C71" s="251">
        <f t="shared" si="3"/>
        <v>0</v>
      </c>
      <c r="D71" s="251">
        <f t="shared" si="3"/>
        <v>0</v>
      </c>
      <c r="E71" s="251">
        <f t="shared" si="3"/>
        <v>0</v>
      </c>
    </row>
    <row r="72" spans="1:5">
      <c r="A72" s="275" t="str">
        <f t="shared" si="4"/>
        <v xml:space="preserve"> </v>
      </c>
      <c r="B72" s="273"/>
      <c r="C72" s="251">
        <f t="shared" si="3"/>
        <v>0</v>
      </c>
      <c r="D72" s="251">
        <f t="shared" si="3"/>
        <v>0</v>
      </c>
      <c r="E72" s="251">
        <f t="shared" si="3"/>
        <v>0</v>
      </c>
    </row>
    <row r="73" spans="1:5">
      <c r="A73" s="275" t="str">
        <f t="shared" si="4"/>
        <v xml:space="preserve"> </v>
      </c>
      <c r="B73" s="273"/>
      <c r="C73" s="251">
        <f t="shared" si="3"/>
        <v>0</v>
      </c>
      <c r="D73" s="251">
        <f t="shared" si="3"/>
        <v>0</v>
      </c>
      <c r="E73" s="251">
        <f t="shared" si="3"/>
        <v>0</v>
      </c>
    </row>
    <row r="74" spans="1:5">
      <c r="A74" s="275" t="str">
        <f t="shared" si="4"/>
        <v>Reversal of environmental provision- reserve adjustment</v>
      </c>
      <c r="B74" s="273"/>
      <c r="C74" s="251">
        <f t="shared" si="3"/>
        <v>4132505</v>
      </c>
      <c r="D74" s="251">
        <f t="shared" si="3"/>
        <v>0</v>
      </c>
      <c r="E74" s="251">
        <f t="shared" si="3"/>
        <v>4132505</v>
      </c>
    </row>
    <row r="75" spans="1:5">
      <c r="A75" s="275" t="str">
        <f t="shared" si="4"/>
        <v xml:space="preserve"> </v>
      </c>
      <c r="B75" s="273"/>
      <c r="C75" s="251">
        <f t="shared" si="3"/>
        <v>0</v>
      </c>
      <c r="D75" s="251">
        <f t="shared" si="3"/>
        <v>0</v>
      </c>
      <c r="E75" s="251">
        <f t="shared" si="3"/>
        <v>0</v>
      </c>
    </row>
    <row r="76" spans="1:5">
      <c r="A76" s="275" t="str">
        <f t="shared" si="4"/>
        <v xml:space="preserve"> </v>
      </c>
      <c r="B76" s="274"/>
      <c r="C76" s="251">
        <f t="shared" si="3"/>
        <v>0</v>
      </c>
      <c r="D76" s="251">
        <f t="shared" si="3"/>
        <v>0</v>
      </c>
      <c r="E76" s="251">
        <f t="shared" si="3"/>
        <v>0</v>
      </c>
    </row>
    <row r="77" spans="1:5">
      <c r="A77" s="276" t="s">
        <v>144</v>
      </c>
      <c r="B77" s="273"/>
      <c r="C77" s="251">
        <f>SUM(C49:C75)</f>
        <v>4132505</v>
      </c>
      <c r="D77" s="251">
        <f>SUM(D49:D75)</f>
        <v>0</v>
      </c>
      <c r="E77" s="251">
        <f>SUM(E49:E75)</f>
        <v>4132505</v>
      </c>
    </row>
    <row r="78" spans="1:5">
      <c r="A78" s="276" t="s">
        <v>203</v>
      </c>
      <c r="B78" s="277"/>
      <c r="C78" s="314">
        <f>C46-C77</f>
        <v>2385415</v>
      </c>
      <c r="D78" s="314">
        <f>D46-D77</f>
        <v>0</v>
      </c>
      <c r="E78" s="314">
        <f>E46-E77</f>
        <v>2385415</v>
      </c>
    </row>
    <row r="79" spans="1:5">
      <c r="A79" s="276" t="s">
        <v>170</v>
      </c>
      <c r="B79" s="277"/>
      <c r="C79" s="314">
        <f>C77+C78</f>
        <v>6517920</v>
      </c>
      <c r="D79" s="314">
        <f>D77+D78</f>
        <v>0</v>
      </c>
      <c r="E79" s="314">
        <f>E77+E78</f>
        <v>6517920</v>
      </c>
    </row>
    <row r="80" spans="1:5">
      <c r="A80" s="67"/>
    </row>
    <row r="81" spans="1:5">
      <c r="A81" s="67" t="s">
        <v>145</v>
      </c>
    </row>
    <row r="82" spans="1:5">
      <c r="A82" s="67" t="s">
        <v>146</v>
      </c>
      <c r="B82" s="8" t="s">
        <v>188</v>
      </c>
      <c r="C82" s="294">
        <v>396506</v>
      </c>
      <c r="D82" s="294"/>
      <c r="E82" s="251">
        <f>C82-D82</f>
        <v>396506</v>
      </c>
    </row>
    <row r="83" spans="1:5">
      <c r="A83" s="71" t="s">
        <v>152</v>
      </c>
      <c r="B83" s="8" t="s">
        <v>188</v>
      </c>
      <c r="C83" s="294"/>
      <c r="D83" s="294"/>
      <c r="E83" s="251">
        <f t="shared" ref="E83:E98" si="5">C83-D83</f>
        <v>0</v>
      </c>
    </row>
    <row r="84" spans="1:5">
      <c r="A84" s="71" t="s">
        <v>147</v>
      </c>
      <c r="B84" s="8" t="s">
        <v>188</v>
      </c>
      <c r="C84" s="294"/>
      <c r="D84" s="294"/>
      <c r="E84" s="251">
        <f t="shared" si="5"/>
        <v>0</v>
      </c>
    </row>
    <row r="85" spans="1:5">
      <c r="A85" s="71" t="s">
        <v>255</v>
      </c>
      <c r="B85" s="8" t="s">
        <v>188</v>
      </c>
      <c r="C85" s="294"/>
      <c r="D85" s="294"/>
      <c r="E85" s="251">
        <f t="shared" si="5"/>
        <v>0</v>
      </c>
    </row>
    <row r="86" spans="1:5">
      <c r="A86" s="67" t="s">
        <v>194</v>
      </c>
      <c r="B86" s="8" t="s">
        <v>188</v>
      </c>
      <c r="C86" s="294">
        <v>655621</v>
      </c>
      <c r="D86" s="294"/>
      <c r="E86" s="251">
        <f t="shared" si="5"/>
        <v>655621</v>
      </c>
    </row>
    <row r="87" spans="1:5">
      <c r="A87" s="67" t="s">
        <v>381</v>
      </c>
      <c r="B87" s="8" t="s">
        <v>188</v>
      </c>
      <c r="C87" s="294">
        <v>1038000</v>
      </c>
      <c r="D87" s="294"/>
      <c r="E87" s="251">
        <f t="shared" si="5"/>
        <v>1038000</v>
      </c>
    </row>
    <row r="88" spans="1:5">
      <c r="A88" s="67" t="s">
        <v>195</v>
      </c>
      <c r="B88" s="8" t="s">
        <v>188</v>
      </c>
      <c r="C88" s="294"/>
      <c r="D88" s="294"/>
      <c r="E88" s="251">
        <f t="shared" si="5"/>
        <v>0</v>
      </c>
    </row>
    <row r="89" spans="1:5">
      <c r="A89" s="67" t="s">
        <v>167</v>
      </c>
      <c r="B89" s="8" t="s">
        <v>188</v>
      </c>
      <c r="C89" s="294"/>
      <c r="D89" s="294"/>
      <c r="E89" s="251">
        <f t="shared" si="5"/>
        <v>0</v>
      </c>
    </row>
    <row r="90" spans="1:5">
      <c r="A90" s="67" t="s">
        <v>168</v>
      </c>
      <c r="B90" s="8" t="s">
        <v>188</v>
      </c>
      <c r="C90" s="294"/>
      <c r="D90" s="294"/>
      <c r="E90" s="251">
        <f t="shared" si="5"/>
        <v>0</v>
      </c>
    </row>
    <row r="91" spans="1:5">
      <c r="A91" s="67" t="s">
        <v>169</v>
      </c>
      <c r="B91" s="8" t="s">
        <v>188</v>
      </c>
      <c r="C91" s="294"/>
      <c r="D91" s="294"/>
      <c r="E91" s="251">
        <f t="shared" si="5"/>
        <v>0</v>
      </c>
    </row>
    <row r="92" spans="1:5">
      <c r="B92" s="8" t="s">
        <v>188</v>
      </c>
      <c r="C92" s="294"/>
      <c r="D92" s="294"/>
      <c r="E92" s="251"/>
    </row>
    <row r="93" spans="1:5">
      <c r="A93" s="67"/>
      <c r="B93" s="8" t="s">
        <v>188</v>
      </c>
      <c r="C93" s="294"/>
      <c r="D93" s="294"/>
      <c r="E93" s="251">
        <f t="shared" si="5"/>
        <v>0</v>
      </c>
    </row>
    <row r="94" spans="1:5">
      <c r="A94" s="67"/>
      <c r="B94" s="8" t="s">
        <v>188</v>
      </c>
      <c r="C94" s="294"/>
      <c r="D94" s="294"/>
      <c r="E94" s="251">
        <f t="shared" si="5"/>
        <v>0</v>
      </c>
    </row>
    <row r="95" spans="1:5">
      <c r="A95" s="68" t="s">
        <v>205</v>
      </c>
      <c r="B95" s="8" t="s">
        <v>188</v>
      </c>
      <c r="C95" s="294"/>
      <c r="D95" s="294"/>
      <c r="E95" s="251">
        <f t="shared" si="5"/>
        <v>0</v>
      </c>
    </row>
    <row r="96" spans="1:5" s="496" customFormat="1" ht="16.5" customHeight="1">
      <c r="A96" s="497" t="s">
        <v>501</v>
      </c>
      <c r="B96" s="498" t="s">
        <v>188</v>
      </c>
      <c r="C96" s="499">
        <v>511000</v>
      </c>
      <c r="D96" s="499"/>
      <c r="E96" s="495">
        <f t="shared" si="5"/>
        <v>511000</v>
      </c>
    </row>
    <row r="97" spans="1:5">
      <c r="A97" s="490" t="s">
        <v>493</v>
      </c>
      <c r="B97" s="8" t="s">
        <v>188</v>
      </c>
      <c r="C97" s="294">
        <v>1027326</v>
      </c>
      <c r="D97" s="294"/>
      <c r="E97" s="251">
        <f t="shared" si="5"/>
        <v>1027326</v>
      </c>
    </row>
    <row r="98" spans="1:5">
      <c r="A98" s="67"/>
      <c r="B98" s="8" t="s">
        <v>188</v>
      </c>
      <c r="C98" s="294"/>
      <c r="D98" s="294"/>
      <c r="E98" s="251">
        <f t="shared" si="5"/>
        <v>0</v>
      </c>
    </row>
    <row r="99" spans="1:5">
      <c r="A99" s="67" t="s">
        <v>171</v>
      </c>
      <c r="B99" s="8" t="s">
        <v>189</v>
      </c>
      <c r="C99" s="251">
        <f>SUM(C82:C98)</f>
        <v>3628453</v>
      </c>
      <c r="D99" s="251">
        <f>SUM(D82:D98)</f>
        <v>0</v>
      </c>
      <c r="E99" s="251">
        <f>SUM(E82:E98)</f>
        <v>3628453</v>
      </c>
    </row>
    <row r="100" spans="1:5">
      <c r="A100" s="67"/>
    </row>
    <row r="101" spans="1:5">
      <c r="A101" s="67" t="s">
        <v>174</v>
      </c>
    </row>
    <row r="102" spans="1:5">
      <c r="A102" s="275" t="str">
        <f t="shared" ref="A102:A111" si="6">IF($E82&gt;$C$11,A82," ")</f>
        <v xml:space="preserve"> </v>
      </c>
      <c r="B102" s="273"/>
      <c r="C102" s="251">
        <f t="shared" ref="C102:E118" si="7">IF($E82&gt;$C$11,C82,)</f>
        <v>0</v>
      </c>
      <c r="D102" s="251">
        <f t="shared" si="7"/>
        <v>0</v>
      </c>
      <c r="E102" s="251">
        <f t="shared" si="7"/>
        <v>0</v>
      </c>
    </row>
    <row r="103" spans="1:5">
      <c r="A103" s="275" t="str">
        <f t="shared" si="6"/>
        <v xml:space="preserve"> </v>
      </c>
      <c r="B103" s="273"/>
      <c r="C103" s="251">
        <f t="shared" si="7"/>
        <v>0</v>
      </c>
      <c r="D103" s="251">
        <f t="shared" si="7"/>
        <v>0</v>
      </c>
      <c r="E103" s="251">
        <f t="shared" si="7"/>
        <v>0</v>
      </c>
    </row>
    <row r="104" spans="1:5">
      <c r="A104" s="275" t="str">
        <f t="shared" si="6"/>
        <v xml:space="preserve"> </v>
      </c>
      <c r="B104" s="273"/>
      <c r="C104" s="251">
        <f t="shared" si="7"/>
        <v>0</v>
      </c>
      <c r="D104" s="251">
        <f t="shared" si="7"/>
        <v>0</v>
      </c>
      <c r="E104" s="251">
        <f t="shared" si="7"/>
        <v>0</v>
      </c>
    </row>
    <row r="105" spans="1:5">
      <c r="A105" s="275" t="str">
        <f t="shared" si="6"/>
        <v xml:space="preserve"> </v>
      </c>
      <c r="B105" s="273"/>
      <c r="C105" s="251">
        <f t="shared" si="7"/>
        <v>0</v>
      </c>
      <c r="D105" s="251">
        <f t="shared" si="7"/>
        <v>0</v>
      </c>
      <c r="E105" s="251">
        <f t="shared" si="7"/>
        <v>0</v>
      </c>
    </row>
    <row r="106" spans="1:5">
      <c r="A106" s="275" t="str">
        <f t="shared" si="6"/>
        <v xml:space="preserve"> </v>
      </c>
      <c r="B106" s="273"/>
      <c r="C106" s="251">
        <f t="shared" si="7"/>
        <v>0</v>
      </c>
      <c r="D106" s="251">
        <f t="shared" si="7"/>
        <v>0</v>
      </c>
      <c r="E106" s="251">
        <f t="shared" si="7"/>
        <v>0</v>
      </c>
    </row>
    <row r="107" spans="1:5">
      <c r="A107" s="275" t="str">
        <f t="shared" si="6"/>
        <v xml:space="preserve"> </v>
      </c>
      <c r="B107" s="273"/>
      <c r="C107" s="251">
        <f t="shared" si="7"/>
        <v>0</v>
      </c>
      <c r="D107" s="251">
        <f t="shared" si="7"/>
        <v>0</v>
      </c>
      <c r="E107" s="251">
        <f t="shared" si="7"/>
        <v>0</v>
      </c>
    </row>
    <row r="108" spans="1:5">
      <c r="A108" s="275" t="str">
        <f t="shared" si="6"/>
        <v xml:space="preserve"> </v>
      </c>
      <c r="B108" s="273"/>
      <c r="C108" s="251">
        <f t="shared" si="7"/>
        <v>0</v>
      </c>
      <c r="D108" s="251">
        <f t="shared" si="7"/>
        <v>0</v>
      </c>
      <c r="E108" s="251">
        <f t="shared" si="7"/>
        <v>0</v>
      </c>
    </row>
    <row r="109" spans="1:5">
      <c r="A109" s="275" t="str">
        <f t="shared" si="6"/>
        <v xml:space="preserve"> </v>
      </c>
      <c r="B109" s="273"/>
      <c r="C109" s="251">
        <f t="shared" si="7"/>
        <v>0</v>
      </c>
      <c r="D109" s="251">
        <f t="shared" si="7"/>
        <v>0</v>
      </c>
      <c r="E109" s="251">
        <f t="shared" si="7"/>
        <v>0</v>
      </c>
    </row>
    <row r="110" spans="1:5">
      <c r="A110" s="275" t="str">
        <f t="shared" si="6"/>
        <v xml:space="preserve"> </v>
      </c>
      <c r="B110" s="273"/>
      <c r="C110" s="251">
        <f t="shared" si="7"/>
        <v>0</v>
      </c>
      <c r="D110" s="251">
        <f t="shared" si="7"/>
        <v>0</v>
      </c>
      <c r="E110" s="251">
        <f t="shared" si="7"/>
        <v>0</v>
      </c>
    </row>
    <row r="111" spans="1:5">
      <c r="A111" s="275" t="str">
        <f t="shared" si="6"/>
        <v xml:space="preserve"> </v>
      </c>
      <c r="B111" s="273"/>
      <c r="C111" s="251">
        <f t="shared" si="7"/>
        <v>0</v>
      </c>
      <c r="D111" s="251">
        <f t="shared" si="7"/>
        <v>0</v>
      </c>
      <c r="E111" s="251">
        <f t="shared" si="7"/>
        <v>0</v>
      </c>
    </row>
    <row r="112" spans="1:5">
      <c r="A112" s="275" t="str">
        <f>IF($E92&gt;$C$11,A95," ")</f>
        <v xml:space="preserve"> </v>
      </c>
      <c r="B112" s="273"/>
      <c r="C112" s="251">
        <f t="shared" si="7"/>
        <v>0</v>
      </c>
      <c r="D112" s="251">
        <f t="shared" si="7"/>
        <v>0</v>
      </c>
      <c r="E112" s="251">
        <f t="shared" si="7"/>
        <v>0</v>
      </c>
    </row>
    <row r="113" spans="1:5">
      <c r="A113" s="275" t="str">
        <f>IF($E93&gt;$C$11,#REF!," ")</f>
        <v xml:space="preserve"> </v>
      </c>
      <c r="B113" s="273"/>
      <c r="C113" s="251">
        <f t="shared" si="7"/>
        <v>0</v>
      </c>
      <c r="D113" s="251">
        <f t="shared" si="7"/>
        <v>0</v>
      </c>
      <c r="E113" s="251">
        <f t="shared" si="7"/>
        <v>0</v>
      </c>
    </row>
    <row r="114" spans="1:5">
      <c r="A114" s="275" t="str">
        <f>IF($E94&gt;$C$11,A94," ")</f>
        <v xml:space="preserve"> </v>
      </c>
      <c r="B114" s="273"/>
      <c r="C114" s="251">
        <f t="shared" si="7"/>
        <v>0</v>
      </c>
      <c r="D114" s="251">
        <f t="shared" si="7"/>
        <v>0</v>
      </c>
      <c r="E114" s="251">
        <f t="shared" si="7"/>
        <v>0</v>
      </c>
    </row>
    <row r="115" spans="1:5">
      <c r="A115" s="275" t="str">
        <f>IF($E95&gt;$C$11,A93," ")</f>
        <v xml:space="preserve"> </v>
      </c>
      <c r="B115" s="273"/>
      <c r="C115" s="251">
        <f t="shared" si="7"/>
        <v>0</v>
      </c>
      <c r="D115" s="251">
        <f t="shared" si="7"/>
        <v>0</v>
      </c>
      <c r="E115" s="251">
        <f t="shared" si="7"/>
        <v>0</v>
      </c>
    </row>
    <row r="116" spans="1:5" s="496" customFormat="1" ht="16.5" customHeight="1">
      <c r="A116" s="493" t="str">
        <f>IF($E96&gt;$C$11,A96," ")</f>
        <v xml:space="preserve"> </v>
      </c>
      <c r="B116" s="494"/>
      <c r="C116" s="495">
        <f t="shared" si="7"/>
        <v>0</v>
      </c>
      <c r="D116" s="495">
        <f t="shared" si="7"/>
        <v>0</v>
      </c>
      <c r="E116" s="495">
        <f t="shared" si="7"/>
        <v>0</v>
      </c>
    </row>
    <row r="117" spans="1:5">
      <c r="A117" s="275" t="str">
        <f>IF($E97&gt;$C$11,A97," ")</f>
        <v xml:space="preserve"> </v>
      </c>
      <c r="B117" s="273"/>
      <c r="C117" s="251">
        <f t="shared" si="7"/>
        <v>0</v>
      </c>
      <c r="D117" s="251">
        <f t="shared" si="7"/>
        <v>0</v>
      </c>
      <c r="E117" s="251">
        <f t="shared" si="7"/>
        <v>0</v>
      </c>
    </row>
    <row r="118" spans="1:5">
      <c r="A118" s="275" t="str">
        <f>IF($E98&gt;$C$11,A98," ")</f>
        <v xml:space="preserve"> </v>
      </c>
      <c r="B118" s="273"/>
      <c r="C118" s="251">
        <f t="shared" si="7"/>
        <v>0</v>
      </c>
      <c r="D118" s="251">
        <f t="shared" si="7"/>
        <v>0</v>
      </c>
      <c r="E118" s="251">
        <f t="shared" si="7"/>
        <v>0</v>
      </c>
    </row>
    <row r="119" spans="1:5">
      <c r="A119" s="278" t="s">
        <v>202</v>
      </c>
      <c r="B119" s="273"/>
      <c r="C119" s="251">
        <f>SUM(C102:C118)</f>
        <v>0</v>
      </c>
      <c r="D119" s="251">
        <f>SUM(D102:D118)</f>
        <v>0</v>
      </c>
      <c r="E119" s="251">
        <f>SUM(E102:E118)</f>
        <v>0</v>
      </c>
    </row>
    <row r="120" spans="1:5">
      <c r="A120" s="278" t="s">
        <v>201</v>
      </c>
      <c r="B120" s="273"/>
      <c r="C120" s="251">
        <f>C99-C119</f>
        <v>3628453</v>
      </c>
      <c r="D120" s="251">
        <f>D99-D119</f>
        <v>0</v>
      </c>
      <c r="E120" s="251">
        <f>E99-E119</f>
        <v>3628453</v>
      </c>
    </row>
    <row r="121" spans="1:5">
      <c r="A121" s="278" t="s">
        <v>171</v>
      </c>
      <c r="B121" s="273"/>
      <c r="C121" s="251">
        <f>C119+C120</f>
        <v>3628453</v>
      </c>
      <c r="D121" s="251">
        <f>D119+D120</f>
        <v>0</v>
      </c>
      <c r="E121" s="251">
        <f>E119+E120</f>
        <v>3628453</v>
      </c>
    </row>
    <row r="122" spans="1:5" ht="5.25" customHeight="1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/>
  <pageMargins left="0.33" right="0.23622047244094491" top="1.0236220472440944" bottom="0.39370078740157483" header="0.19685039370078741" footer="0.19685039370078741"/>
  <pageSetup scale="85" fitToHeight="0" orientation="portrait" cellComments="asDisplayed" r:id="rId1"/>
  <headerFooter alignWithMargins="0">
    <oddHeader>&amp;R&amp;9Toronto Hydro-Electric System Limited
EB-2012-0064
Tab 5
Schedule E
ORIGINAL
page &amp;P of &amp;N</oddHeader>
    <oddFooter>&amp;C&amp;A</oddFooter>
  </headerFooter>
  <rowBreaks count="2" manualBreakCount="2">
    <brk id="47" max="5" man="1"/>
    <brk id="8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2:F92"/>
  <sheetViews>
    <sheetView view="pageBreakPreview" zoomScale="60" zoomScaleNormal="75" workbookViewId="0">
      <pane xSplit="1" ySplit="8" topLeftCell="B73" activePane="bottomRight" state="frozen"/>
      <selection activeCell="B77" sqref="B77"/>
      <selection pane="topRight" activeCell="B77" sqref="B77"/>
      <selection pane="bottomLeft" activeCell="B77" sqref="B77"/>
      <selection pane="bottomRight" activeCell="B77" sqref="B77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85546875" customWidth="1"/>
  </cols>
  <sheetData>
    <row r="2" spans="1:6">
      <c r="A2" s="1" t="str">
        <f>REGINFO!A1</f>
        <v>PILs TAXES - EB-2012-0064</v>
      </c>
    </row>
    <row r="3" spans="1:6">
      <c r="A3" s="2" t="s">
        <v>389</v>
      </c>
      <c r="E3" s="92"/>
    </row>
    <row r="4" spans="1:6" ht="15.75">
      <c r="A4" s="464" t="s">
        <v>449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6" t="s">
        <v>390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2003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365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177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187</v>
      </c>
      <c r="C19" s="295"/>
      <c r="D19" s="295"/>
      <c r="E19" s="312">
        <f t="shared" ref="E19:E26" si="0">C19-D19</f>
        <v>0</v>
      </c>
    </row>
    <row r="20" spans="1:6">
      <c r="A20" t="s">
        <v>392</v>
      </c>
      <c r="B20" t="s">
        <v>187</v>
      </c>
      <c r="C20" s="295"/>
      <c r="D20" s="295"/>
      <c r="E20" s="312">
        <f t="shared" si="0"/>
        <v>0</v>
      </c>
    </row>
    <row r="21" spans="1:6">
      <c r="A21" t="s">
        <v>457</v>
      </c>
      <c r="B21" t="s">
        <v>187</v>
      </c>
      <c r="C21" s="295"/>
      <c r="D21" s="295"/>
      <c r="E21" s="312">
        <f t="shared" si="0"/>
        <v>0</v>
      </c>
    </row>
    <row r="22" spans="1:6">
      <c r="A22" s="67" t="s">
        <v>395</v>
      </c>
      <c r="B22" t="s">
        <v>187</v>
      </c>
      <c r="C22" s="295"/>
      <c r="D22" s="313"/>
      <c r="E22" s="312">
        <f t="shared" si="0"/>
        <v>0</v>
      </c>
    </row>
    <row r="23" spans="1:6">
      <c r="A23" s="67" t="s">
        <v>396</v>
      </c>
      <c r="B23" t="s">
        <v>187</v>
      </c>
      <c r="C23" s="295"/>
      <c r="D23" s="295"/>
      <c r="E23" s="312">
        <f t="shared" si="0"/>
        <v>0</v>
      </c>
    </row>
    <row r="24" spans="1:6">
      <c r="A24" s="67" t="s">
        <v>458</v>
      </c>
      <c r="B24" t="s">
        <v>187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187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187</v>
      </c>
      <c r="C26" s="295"/>
      <c r="D26" s="295"/>
      <c r="E26" s="312">
        <f t="shared" si="0"/>
        <v>0</v>
      </c>
    </row>
    <row r="27" spans="1:6">
      <c r="A27" s="67" t="s">
        <v>441</v>
      </c>
      <c r="B27" t="s">
        <v>187</v>
      </c>
      <c r="C27" s="295"/>
      <c r="D27" s="295"/>
      <c r="E27" s="312">
        <f>'TAXREC 2'!C19-D27</f>
        <v>0</v>
      </c>
    </row>
    <row r="28" spans="1:6">
      <c r="A28" s="67" t="s">
        <v>394</v>
      </c>
      <c r="B28" t="s">
        <v>187</v>
      </c>
      <c r="C28" s="295"/>
      <c r="D28" s="295"/>
      <c r="E28" s="312">
        <f t="shared" ref="E28:E34" si="1">C28-D28</f>
        <v>0</v>
      </c>
    </row>
    <row r="29" spans="1:6">
      <c r="A29" s="67" t="s">
        <v>136</v>
      </c>
      <c r="B29" t="s">
        <v>187</v>
      </c>
      <c r="C29" s="295"/>
      <c r="D29" s="295"/>
      <c r="E29" s="312">
        <f t="shared" si="1"/>
        <v>0</v>
      </c>
    </row>
    <row r="30" spans="1:6">
      <c r="A30" s="67" t="s">
        <v>393</v>
      </c>
      <c r="B30" t="s">
        <v>187</v>
      </c>
      <c r="C30" s="295"/>
      <c r="D30" s="295"/>
      <c r="E30" s="312">
        <f t="shared" si="1"/>
        <v>0</v>
      </c>
    </row>
    <row r="31" spans="1:6">
      <c r="A31" s="67" t="s">
        <v>192</v>
      </c>
      <c r="B31" t="s">
        <v>187</v>
      </c>
      <c r="C31" s="295"/>
      <c r="D31" s="295"/>
      <c r="E31" s="312">
        <f t="shared" si="1"/>
        <v>0</v>
      </c>
    </row>
    <row r="32" spans="1:6">
      <c r="A32" s="67" t="s">
        <v>436</v>
      </c>
      <c r="B32" t="s">
        <v>187</v>
      </c>
      <c r="C32" s="295">
        <v>58651</v>
      </c>
      <c r="D32" s="295"/>
      <c r="E32" s="312">
        <f t="shared" si="1"/>
        <v>58651</v>
      </c>
    </row>
    <row r="33" spans="1:5">
      <c r="A33" s="67" t="s">
        <v>437</v>
      </c>
      <c r="B33" t="s">
        <v>187</v>
      </c>
      <c r="C33" s="295">
        <v>49334</v>
      </c>
      <c r="D33" s="295"/>
      <c r="E33" s="312">
        <f t="shared" si="1"/>
        <v>49334</v>
      </c>
    </row>
    <row r="34" spans="1:5">
      <c r="A34" s="67" t="s">
        <v>454</v>
      </c>
      <c r="B34" t="s">
        <v>187</v>
      </c>
      <c r="C34" s="295"/>
      <c r="D34" s="295"/>
      <c r="E34" s="312">
        <f t="shared" si="1"/>
        <v>0</v>
      </c>
    </row>
    <row r="35" spans="1:5">
      <c r="A35" s="81" t="s">
        <v>455</v>
      </c>
      <c r="C35" s="295"/>
      <c r="D35" s="295"/>
      <c r="E35" s="312">
        <f>'TAXREC 2'!C20-D35</f>
        <v>316</v>
      </c>
    </row>
    <row r="36" spans="1:5">
      <c r="A36" s="67" t="s">
        <v>438</v>
      </c>
      <c r="C36" s="295"/>
      <c r="D36" s="295"/>
      <c r="E36" s="312">
        <f t="shared" ref="E36:E45" si="2">C36-D36</f>
        <v>0</v>
      </c>
    </row>
    <row r="37" spans="1:5">
      <c r="A37" s="67" t="s">
        <v>439</v>
      </c>
      <c r="C37" s="295"/>
      <c r="D37" s="295"/>
      <c r="E37" s="312">
        <f t="shared" si="2"/>
        <v>0</v>
      </c>
    </row>
    <row r="38" spans="1:5">
      <c r="A38" s="67" t="s">
        <v>461</v>
      </c>
      <c r="C38" s="295"/>
      <c r="D38" s="295"/>
      <c r="E38" s="312">
        <f t="shared" si="2"/>
        <v>0</v>
      </c>
    </row>
    <row r="39" spans="1:5">
      <c r="A39" s="81" t="s">
        <v>397</v>
      </c>
      <c r="B39" t="s">
        <v>187</v>
      </c>
      <c r="C39" s="295"/>
      <c r="D39" s="295"/>
      <c r="E39" s="312">
        <f t="shared" si="2"/>
        <v>0</v>
      </c>
    </row>
    <row r="40" spans="1:5">
      <c r="A40" s="81" t="s">
        <v>391</v>
      </c>
      <c r="B40" t="s">
        <v>187</v>
      </c>
      <c r="C40" s="295"/>
      <c r="D40" s="295"/>
      <c r="E40" s="312">
        <f t="shared" si="2"/>
        <v>0</v>
      </c>
    </row>
    <row r="41" spans="1:5">
      <c r="A41" s="68" t="s">
        <v>204</v>
      </c>
      <c r="B41" t="s">
        <v>187</v>
      </c>
      <c r="C41" s="295"/>
      <c r="D41" s="295"/>
      <c r="E41" s="312">
        <f t="shared" si="2"/>
        <v>0</v>
      </c>
    </row>
    <row r="42" spans="1:5">
      <c r="A42" s="489" t="s">
        <v>498</v>
      </c>
      <c r="B42" t="s">
        <v>187</v>
      </c>
      <c r="C42" s="295">
        <v>10061000</v>
      </c>
      <c r="D42" s="295"/>
      <c r="E42" s="312">
        <f t="shared" si="2"/>
        <v>10061000</v>
      </c>
    </row>
    <row r="43" spans="1:5">
      <c r="A43" s="489" t="s">
        <v>499</v>
      </c>
      <c r="B43" t="s">
        <v>187</v>
      </c>
      <c r="C43" s="295">
        <v>1953334</v>
      </c>
      <c r="D43" s="295"/>
      <c r="E43" s="312">
        <f t="shared" si="2"/>
        <v>1953334</v>
      </c>
    </row>
    <row r="44" spans="1:5">
      <c r="A44" s="489"/>
      <c r="B44" t="s">
        <v>187</v>
      </c>
      <c r="C44" s="294"/>
      <c r="D44" s="294"/>
      <c r="E44" s="251">
        <f t="shared" si="2"/>
        <v>0</v>
      </c>
    </row>
    <row r="45" spans="1:5">
      <c r="A45" s="489"/>
      <c r="B45" t="s">
        <v>187</v>
      </c>
      <c r="C45" s="294"/>
      <c r="D45" s="294"/>
      <c r="E45" s="251">
        <f t="shared" si="2"/>
        <v>0</v>
      </c>
    </row>
    <row r="46" spans="1:5">
      <c r="A46" s="490"/>
      <c r="B46" t="s">
        <v>187</v>
      </c>
      <c r="C46" s="294"/>
      <c r="D46" s="294"/>
      <c r="E46" s="279"/>
    </row>
    <row r="47" spans="1:5">
      <c r="A47" s="449" t="s">
        <v>401</v>
      </c>
      <c r="B47" t="s">
        <v>189</v>
      </c>
      <c r="C47" s="251">
        <f>SUM(C19:C46)</f>
        <v>12122319</v>
      </c>
      <c r="D47" s="251">
        <f>SUM(D19:D46)</f>
        <v>0</v>
      </c>
      <c r="E47" s="251">
        <f>SUM(E19:E46)</f>
        <v>12122635</v>
      </c>
    </row>
    <row r="48" spans="1:5">
      <c r="A48" s="67"/>
    </row>
    <row r="49" spans="1:5">
      <c r="A49" s="81" t="s">
        <v>145</v>
      </c>
    </row>
    <row r="51" spans="1:5">
      <c r="A51" s="71" t="s">
        <v>392</v>
      </c>
      <c r="B51" s="8" t="s">
        <v>188</v>
      </c>
      <c r="C51" s="294"/>
      <c r="D51" s="294"/>
      <c r="E51" s="251">
        <f t="shared" ref="E51:E61" si="3">C51-D51</f>
        <v>0</v>
      </c>
    </row>
    <row r="52" spans="1:5">
      <c r="A52" s="67" t="s">
        <v>457</v>
      </c>
      <c r="B52" s="8" t="s">
        <v>188</v>
      </c>
      <c r="C52" s="294"/>
      <c r="D52" s="294"/>
      <c r="E52" s="251">
        <f t="shared" si="3"/>
        <v>0</v>
      </c>
    </row>
    <row r="53" spans="1:5">
      <c r="A53" t="s">
        <v>393</v>
      </c>
      <c r="B53" s="8" t="s">
        <v>188</v>
      </c>
      <c r="C53" s="294"/>
      <c r="D53" s="294"/>
      <c r="E53" s="251">
        <f t="shared" si="3"/>
        <v>0</v>
      </c>
    </row>
    <row r="54" spans="1:5">
      <c r="A54" t="s">
        <v>440</v>
      </c>
      <c r="B54" s="8" t="s">
        <v>188</v>
      </c>
      <c r="C54" s="294"/>
      <c r="D54" s="294"/>
      <c r="E54" s="251">
        <f t="shared" si="3"/>
        <v>0</v>
      </c>
    </row>
    <row r="55" spans="1:5">
      <c r="A55" s="67" t="s">
        <v>448</v>
      </c>
      <c r="B55" s="8" t="s">
        <v>188</v>
      </c>
      <c r="C55" s="294"/>
      <c r="D55" s="294"/>
      <c r="E55" s="251">
        <f t="shared" si="3"/>
        <v>0</v>
      </c>
    </row>
    <row r="56" spans="1:5">
      <c r="A56" s="67" t="s">
        <v>460</v>
      </c>
      <c r="B56" s="8" t="s">
        <v>188</v>
      </c>
      <c r="C56" s="294">
        <v>2233343</v>
      </c>
      <c r="D56" s="294"/>
      <c r="E56" s="251">
        <f t="shared" si="3"/>
        <v>2233343</v>
      </c>
    </row>
    <row r="57" spans="1:5">
      <c r="A57" s="2" t="s">
        <v>456</v>
      </c>
      <c r="B57" s="8" t="s">
        <v>188</v>
      </c>
      <c r="C57" s="294"/>
      <c r="D57" s="294"/>
      <c r="E57" s="251">
        <f t="shared" si="3"/>
        <v>0</v>
      </c>
    </row>
    <row r="58" spans="1:5">
      <c r="A58" s="67" t="s">
        <v>459</v>
      </c>
      <c r="B58" s="8" t="s">
        <v>188</v>
      </c>
      <c r="C58" s="294"/>
      <c r="D58" s="294"/>
      <c r="E58" s="251">
        <f t="shared" si="3"/>
        <v>0</v>
      </c>
    </row>
    <row r="59" spans="1:5">
      <c r="A59" s="67"/>
      <c r="B59" s="8" t="s">
        <v>188</v>
      </c>
      <c r="C59" s="294"/>
      <c r="D59" s="294"/>
      <c r="E59" s="251">
        <f t="shared" si="3"/>
        <v>0</v>
      </c>
    </row>
    <row r="60" spans="1:5">
      <c r="B60" s="8" t="s">
        <v>188</v>
      </c>
      <c r="C60" s="294"/>
      <c r="D60" s="294"/>
      <c r="E60" s="251">
        <f t="shared" si="3"/>
        <v>0</v>
      </c>
    </row>
    <row r="61" spans="1:5">
      <c r="B61" s="8" t="s">
        <v>188</v>
      </c>
      <c r="C61" s="294"/>
      <c r="D61" s="294"/>
      <c r="E61" s="251">
        <f t="shared" si="3"/>
        <v>0</v>
      </c>
    </row>
    <row r="62" spans="1:5">
      <c r="B62" s="8" t="s">
        <v>188</v>
      </c>
      <c r="C62" s="294"/>
      <c r="D62" s="294"/>
      <c r="E62" s="251">
        <f t="shared" ref="E62:E72" si="4">C62-D62</f>
        <v>0</v>
      </c>
    </row>
    <row r="63" spans="1:5">
      <c r="B63" s="8" t="s">
        <v>188</v>
      </c>
      <c r="C63" s="294"/>
      <c r="D63" s="294"/>
      <c r="E63" s="251">
        <f t="shared" si="4"/>
        <v>0</v>
      </c>
    </row>
    <row r="64" spans="1:5">
      <c r="A64" s="468" t="s">
        <v>398</v>
      </c>
      <c r="B64" s="8" t="s">
        <v>188</v>
      </c>
      <c r="C64" s="294"/>
      <c r="D64" s="294"/>
      <c r="E64" s="251">
        <f t="shared" si="4"/>
        <v>0</v>
      </c>
    </row>
    <row r="65" spans="1:5">
      <c r="B65" s="8" t="s">
        <v>188</v>
      </c>
      <c r="C65" s="294"/>
      <c r="D65" s="294"/>
      <c r="E65" s="251">
        <f t="shared" si="4"/>
        <v>0</v>
      </c>
    </row>
    <row r="66" spans="1:5">
      <c r="A66" s="468" t="s">
        <v>391</v>
      </c>
      <c r="B66" s="8" t="s">
        <v>188</v>
      </c>
      <c r="C66" s="294"/>
      <c r="D66" s="294"/>
      <c r="E66" s="251">
        <f t="shared" si="4"/>
        <v>0</v>
      </c>
    </row>
    <row r="67" spans="1:5">
      <c r="A67" s="67"/>
      <c r="B67" s="8" t="s">
        <v>188</v>
      </c>
      <c r="C67" s="294"/>
      <c r="D67" s="294"/>
      <c r="E67" s="251">
        <f t="shared" si="4"/>
        <v>0</v>
      </c>
    </row>
    <row r="68" spans="1:5">
      <c r="A68" s="68" t="s">
        <v>205</v>
      </c>
      <c r="B68" s="8" t="s">
        <v>188</v>
      </c>
      <c r="C68" s="294"/>
      <c r="D68" s="294"/>
      <c r="E68" s="251">
        <f t="shared" si="4"/>
        <v>0</v>
      </c>
    </row>
    <row r="69" spans="1:5">
      <c r="A69" s="490"/>
      <c r="B69" s="8" t="s">
        <v>188</v>
      </c>
      <c r="C69" s="294"/>
      <c r="D69" s="294"/>
      <c r="E69" s="251">
        <f t="shared" si="4"/>
        <v>0</v>
      </c>
    </row>
    <row r="70" spans="1:5">
      <c r="A70" s="490"/>
      <c r="B70" s="8" t="s">
        <v>188</v>
      </c>
      <c r="C70" s="294"/>
      <c r="D70" s="294"/>
      <c r="E70" s="251">
        <f t="shared" si="4"/>
        <v>0</v>
      </c>
    </row>
    <row r="71" spans="1:5">
      <c r="A71" s="490"/>
      <c r="B71" s="8" t="s">
        <v>188</v>
      </c>
      <c r="C71" s="294"/>
      <c r="D71" s="294"/>
      <c r="E71" s="251">
        <f t="shared" si="4"/>
        <v>0</v>
      </c>
    </row>
    <row r="72" spans="1:5">
      <c r="A72" s="67"/>
      <c r="B72" s="8" t="s">
        <v>188</v>
      </c>
      <c r="C72" s="294"/>
      <c r="D72" s="294"/>
      <c r="E72" s="279">
        <f t="shared" si="4"/>
        <v>0</v>
      </c>
    </row>
    <row r="73" spans="1:5">
      <c r="A73" s="448" t="s">
        <v>400</v>
      </c>
      <c r="B73" s="8" t="s">
        <v>189</v>
      </c>
      <c r="C73" s="251">
        <f>SUM(C51:C72)</f>
        <v>2233343</v>
      </c>
      <c r="D73" s="251">
        <f>SUM(D51:D72)</f>
        <v>0</v>
      </c>
      <c r="E73" s="251">
        <f>SUM(E51:E72)</f>
        <v>2233343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/>
  <pageMargins left="0.19685039370078741" right="0.23622047244094491" top="1" bottom="0.39370078740157483" header="0.19685039370078741" footer="0.19685039370078741"/>
  <pageSetup scale="70" orientation="portrait" cellComments="asDisplayed" r:id="rId1"/>
  <headerFooter alignWithMargins="0">
    <oddHeader>&amp;R&amp;9Toronto Hydro-Electric System Limited
EB-2012-0064
Tab 5
Schedule E
ORIGINAL
page &amp;P of &amp;N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view="pageBreakPreview" zoomScale="60" zoomScaleNormal="100" workbookViewId="0">
      <selection activeCell="B77" sqref="B77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7" max="7" width="1.7109375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4" t="str">
        <f>REGINFO!A1</f>
        <v>PILs TAXES - EB-2012-0064</v>
      </c>
      <c r="B1" s="385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307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2003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10" t="s">
        <v>339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0" t="s">
        <v>482</v>
      </c>
      <c r="B8" s="511"/>
      <c r="C8" s="511"/>
      <c r="D8" s="511"/>
      <c r="E8" s="342"/>
      <c r="F8" s="38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3">
        <v>0</v>
      </c>
      <c r="D9" s="373"/>
      <c r="E9" s="373">
        <v>200001</v>
      </c>
      <c r="F9" s="374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471</v>
      </c>
      <c r="B10" s="326"/>
      <c r="C10" s="375" t="s">
        <v>111</v>
      </c>
      <c r="D10" s="375"/>
      <c r="E10" s="375" t="s">
        <v>111</v>
      </c>
      <c r="F10" s="376" t="s">
        <v>483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7">
        <v>200000</v>
      </c>
      <c r="D11" s="377"/>
      <c r="E11" s="377">
        <v>700000</v>
      </c>
      <c r="F11" s="378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300</v>
      </c>
      <c r="B13" s="409">
        <v>2002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299</v>
      </c>
      <c r="B14" s="245"/>
      <c r="C14" s="327"/>
      <c r="D14" s="327"/>
      <c r="E14" s="328"/>
      <c r="F14" s="328">
        <v>0.26119999999999999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304</v>
      </c>
      <c r="B15" s="245"/>
      <c r="C15" s="329"/>
      <c r="D15" s="329"/>
      <c r="E15" s="330"/>
      <c r="F15" s="330">
        <v>0.125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260</v>
      </c>
      <c r="B16" s="245"/>
      <c r="C16" s="331"/>
      <c r="D16" s="331"/>
      <c r="E16" s="332"/>
      <c r="F16" s="332">
        <f>SUM(F14:F15)</f>
        <v>0.38619999999999999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2.2499999999999998E-3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334</v>
      </c>
      <c r="B21" s="406" t="s">
        <v>473</v>
      </c>
      <c r="C21" s="361">
        <v>5000000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335</v>
      </c>
      <c r="B22" s="407" t="s">
        <v>474</v>
      </c>
      <c r="C22" s="362">
        <v>10000000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4" t="s">
        <v>484</v>
      </c>
      <c r="B23" s="505"/>
      <c r="C23" s="505"/>
      <c r="D23" s="505"/>
      <c r="E23" s="505"/>
      <c r="F23" s="505"/>
      <c r="G23" s="438"/>
      <c r="H23" s="420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1"/>
      <c r="B24" s="412"/>
      <c r="C24" s="412"/>
      <c r="D24" s="412"/>
      <c r="E24" s="412"/>
      <c r="F24" s="412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9"/>
      <c r="B25" s="380"/>
      <c r="C25" s="383"/>
      <c r="D25" s="342"/>
      <c r="E25" s="342"/>
      <c r="F25" s="410" t="s">
        <v>340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2" t="s">
        <v>502</v>
      </c>
      <c r="B26" s="513"/>
      <c r="C26" s="513"/>
      <c r="D26" s="513"/>
      <c r="E26" s="513"/>
      <c r="F26" s="513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7">
        <v>0</v>
      </c>
      <c r="D27" s="367"/>
      <c r="E27" s="367">
        <v>200001</v>
      </c>
      <c r="F27" s="368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444</v>
      </c>
      <c r="B28" s="326"/>
      <c r="C28" s="369" t="s">
        <v>111</v>
      </c>
      <c r="D28" s="369"/>
      <c r="E28" s="369" t="s">
        <v>111</v>
      </c>
      <c r="F28" s="370" t="s">
        <v>483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1">
        <v>200000</v>
      </c>
      <c r="D29" s="371"/>
      <c r="E29" s="371">
        <v>700000</v>
      </c>
      <c r="F29" s="372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9">
        <v>2003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299</v>
      </c>
      <c r="B32" s="409"/>
      <c r="C32" s="327"/>
      <c r="D32" s="327"/>
      <c r="E32" s="328"/>
      <c r="F32" s="328">
        <v>0.2412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9"/>
      <c r="C33" s="329"/>
      <c r="D33" s="329"/>
      <c r="E33" s="330"/>
      <c r="F33" s="330">
        <v>0.125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260</v>
      </c>
      <c r="B34" s="409"/>
      <c r="C34" s="331"/>
      <c r="D34" s="331"/>
      <c r="E34" s="332"/>
      <c r="F34" s="332">
        <f>SUM(F32:F33)</f>
        <v>0.36619999999999997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9"/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9"/>
      <c r="C37" s="334">
        <v>2.2499999999999998E-3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9"/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477</v>
      </c>
      <c r="B39" s="406" t="s">
        <v>473</v>
      </c>
      <c r="C39" s="361">
        <v>5000000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478</v>
      </c>
      <c r="B40" s="407" t="s">
        <v>474</v>
      </c>
      <c r="C40" s="362">
        <v>10000000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6" t="s">
        <v>337</v>
      </c>
      <c r="B41" s="505"/>
      <c r="C41" s="505"/>
      <c r="D41" s="505"/>
      <c r="E41" s="505"/>
      <c r="F41" s="505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07"/>
      <c r="B42" s="507"/>
      <c r="C42" s="507"/>
      <c r="D42" s="507"/>
      <c r="E42" s="507"/>
      <c r="F42" s="507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9"/>
      <c r="B43" s="380"/>
      <c r="C43" s="381"/>
      <c r="D43" s="380"/>
      <c r="E43" s="380"/>
      <c r="F43" s="410" t="s">
        <v>341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8" t="s">
        <v>503</v>
      </c>
      <c r="B44" s="365"/>
      <c r="C44" s="366"/>
      <c r="D44" s="365"/>
      <c r="E44" s="342"/>
      <c r="F44" s="382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7">
        <v>0</v>
      </c>
      <c r="D45" s="367"/>
      <c r="E45" s="367">
        <v>200001</v>
      </c>
      <c r="F45" s="368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9" t="s">
        <v>111</v>
      </c>
      <c r="D46" s="369"/>
      <c r="E46" s="369" t="s">
        <v>111</v>
      </c>
      <c r="F46" s="370" t="s">
        <v>483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1">
        <v>200000</v>
      </c>
      <c r="D47" s="371"/>
      <c r="E47" s="371">
        <v>700000</v>
      </c>
      <c r="F47" s="372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9">
        <v>2003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299</v>
      </c>
      <c r="B50" s="245"/>
      <c r="C50" s="351"/>
      <c r="D50" s="351"/>
      <c r="E50" s="352"/>
      <c r="F50" s="352">
        <v>0.2412</v>
      </c>
      <c r="G50" s="194"/>
      <c r="H50" s="485"/>
      <c r="I50" s="485"/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/>
      <c r="D51" s="353"/>
      <c r="E51" s="354"/>
      <c r="F51" s="354">
        <v>0.125</v>
      </c>
      <c r="G51" s="194"/>
      <c r="H51" s="485"/>
      <c r="I51" s="485"/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260</v>
      </c>
      <c r="B52" s="245"/>
      <c r="C52" s="331"/>
      <c r="D52" s="331"/>
      <c r="E52" s="332"/>
      <c r="F52" s="332">
        <f>SUM(F50:F51)</f>
        <v>0.36619999999999997</v>
      </c>
      <c r="G52" s="194"/>
      <c r="H52" s="485"/>
      <c r="I52" s="485"/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56">
        <v>2.2499999999999998E-3</v>
      </c>
      <c r="D55" s="357"/>
      <c r="E55" s="358"/>
      <c r="F55" s="358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7">
        <v>1.12E-2</v>
      </c>
      <c r="D56" s="359"/>
      <c r="E56" s="360"/>
      <c r="F56" s="360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353</v>
      </c>
      <c r="B57" s="406" t="s">
        <v>473</v>
      </c>
      <c r="C57" s="361">
        <v>4728562</v>
      </c>
      <c r="D57" s="359"/>
      <c r="E57" s="360"/>
      <c r="F57" s="360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354</v>
      </c>
      <c r="B58" s="407" t="s">
        <v>474</v>
      </c>
      <c r="C58" s="362">
        <v>10000000</v>
      </c>
      <c r="D58" s="363"/>
      <c r="E58" s="364"/>
      <c r="F58" s="364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4" t="s">
        <v>355</v>
      </c>
      <c r="B59" s="508"/>
      <c r="C59" s="508"/>
      <c r="D59" s="508"/>
      <c r="E59" s="508"/>
      <c r="F59" s="508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09"/>
      <c r="B60" s="509"/>
      <c r="C60" s="509"/>
      <c r="D60" s="509"/>
      <c r="E60" s="509"/>
      <c r="F60" s="509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/>
  <pageMargins left="0.19685039370078741" right="0.23622047244094491" top="1.24" bottom="0.39370078740157483" header="0.19685039370078741" footer="0.19685039370078741"/>
  <pageSetup fitToHeight="0" orientation="portrait" cellComments="asDisplayed" r:id="rId1"/>
  <headerFooter alignWithMargins="0">
    <oddHeader>&amp;R&amp;9Toronto Hydro-Electric System Limited
EB-2012-0064
Tab 5
Schedule E
ORIGINAL
page &amp;P of &amp;N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S108"/>
  <sheetViews>
    <sheetView tabSelected="1" view="pageBreakPreview" zoomScale="60" zoomScaleNormal="100" workbookViewId="0">
      <selection activeCell="B77" sqref="B77"/>
    </sheetView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462</v>
      </c>
      <c r="B2" s="2"/>
    </row>
    <row r="3" spans="1:15">
      <c r="A3" s="2" t="str">
        <f>REGINFO!A3</f>
        <v>Utility Name: TORONTO HYDRO-ELECTRIC SYSTEM LIMITED</v>
      </c>
      <c r="O3" s="416" t="str">
        <f>REGINFO!E1</f>
        <v>Version 2009.1</v>
      </c>
    </row>
    <row r="4" spans="1:15">
      <c r="A4" s="2" t="str">
        <f>REGINFO!A4</f>
        <v>Reporting period:  2003</v>
      </c>
      <c r="E4" s="417" t="s">
        <v>323</v>
      </c>
      <c r="F4" s="398"/>
      <c r="G4" s="398"/>
      <c r="H4" s="398"/>
      <c r="I4" s="398"/>
      <c r="O4" s="416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2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189</v>
      </c>
      <c r="C11" s="394">
        <v>0</v>
      </c>
      <c r="D11" s="390"/>
      <c r="E11" s="396">
        <f>C22</f>
        <v>5028333</v>
      </c>
      <c r="F11" s="419"/>
      <c r="G11" s="396">
        <f>E22</f>
        <v>8127575</v>
      </c>
      <c r="H11" s="419"/>
      <c r="I11" s="396">
        <f>G22</f>
        <v>8284720.1186072081</v>
      </c>
      <c r="J11" s="390"/>
      <c r="K11" s="396">
        <f>I22</f>
        <v>2260300.0674444176</v>
      </c>
      <c r="L11" s="390"/>
      <c r="M11" s="396">
        <f>K22</f>
        <v>2260300.0674444176</v>
      </c>
      <c r="N11" s="390"/>
      <c r="O11" s="396">
        <f>C11</f>
        <v>0</v>
      </c>
    </row>
    <row r="12" spans="1:15" ht="27" customHeight="1">
      <c r="A12" s="81" t="s">
        <v>402</v>
      </c>
      <c r="B12" s="66" t="s">
        <v>190</v>
      </c>
      <c r="C12" s="395">
        <v>5000000</v>
      </c>
      <c r="D12" s="391"/>
      <c r="E12" s="395">
        <v>55000000</v>
      </c>
      <c r="F12" s="95"/>
      <c r="G12" s="418">
        <v>60000000</v>
      </c>
      <c r="H12" s="95"/>
      <c r="I12" s="418"/>
      <c r="J12" s="391"/>
      <c r="K12" s="418"/>
      <c r="L12" s="391"/>
      <c r="M12" s="418">
        <f>K13/9*12/4</f>
        <v>0</v>
      </c>
      <c r="N12" s="391"/>
      <c r="O12" s="396">
        <f t="shared" ref="O12:O20" si="0">SUM(C12:N12)</f>
        <v>120000000</v>
      </c>
    </row>
    <row r="13" spans="1:15" ht="27" customHeight="1">
      <c r="A13" s="81" t="s">
        <v>443</v>
      </c>
      <c r="B13" s="66"/>
      <c r="C13" s="418"/>
      <c r="D13" s="391"/>
      <c r="E13" s="418"/>
      <c r="F13" s="95"/>
      <c r="G13" s="418"/>
      <c r="H13" s="95"/>
      <c r="I13" s="418"/>
      <c r="J13" s="391"/>
      <c r="K13" s="395"/>
      <c r="L13" s="391"/>
      <c r="M13" s="418"/>
      <c r="N13" s="391"/>
      <c r="O13" s="396">
        <f t="shared" si="0"/>
        <v>0</v>
      </c>
    </row>
    <row r="14" spans="1:15" ht="25.5">
      <c r="A14" s="81" t="s">
        <v>403</v>
      </c>
      <c r="B14" s="66" t="s">
        <v>190</v>
      </c>
      <c r="C14" s="395"/>
      <c r="D14" s="391"/>
      <c r="E14" s="395">
        <v>-290810</v>
      </c>
      <c r="F14" s="95"/>
      <c r="G14" s="395"/>
      <c r="H14" s="95"/>
      <c r="I14" s="395"/>
      <c r="J14" s="391"/>
      <c r="K14" s="395"/>
      <c r="L14" s="391"/>
      <c r="M14" s="395"/>
      <c r="N14" s="391"/>
      <c r="O14" s="396">
        <f t="shared" si="0"/>
        <v>-290810</v>
      </c>
    </row>
    <row r="15" spans="1:15" ht="27" customHeight="1">
      <c r="A15" s="81" t="s">
        <v>404</v>
      </c>
      <c r="B15" s="66" t="s">
        <v>190</v>
      </c>
      <c r="C15" s="395"/>
      <c r="D15" s="391"/>
      <c r="E15" s="395"/>
      <c r="F15" s="95"/>
      <c r="G15" s="395">
        <v>2156868</v>
      </c>
      <c r="H15" s="95"/>
      <c r="I15" s="395">
        <f>TAXCALC!E183</f>
        <v>-6024420.0511627905</v>
      </c>
      <c r="J15" s="391"/>
      <c r="K15" s="395"/>
      <c r="L15" s="391"/>
      <c r="M15" s="418"/>
      <c r="N15" s="391"/>
      <c r="O15" s="396">
        <f t="shared" si="0"/>
        <v>-3867552.0511627905</v>
      </c>
    </row>
    <row r="16" spans="1:15" ht="27" customHeight="1">
      <c r="A16" s="81" t="s">
        <v>405</v>
      </c>
      <c r="B16" s="66"/>
      <c r="C16" s="395"/>
      <c r="D16" s="391"/>
      <c r="E16" s="395"/>
      <c r="F16" s="95"/>
      <c r="G16" s="395"/>
      <c r="H16" s="95"/>
      <c r="I16" s="395"/>
      <c r="J16" s="391"/>
      <c r="K16" s="395"/>
      <c r="L16" s="391"/>
      <c r="M16" s="395"/>
      <c r="N16" s="391"/>
      <c r="O16" s="396">
        <f t="shared" si="0"/>
        <v>0</v>
      </c>
    </row>
    <row r="17" spans="1:15" ht="27.75" customHeight="1">
      <c r="A17" s="81" t="s">
        <v>406</v>
      </c>
      <c r="B17" s="66" t="s">
        <v>190</v>
      </c>
      <c r="C17" s="395"/>
      <c r="D17" s="391"/>
      <c r="E17" s="395"/>
      <c r="F17" s="95"/>
      <c r="G17" s="395">
        <f>TAXCALC!E181</f>
        <v>-2412195.8813927951</v>
      </c>
      <c r="H17" s="95"/>
      <c r="I17" s="395"/>
      <c r="J17" s="391"/>
      <c r="K17" s="395"/>
      <c r="L17" s="391"/>
      <c r="M17" s="418"/>
      <c r="N17" s="391"/>
      <c r="O17" s="396">
        <f t="shared" si="0"/>
        <v>-2412195.8813927951</v>
      </c>
    </row>
    <row r="18" spans="1:15" ht="25.5">
      <c r="A18" s="81" t="s">
        <v>407</v>
      </c>
      <c r="B18" s="66" t="s">
        <v>190</v>
      </c>
      <c r="C18" s="395"/>
      <c r="D18" s="391"/>
      <c r="E18" s="395"/>
      <c r="F18" s="95"/>
      <c r="G18" s="395"/>
      <c r="H18" s="95"/>
      <c r="I18" s="395"/>
      <c r="J18" s="391"/>
      <c r="K18" s="395"/>
      <c r="L18" s="391"/>
      <c r="M18" s="395"/>
      <c r="N18" s="391"/>
      <c r="O18" s="396">
        <f t="shared" si="0"/>
        <v>0</v>
      </c>
    </row>
    <row r="19" spans="1:15" ht="24" customHeight="1">
      <c r="A19" s="432" t="s">
        <v>408</v>
      </c>
      <c r="B19" s="66" t="s">
        <v>190</v>
      </c>
      <c r="C19" s="395">
        <v>28333</v>
      </c>
      <c r="D19" s="391"/>
      <c r="E19" s="395">
        <v>720305</v>
      </c>
      <c r="F19" s="95"/>
      <c r="G19" s="395">
        <v>562257</v>
      </c>
      <c r="H19" s="95"/>
      <c r="I19" s="395"/>
      <c r="J19" s="391"/>
      <c r="K19" s="395"/>
      <c r="L19" s="391"/>
      <c r="M19" s="395"/>
      <c r="N19" s="391"/>
      <c r="O19" s="396">
        <f t="shared" si="0"/>
        <v>1310895</v>
      </c>
    </row>
    <row r="20" spans="1:15" ht="24.75" customHeight="1">
      <c r="A20" s="81" t="s">
        <v>472</v>
      </c>
      <c r="B20" s="66" t="s">
        <v>188</v>
      </c>
      <c r="C20" s="418">
        <v>0</v>
      </c>
      <c r="D20" s="391"/>
      <c r="E20" s="395">
        <v>-52330253</v>
      </c>
      <c r="F20" s="95"/>
      <c r="G20" s="395">
        <v>-60149784</v>
      </c>
      <c r="H20" s="95"/>
      <c r="I20" s="395"/>
      <c r="J20" s="391"/>
      <c r="K20" s="395"/>
      <c r="L20" s="391"/>
      <c r="M20" s="395"/>
      <c r="N20" s="391"/>
      <c r="O20" s="396">
        <f t="shared" si="0"/>
        <v>-112480037</v>
      </c>
    </row>
    <row r="21" spans="1:15">
      <c r="A21" s="65"/>
      <c r="C21" s="391"/>
      <c r="D21" s="95"/>
      <c r="E21" s="391"/>
      <c r="F21" s="95"/>
      <c r="G21" s="391"/>
      <c r="H21" s="95"/>
      <c r="I21" s="391"/>
      <c r="J21" s="391"/>
      <c r="K21" s="391"/>
      <c r="L21" s="391"/>
      <c r="M21" s="391"/>
      <c r="N21" s="391"/>
      <c r="O21" s="419"/>
    </row>
    <row r="22" spans="1:15" ht="13.5" thickBot="1">
      <c r="A22" s="81" t="s">
        <v>378</v>
      </c>
      <c r="B22" s="34"/>
      <c r="C22" s="397">
        <f>SUM(C11:C20)</f>
        <v>5028333</v>
      </c>
      <c r="D22" s="419"/>
      <c r="E22" s="397">
        <f>SUM(E11:E20)</f>
        <v>8127575</v>
      </c>
      <c r="F22" s="419"/>
      <c r="G22" s="397">
        <f>SUM(G11:G20)</f>
        <v>8284720.1186072081</v>
      </c>
      <c r="H22" s="419"/>
      <c r="I22" s="397">
        <f>SUM(I11:I20)</f>
        <v>2260300.0674444176</v>
      </c>
      <c r="J22" s="390"/>
      <c r="K22" s="397">
        <f>SUM(K11:K20)</f>
        <v>2260300.0674444176</v>
      </c>
      <c r="L22" s="390"/>
      <c r="M22" s="397">
        <f>SUM(M11:M21)</f>
        <v>2260300.0674444176</v>
      </c>
      <c r="N22" s="390"/>
      <c r="O22" s="450">
        <f>SUM(O11:O20)</f>
        <v>2260300.0674444139</v>
      </c>
    </row>
    <row r="23" spans="1:15" ht="13.5" thickTop="1">
      <c r="A23" s="433"/>
      <c r="B23" s="434"/>
      <c r="C23" s="440"/>
      <c r="D23" s="441"/>
      <c r="E23" s="440"/>
      <c r="F23" s="441"/>
      <c r="G23" s="440"/>
      <c r="H23" s="441"/>
      <c r="I23" s="440"/>
      <c r="J23" s="434"/>
      <c r="K23" s="440"/>
      <c r="L23" s="188"/>
      <c r="M23" s="442"/>
      <c r="N23" s="188"/>
      <c r="O23" s="442"/>
    </row>
    <row r="24" spans="1:15">
      <c r="A24" s="456"/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9"/>
    </row>
    <row r="25" spans="1:15">
      <c r="A25" s="433"/>
      <c r="B25" s="434"/>
      <c r="C25" s="460"/>
      <c r="D25" s="460"/>
      <c r="E25" s="460"/>
      <c r="F25" s="460"/>
      <c r="G25" s="460"/>
      <c r="H25" s="460"/>
      <c r="I25" s="460"/>
      <c r="J25" s="461"/>
      <c r="K25" s="460"/>
      <c r="L25" s="462"/>
      <c r="M25" s="463"/>
      <c r="N25" s="462"/>
      <c r="O25" s="463"/>
    </row>
    <row r="26" spans="1:15">
      <c r="A26" s="433" t="s">
        <v>409</v>
      </c>
      <c r="B26" s="434"/>
      <c r="C26" s="460"/>
      <c r="D26" s="460"/>
      <c r="E26" s="460"/>
      <c r="F26" s="460"/>
      <c r="G26" s="460"/>
      <c r="H26" s="460"/>
      <c r="I26" s="460"/>
      <c r="J26" s="461"/>
      <c r="K26" s="460"/>
      <c r="L26" s="462"/>
      <c r="M26" s="463"/>
      <c r="N26" s="462"/>
      <c r="O26" s="463"/>
    </row>
    <row r="27" spans="1:15" ht="9" customHeight="1">
      <c r="A27" s="433"/>
      <c r="B27" s="434"/>
      <c r="C27" s="434"/>
      <c r="D27" s="434"/>
      <c r="E27" s="434"/>
      <c r="F27" s="434"/>
      <c r="G27" s="434"/>
      <c r="H27" s="434"/>
      <c r="I27" s="434"/>
      <c r="J27" s="434"/>
      <c r="K27" s="435"/>
      <c r="L27" s="188"/>
      <c r="M27" s="188"/>
      <c r="N27" s="188"/>
      <c r="O27" s="188"/>
    </row>
    <row r="28" spans="1:15">
      <c r="A28" s="433" t="s">
        <v>410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188"/>
      <c r="M28" s="188"/>
      <c r="N28" s="188"/>
      <c r="O28" s="188"/>
    </row>
    <row r="29" spans="1:15">
      <c r="A29" s="436" t="s">
        <v>411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188"/>
      <c r="M29" s="188"/>
      <c r="N29" s="188"/>
      <c r="O29" s="188"/>
    </row>
    <row r="30" spans="1:15" ht="9" customHeight="1">
      <c r="A30" s="188"/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188"/>
      <c r="M30" s="188"/>
      <c r="N30" s="188"/>
      <c r="O30" s="188"/>
    </row>
    <row r="31" spans="1:15">
      <c r="A31" s="451" t="s">
        <v>492</v>
      </c>
      <c r="B31" s="80"/>
      <c r="C31" s="80"/>
      <c r="D31" s="80"/>
      <c r="E31" s="80"/>
      <c r="F31" s="80"/>
      <c r="G31" s="80"/>
      <c r="H31" s="80"/>
      <c r="I31" s="447"/>
      <c r="J31" s="447"/>
      <c r="K31" s="447"/>
      <c r="L31" s="447"/>
      <c r="M31" s="447"/>
      <c r="N31" s="447"/>
      <c r="O31" s="447"/>
    </row>
    <row r="32" spans="1:15" ht="9" customHeight="1">
      <c r="A32" s="452"/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</row>
    <row r="33" spans="1:19">
      <c r="A33" s="515" t="s">
        <v>412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420"/>
      <c r="Q33" s="420"/>
      <c r="R33" s="420"/>
      <c r="S33" s="420"/>
    </row>
    <row r="34" spans="1:19">
      <c r="A34" s="514" t="s">
        <v>413</v>
      </c>
      <c r="B34" s="517"/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420"/>
      <c r="Q34" s="420"/>
      <c r="R34" s="420"/>
      <c r="S34" s="420"/>
    </row>
    <row r="35" spans="1:19">
      <c r="A35" s="514" t="s">
        <v>434</v>
      </c>
      <c r="B35" s="517"/>
      <c r="C35" s="517"/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7"/>
      <c r="O35" s="517"/>
      <c r="P35" s="420"/>
      <c r="Q35" s="420"/>
      <c r="R35" s="420"/>
      <c r="S35" s="420"/>
    </row>
    <row r="36" spans="1:19">
      <c r="A36" s="514" t="s">
        <v>414</v>
      </c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6"/>
      <c r="P36" s="420"/>
      <c r="Q36" s="420"/>
      <c r="R36" s="420"/>
      <c r="S36" s="420"/>
    </row>
    <row r="37" spans="1:19">
      <c r="A37" s="437" t="s">
        <v>375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20"/>
      <c r="Q37" s="420"/>
      <c r="R37" s="420"/>
      <c r="S37" s="420"/>
    </row>
    <row r="38" spans="1:19">
      <c r="A38" s="437" t="s">
        <v>376</v>
      </c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20"/>
      <c r="Q38" s="420"/>
      <c r="R38" s="420"/>
      <c r="S38" s="420"/>
    </row>
    <row r="39" spans="1:19">
      <c r="A39" s="437" t="s">
        <v>415</v>
      </c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20"/>
      <c r="Q39" s="420"/>
      <c r="R39" s="420"/>
      <c r="S39" s="420"/>
    </row>
    <row r="40" spans="1:19">
      <c r="A40" s="437" t="s">
        <v>416</v>
      </c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20"/>
      <c r="Q40" s="420"/>
      <c r="R40" s="420"/>
      <c r="S40" s="420"/>
    </row>
    <row r="41" spans="1:19" ht="9" customHeight="1"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20"/>
      <c r="Q41" s="420"/>
      <c r="R41" s="420"/>
      <c r="S41" s="420"/>
    </row>
    <row r="42" spans="1:19">
      <c r="A42" s="439" t="s">
        <v>417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188"/>
      <c r="M42" s="188"/>
      <c r="N42" s="188"/>
      <c r="O42" s="188"/>
    </row>
    <row r="43" spans="1:19">
      <c r="A43" s="434" t="s">
        <v>418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188"/>
      <c r="M43" s="188"/>
      <c r="N43" s="188"/>
      <c r="O43" s="188"/>
    </row>
    <row r="44" spans="1:19" ht="9" customHeight="1">
      <c r="A44" s="434"/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188"/>
      <c r="M44" s="188"/>
      <c r="N44" s="188"/>
      <c r="O44" s="188"/>
    </row>
    <row r="45" spans="1:19">
      <c r="A45" s="439" t="s">
        <v>419</v>
      </c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188"/>
      <c r="M45" s="188"/>
      <c r="N45" s="188"/>
      <c r="O45" s="188"/>
    </row>
    <row r="46" spans="1:19">
      <c r="A46" s="434" t="s">
        <v>420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188"/>
      <c r="M46" s="188"/>
      <c r="N46" s="188"/>
      <c r="O46" s="188"/>
    </row>
    <row r="47" spans="1:19" ht="9" customHeight="1">
      <c r="A47" s="434"/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188"/>
      <c r="M47" s="188"/>
      <c r="N47" s="188"/>
      <c r="O47" s="188"/>
    </row>
    <row r="48" spans="1:19">
      <c r="A48" s="439" t="s">
        <v>421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188"/>
      <c r="M48" s="188"/>
      <c r="N48" s="188"/>
      <c r="O48" s="188"/>
    </row>
    <row r="49" spans="1:15">
      <c r="A49" s="434" t="s">
        <v>422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188"/>
      <c r="M49" s="188"/>
      <c r="N49" s="188"/>
      <c r="O49" s="188"/>
    </row>
    <row r="50" spans="1:15" ht="9" customHeight="1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188"/>
      <c r="M50" s="188"/>
      <c r="N50" s="188"/>
      <c r="O50" s="188"/>
    </row>
    <row r="51" spans="1:15">
      <c r="A51" s="439" t="s">
        <v>423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188"/>
      <c r="M51" s="188"/>
      <c r="N51" s="188"/>
      <c r="O51" s="188"/>
    </row>
    <row r="52" spans="1:15">
      <c r="A52" s="434" t="s">
        <v>420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188"/>
      <c r="M52" s="188"/>
      <c r="N52" s="188"/>
      <c r="O52" s="188"/>
    </row>
    <row r="53" spans="1:15" ht="9" customHeight="1">
      <c r="A53" s="439"/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188"/>
      <c r="M53" s="188"/>
      <c r="N53" s="188"/>
      <c r="O53" s="188"/>
    </row>
    <row r="54" spans="1:15">
      <c r="A54" s="434" t="s">
        <v>424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188"/>
      <c r="M54" s="188"/>
      <c r="N54" s="188"/>
      <c r="O54" s="188"/>
    </row>
    <row r="55" spans="1:15" ht="9" customHeight="1">
      <c r="A55" s="434"/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188"/>
      <c r="M55" s="188"/>
      <c r="N55" s="188"/>
      <c r="O55" s="188"/>
    </row>
    <row r="56" spans="1:15" ht="12.75" customHeight="1">
      <c r="A56" s="439" t="s">
        <v>425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34"/>
      <c r="L56" s="188"/>
      <c r="M56" s="188"/>
      <c r="N56" s="188"/>
      <c r="O56" s="188"/>
    </row>
    <row r="57" spans="1:15" ht="9" customHeight="1">
      <c r="A57" s="434"/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188"/>
      <c r="M57" s="188"/>
      <c r="N57" s="188"/>
      <c r="O57" s="188"/>
    </row>
    <row r="58" spans="1:15">
      <c r="A58" s="434" t="s">
        <v>426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188"/>
      <c r="M58" s="188"/>
      <c r="N58" s="188"/>
      <c r="O58" s="188"/>
    </row>
    <row r="59" spans="1:15">
      <c r="A59" s="434" t="s">
        <v>427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188"/>
      <c r="M59" s="188"/>
      <c r="N59" s="188"/>
      <c r="O59" s="188"/>
    </row>
    <row r="60" spans="1:15">
      <c r="A60" s="434" t="s">
        <v>428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188"/>
      <c r="M60" s="188"/>
      <c r="N60" s="188"/>
      <c r="O60" s="188"/>
    </row>
    <row r="61" spans="1:15">
      <c r="A61" s="434" t="s">
        <v>385</v>
      </c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188"/>
      <c r="M61" s="188"/>
      <c r="N61" s="188"/>
      <c r="O61" s="188"/>
    </row>
    <row r="62" spans="1:15" ht="9" customHeight="1">
      <c r="A62" s="434"/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188"/>
      <c r="M62" s="188"/>
      <c r="N62" s="188"/>
      <c r="O62" s="188"/>
    </row>
    <row r="63" spans="1:15">
      <c r="A63" s="434" t="s">
        <v>429</v>
      </c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188"/>
      <c r="M63" s="188"/>
      <c r="N63" s="188"/>
      <c r="O63" s="188"/>
    </row>
    <row r="64" spans="1:15">
      <c r="A64" s="434" t="s">
        <v>430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188"/>
      <c r="M64" s="188"/>
      <c r="N64" s="188"/>
      <c r="O64" s="188"/>
    </row>
    <row r="65" spans="1:17">
      <c r="A65" s="434" t="s">
        <v>387</v>
      </c>
      <c r="B65" s="434"/>
      <c r="C65" s="434"/>
      <c r="D65" s="434"/>
      <c r="E65" s="434"/>
      <c r="F65" s="434"/>
      <c r="G65" s="434"/>
      <c r="H65" s="434"/>
      <c r="I65" s="434"/>
      <c r="J65" s="434"/>
      <c r="K65" s="434"/>
      <c r="L65" s="188"/>
      <c r="M65" s="188"/>
      <c r="N65" s="188"/>
      <c r="O65" s="188"/>
    </row>
    <row r="66" spans="1:17" ht="3.75" customHeight="1">
      <c r="A66" s="434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188"/>
      <c r="M66" s="188"/>
      <c r="N66" s="188"/>
      <c r="O66" s="188"/>
    </row>
    <row r="67" spans="1:17">
      <c r="A67" s="434" t="s">
        <v>386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188"/>
      <c r="M67" s="188"/>
      <c r="N67" s="188"/>
      <c r="O67" s="188"/>
    </row>
    <row r="68" spans="1:17">
      <c r="A68" s="434" t="s">
        <v>388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188"/>
      <c r="M68" s="188"/>
      <c r="N68" s="188"/>
      <c r="O68" s="188"/>
    </row>
    <row r="69" spans="1:17" ht="3.75" customHeight="1">
      <c r="A69" s="434"/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188"/>
      <c r="M69" s="188"/>
      <c r="N69" s="188"/>
      <c r="O69" s="188"/>
    </row>
    <row r="70" spans="1:17">
      <c r="A70" s="434" t="s">
        <v>431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188"/>
      <c r="M70" s="188"/>
      <c r="N70" s="188"/>
      <c r="O70" s="188"/>
    </row>
    <row r="71" spans="1:17">
      <c r="A71" s="434" t="s">
        <v>432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188"/>
      <c r="M71" s="188"/>
      <c r="N71" s="188"/>
      <c r="O71" s="188"/>
    </row>
    <row r="72" spans="1:17">
      <c r="A72" s="434" t="s">
        <v>433</v>
      </c>
      <c r="B72" s="434"/>
      <c r="C72" s="434"/>
      <c r="D72" s="434"/>
      <c r="E72" s="434"/>
      <c r="F72" s="434"/>
      <c r="G72" s="434"/>
      <c r="H72" s="434"/>
      <c r="I72" s="434"/>
      <c r="J72" s="434"/>
      <c r="K72" s="434"/>
      <c r="L72" s="188"/>
      <c r="M72" s="188"/>
      <c r="N72" s="188"/>
      <c r="O72" s="188"/>
    </row>
    <row r="73" spans="1:17" ht="9" customHeight="1">
      <c r="A73" s="434"/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188"/>
      <c r="M73" s="188"/>
      <c r="N73" s="188"/>
      <c r="O73" s="188"/>
    </row>
    <row r="74" spans="1:17" ht="12.75" customHeight="1">
      <c r="A74" s="514" t="s">
        <v>463</v>
      </c>
      <c r="B74" s="514"/>
      <c r="C74" s="514"/>
      <c r="D74" s="514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4"/>
    </row>
    <row r="75" spans="1:17">
      <c r="A75" s="434" t="s">
        <v>377</v>
      </c>
      <c r="B75" s="434"/>
      <c r="C75" s="434"/>
      <c r="D75" s="434"/>
      <c r="E75" s="434"/>
      <c r="F75" s="434"/>
      <c r="G75" s="434"/>
      <c r="H75" s="434"/>
      <c r="I75" s="434"/>
      <c r="J75" s="434"/>
      <c r="K75" s="434"/>
      <c r="L75" s="188"/>
      <c r="M75" s="188"/>
      <c r="N75" s="188"/>
      <c r="O75" s="188"/>
    </row>
    <row r="76" spans="1:17">
      <c r="A76" s="188"/>
      <c r="B76" s="434"/>
      <c r="C76" s="434"/>
      <c r="D76" s="434"/>
      <c r="E76" s="434"/>
      <c r="F76" s="434"/>
      <c r="G76" s="434"/>
      <c r="H76" s="434"/>
      <c r="I76" s="434"/>
      <c r="J76" s="434"/>
      <c r="K76" s="434"/>
      <c r="L76" s="188"/>
      <c r="M76" s="188"/>
      <c r="N76" s="188"/>
      <c r="O76" s="188"/>
    </row>
    <row r="77" spans="1:17">
      <c r="A77" s="188"/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188"/>
      <c r="M77" s="188"/>
      <c r="N77" s="188"/>
      <c r="O77" s="188"/>
    </row>
    <row r="78" spans="1:17">
      <c r="A78" s="188"/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188"/>
      <c r="O78" s="188"/>
      <c r="P78" s="188"/>
      <c r="Q78" s="188"/>
    </row>
    <row r="79" spans="1:17">
      <c r="A79" s="188"/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/>
      <c r="M79" s="434"/>
      <c r="N79" s="188"/>
      <c r="O79" s="188"/>
      <c r="P79" s="188"/>
      <c r="Q79" s="188"/>
    </row>
    <row r="80" spans="1:17">
      <c r="A80" s="188"/>
      <c r="B80" s="434"/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 s="188"/>
      <c r="O80" s="188"/>
      <c r="P80" s="188"/>
      <c r="Q80" s="188"/>
    </row>
    <row r="81" spans="1:17">
      <c r="A81" s="434"/>
      <c r="B81" s="434"/>
      <c r="C81" s="434"/>
      <c r="D81" s="434"/>
      <c r="E81" s="434"/>
      <c r="F81" s="434"/>
      <c r="G81" s="434"/>
      <c r="H81" s="434"/>
      <c r="I81" s="434"/>
      <c r="J81" s="434"/>
      <c r="K81" s="434"/>
      <c r="L81" s="434"/>
      <c r="M81" s="434"/>
      <c r="N81" s="188"/>
      <c r="O81" s="188"/>
      <c r="P81" s="188"/>
      <c r="Q81" s="188"/>
    </row>
    <row r="82" spans="1:17">
      <c r="A82" s="188"/>
      <c r="B82" s="188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188"/>
      <c r="O82" s="188"/>
      <c r="P82" s="188"/>
      <c r="Q82" s="188"/>
    </row>
    <row r="83" spans="1:17">
      <c r="A83" s="188"/>
      <c r="B83" s="188"/>
      <c r="C83" s="434"/>
      <c r="D83" s="434"/>
      <c r="E83" s="434"/>
      <c r="F83" s="434"/>
      <c r="G83" s="434"/>
      <c r="H83" s="434"/>
      <c r="I83" s="434"/>
      <c r="J83" s="434"/>
      <c r="K83" s="434"/>
      <c r="L83" s="434"/>
      <c r="M83" s="434"/>
      <c r="N83" s="188"/>
      <c r="O83" s="188"/>
      <c r="P83" s="188"/>
      <c r="Q83" s="188"/>
    </row>
    <row r="84" spans="1:17">
      <c r="A84" s="434"/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188"/>
      <c r="O84" s="188"/>
      <c r="P84" s="188"/>
      <c r="Q84" s="188"/>
    </row>
    <row r="85" spans="1:17">
      <c r="A85" s="188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188"/>
      <c r="O85" s="188"/>
      <c r="P85" s="188"/>
      <c r="Q85" s="188"/>
    </row>
    <row r="86" spans="1:17">
      <c r="A86" s="188"/>
      <c r="B86" s="434"/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188"/>
      <c r="O86" s="188"/>
      <c r="P86" s="188"/>
      <c r="Q86" s="188"/>
    </row>
    <row r="87" spans="1:17">
      <c r="A87" s="188"/>
      <c r="B87" s="188"/>
      <c r="C87" s="434"/>
      <c r="D87" s="434"/>
      <c r="E87" s="434"/>
      <c r="F87" s="434"/>
      <c r="G87" s="434"/>
      <c r="H87" s="434"/>
      <c r="I87" s="434"/>
      <c r="J87" s="434"/>
      <c r="K87" s="434"/>
      <c r="L87" s="434"/>
      <c r="M87" s="434"/>
      <c r="N87" s="188"/>
      <c r="O87" s="188"/>
      <c r="P87" s="188"/>
      <c r="Q87" s="188"/>
    </row>
    <row r="88" spans="1:17">
      <c r="A88" s="188"/>
      <c r="B88" s="188"/>
      <c r="C88" s="434"/>
      <c r="D88" s="434"/>
      <c r="E88" s="434"/>
      <c r="F88" s="434"/>
      <c r="G88" s="434"/>
      <c r="H88" s="434"/>
      <c r="I88" s="434"/>
      <c r="J88" s="434"/>
      <c r="K88" s="434"/>
      <c r="L88" s="434"/>
      <c r="M88" s="434"/>
      <c r="N88" s="188"/>
      <c r="O88" s="188"/>
      <c r="P88" s="188"/>
      <c r="Q88" s="188"/>
    </row>
    <row r="89" spans="1:17">
      <c r="A89" s="188"/>
      <c r="B89" s="188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188"/>
      <c r="O89" s="188"/>
      <c r="P89" s="188"/>
      <c r="Q89" s="188"/>
    </row>
    <row r="90" spans="1:17">
      <c r="A90" s="188"/>
      <c r="B90" s="188"/>
      <c r="C90" s="434"/>
      <c r="D90" s="434"/>
      <c r="E90" s="434"/>
      <c r="F90" s="434"/>
      <c r="G90" s="434"/>
      <c r="H90" s="434"/>
      <c r="I90" s="434"/>
      <c r="J90" s="434"/>
      <c r="K90" s="434"/>
      <c r="L90" s="434"/>
      <c r="M90" s="434"/>
      <c r="N90" s="188"/>
      <c r="O90" s="188"/>
      <c r="P90" s="188"/>
      <c r="Q90" s="188"/>
    </row>
    <row r="91" spans="1:17">
      <c r="A91" s="188"/>
      <c r="B91" s="188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188"/>
      <c r="O91" s="188"/>
      <c r="P91" s="188"/>
      <c r="Q91" s="188"/>
    </row>
    <row r="92" spans="1:17">
      <c r="A92" s="188"/>
      <c r="B92" s="188"/>
      <c r="C92" s="514"/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  <c r="O92" s="514"/>
      <c r="P92" s="514"/>
      <c r="Q92" s="514"/>
    </row>
    <row r="93" spans="1:17">
      <c r="A93" s="188"/>
      <c r="B93" s="188"/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/>
  <pageMargins left="0.19685039370078741" right="0.23622047244094491" top="1.0236220472440944" bottom="0.39370078740157483" header="0.19685039370078741" footer="0.19685039370078741"/>
  <pageSetup scale="66" orientation="portrait" cellComments="asDisplayed" r:id="rId1"/>
  <headerFooter alignWithMargins="0">
    <oddHeader>&amp;R&amp;9Toronto Hydro-Electric System Limited
EB-2012-0064
Tab 5
Schedule E
ORIGINAL
page &amp;P of &amp;N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2012-05-08T20:34:07Z</cp:lastPrinted>
  <dcterms:created xsi:type="dcterms:W3CDTF">2001-11-07T16:15:53Z</dcterms:created>
  <dcterms:modified xsi:type="dcterms:W3CDTF">2012-05-08T20:34:27Z</dcterms:modified>
</cp:coreProperties>
</file>