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010" windowHeight="8145" activeTab="0"/>
  </bookViews>
  <sheets>
    <sheet name="REGINFO" sheetId="1" r:id="rId1"/>
    <sheet name="TCAL2002INI" sheetId="2" r:id="rId2"/>
    <sheet name="TAXREC" sheetId="3" r:id="rId3"/>
    <sheet name="SCHED 8 CCA-2002" sheetId="4" r:id="rId4"/>
  </sheets>
  <externalReferences>
    <externalReference r:id="rId7"/>
    <externalReference r:id="rId8"/>
  </externalReferences>
  <definedNames>
    <definedName name="_xlnm.Print_Area" localSheetId="0">'REGINFO'!$A$1:$D$56</definedName>
    <definedName name="_xlnm.Print_Area" localSheetId="2">'TAXREC'!$A$1:$F$320</definedName>
    <definedName name="_xlnm.Print_Area" localSheetId="1">'TCAL2002INI'!$A$1:$L$138</definedName>
    <definedName name="_xlnm.Print_Titles" localSheetId="0">'REGINFO'!$A:$A,'REGINFO'!$1:$6</definedName>
    <definedName name="_xlnm.Print_Titles" localSheetId="2">'TAXREC'!$A:$A,'TAXREC'!$1:$6</definedName>
    <definedName name="_xlnm.Print_Titles" localSheetId="1">'TCAL2002INI'!$A:$A,'TCAL2002INI'!$1:$5</definedName>
  </definedNames>
  <calcPr fullCalcOnLoad="1"/>
</workbook>
</file>

<file path=xl/sharedStrings.xml><?xml version="1.0" encoding="utf-8"?>
<sst xmlns="http://schemas.openxmlformats.org/spreadsheetml/2006/main" count="697" uniqueCount="504">
  <si>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</si>
  <si>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</si>
  <si>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</si>
  <si>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</si>
  <si>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</si>
  <si>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</si>
  <si>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</si>
  <si>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</si>
  <si>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</si>
  <si>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</si>
  <si>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</si>
  <si>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</si>
  <si>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</si>
  <si>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</si>
  <si>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</si>
  <si>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</si>
  <si>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</si>
  <si>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</si>
  <si>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</si>
  <si>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</si>
  <si>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</si>
  <si>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</si>
  <si>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</si>
  <si>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</si>
  <si>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</si>
  <si>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</si>
  <si>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</si>
  <si>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</si>
  <si>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</si>
  <si>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</si>
  <si>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</si>
  <si>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</si>
  <si>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</si>
  <si>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</si>
  <si>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</si>
  <si>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</si>
  <si>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</si>
  <si>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</si>
  <si>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</si>
  <si>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</si>
  <si>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</si>
  <si>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</si>
  <si>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</si>
  <si>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</si>
  <si>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</si>
  <si>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</si>
  <si>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</si>
  <si>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</si>
  <si>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</si>
  <si>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</si>
  <si>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</si>
  <si>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</si>
  <si>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</si>
  <si>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</si>
  <si>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</si>
  <si>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</si>
  <si>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</si>
  <si>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</si>
  <si>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</si>
  <si>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</si>
  <si>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</si>
  <si>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</si>
  <si>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</si>
  <si>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</si>
  <si>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</si>
  <si>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</si>
  <si>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</si>
  <si>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</si>
  <si>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</si>
  <si>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</si>
  <si>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</si>
  <si>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</si>
  <si>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</si>
  <si>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</si>
  <si>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</si>
  <si>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</si>
  <si>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</si>
  <si>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</si>
  <si>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</si>
  <si>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</si>
  <si>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</si>
  <si>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</si>
  <si>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</si>
  <si>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</si>
  <si>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</si>
  <si>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</si>
  <si>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</si>
  <si>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</si>
  <si>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</si>
  <si>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</si>
  <si>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</si>
  <si>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</si>
  <si>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</si>
  <si>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</si>
  <si>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</si>
  <si>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</si>
  <si>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</si>
  <si>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</si>
  <si>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</si>
  <si>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</si>
  <si>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</si>
  <si>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</si>
  <si>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</si>
  <si>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</si>
  <si>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</si>
  <si>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</si>
  <si>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</si>
  <si>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</si>
  <si>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</si>
  <si>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</si>
  <si>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</si>
  <si>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</si>
  <si>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</si>
  <si>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</si>
  <si>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</si>
  <si>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</si>
  <si>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</si>
  <si>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</si>
  <si>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</si>
  <si>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</si>
  <si>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</si>
  <si>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</si>
  <si>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</si>
  <si>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</si>
  <si>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</si>
  <si>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</si>
  <si>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</si>
  <si>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</si>
  <si>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</si>
  <si>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</si>
  <si>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</si>
  <si>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</si>
  <si>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</si>
  <si>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</si>
  <si>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</si>
  <si>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</si>
  <si>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</si>
  <si>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</si>
  <si>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</si>
  <si>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</si>
  <si>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</si>
  <si>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</si>
  <si>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</si>
  <si>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</si>
  <si>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</si>
  <si>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</si>
  <si>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</si>
  <si>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</si>
  <si>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</si>
  <si>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</si>
  <si>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</si>
  <si>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</si>
  <si>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</si>
  <si>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</si>
  <si>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</si>
  <si>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</si>
  <si>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</si>
  <si>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</si>
  <si>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</si>
  <si>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</si>
  <si>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</si>
  <si>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</si>
  <si>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</si>
  <si>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</si>
  <si>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</si>
  <si>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</si>
  <si>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</si>
  <si>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</si>
  <si>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</si>
  <si>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</si>
  <si>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</si>
  <si>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</si>
  <si>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</si>
  <si>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</si>
  <si>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</si>
  <si>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</si>
  <si>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</si>
  <si>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</si>
  <si>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</si>
  <si>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</si>
  <si>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</si>
  <si>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</si>
  <si>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</si>
  <si>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</si>
  <si>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</si>
  <si>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</si>
  <si>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</si>
  <si>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</si>
  <si>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</si>
  <si>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</si>
  <si>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</si>
  <si>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</si>
  <si>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</si>
  <si>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</si>
  <si>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</si>
  <si>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</si>
  <si>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</si>
  <si>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</si>
  <si>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</si>
  <si>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</si>
  <si>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</si>
  <si>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</si>
  <si>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</si>
  <si>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</si>
  <si>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</si>
  <si>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</si>
  <si>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</si>
  <si>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</si>
  <si>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</si>
  <si>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</si>
  <si>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</si>
  <si>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</si>
  <si>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</si>
  <si>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</si>
  <si>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</si>
  <si>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</si>
  <si>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</si>
  <si>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</si>
  <si>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</si>
  <si>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</si>
  <si>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</si>
  <si>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</si>
  <si>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</si>
  <si>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</si>
  <si>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</si>
  <si>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</si>
  <si>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</si>
  <si>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</si>
  <si>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</si>
  <si>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</si>
  <si>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</si>
  <si>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</si>
  <si>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</si>
  <si>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</si>
  <si>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</si>
  <si>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</si>
  <si>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</si>
  <si>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</si>
  <si>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</si>
  <si>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</si>
  <si>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</si>
  <si>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</si>
  <si>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</si>
  <si>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</si>
  <si>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</si>
  <si>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</si>
  <si>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</si>
  <si>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</si>
  <si>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</si>
  <si>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</si>
  <si>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</si>
  <si>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</si>
  <si>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</si>
  <si>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</si>
  <si>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</si>
  <si>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</si>
  <si>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</si>
  <si>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</si>
  <si>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</si>
  <si>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</si>
  <si>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</si>
  <si>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</si>
  <si>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</si>
  <si>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</si>
  <si>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</si>
  <si>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</si>
  <si>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</si>
  <si>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</si>
  <si>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</si>
  <si>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</si>
  <si>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</si>
  <si>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</si>
  <si>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</si>
  <si>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</si>
  <si>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</si>
  <si>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</si>
  <si>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</si>
  <si>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</si>
  <si>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</si>
  <si>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</si>
  <si>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</si>
  <si>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</si>
  <si>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</si>
  <si>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</si>
  <si>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</si>
  <si>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</si>
  <si>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</si>
  <si>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</si>
  <si>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</si>
  <si>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</si>
  <si>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</si>
  <si>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</si>
  <si>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</si>
  <si>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</si>
  <si>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</si>
  <si>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</si>
  <si>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</si>
  <si>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</si>
  <si>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</si>
  <si>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</si>
  <si>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</si>
  <si>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</si>
  <si>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</si>
  <si>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</si>
  <si>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</si>
  <si>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</si>
  <si>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</si>
  <si>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</si>
  <si>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</si>
  <si>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</si>
  <si>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</si>
  <si>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</si>
  <si>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</si>
  <si>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</si>
  <si>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</si>
  <si>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</si>
  <si>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</si>
  <si>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</si>
  <si>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</si>
  <si>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</si>
  <si>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</si>
  <si>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</si>
  <si>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</si>
  <si>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</si>
  <si>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</si>
  <si>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</si>
  <si>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</si>
  <si>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</si>
  <si>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</si>
  <si>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</si>
  <si>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</si>
  <si>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</si>
  <si>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</si>
  <si>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</si>
  <si>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</si>
  <si>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</si>
  <si>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</si>
  <si>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</si>
  <si>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</si>
  <si>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</si>
  <si>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</si>
  <si>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</si>
  <si>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</si>
  <si>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</si>
  <si>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</si>
  <si>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</si>
  <si>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</si>
  <si>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</si>
  <si>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</si>
  <si>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</si>
  <si>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</si>
  <si>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</si>
  <si>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</si>
  <si>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</si>
  <si>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</si>
  <si>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</si>
  <si>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</si>
  <si>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</si>
  <si>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</si>
  <si>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</si>
  <si>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</si>
  <si>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</si>
  <si>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</si>
  <si>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</si>
  <si>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</si>
  <si>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</si>
  <si>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</si>
  <si>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</si>
  <si>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</si>
  <si>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</si>
  <si>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</si>
  <si>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</si>
  <si>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</si>
  <si>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</si>
  <si>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</si>
  <si>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</si>
  <si>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</si>
  <si>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</si>
  <si>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</si>
  <si>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</si>
  <si>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</si>
  <si>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</si>
  <si>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</si>
  <si>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</si>
  <si>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Was the utility recently acquired by Hydro One</t>
  </si>
  <si>
    <t xml:space="preserve"> and now subject to s.89 &amp; 90 PILs?</t>
  </si>
  <si>
    <t>Accounting Year End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</si>
  <si>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</si>
  <si>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</si>
  <si>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</si>
  <si>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</si>
  <si>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</si>
  <si>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</si>
  <si>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</si>
  <si>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</si>
  <si>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</si>
  <si>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</si>
  <si>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</si>
  <si>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</si>
  <si>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</si>
  <si>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</si>
  <si>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</si>
  <si>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</si>
  <si>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</si>
  <si>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</si>
  <si>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</si>
  <si>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</si>
  <si>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</si>
  <si>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</si>
  <si>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</si>
  <si>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</si>
  <si>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</si>
  <si>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</si>
  <si>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</si>
  <si>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</si>
  <si>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</si>
  <si>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</si>
  <si>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</si>
  <si>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</si>
  <si>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</si>
  <si>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</si>
  <si>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</si>
  <si>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</si>
  <si>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</si>
  <si>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</si>
  <si>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</si>
  <si>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</si>
  <si>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</si>
  <si>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</si>
  <si>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</si>
  <si>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</si>
  <si>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</si>
  <si>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</si>
  <si>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</si>
  <si>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</si>
  <si>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</si>
  <si>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</si>
  <si>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</si>
  <si>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</si>
  <si>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</si>
  <si>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</si>
  <si>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</si>
  <si>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</si>
  <si>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</si>
  <si>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</si>
  <si>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</si>
  <si>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</si>
  <si>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</si>
  <si>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</si>
  <si>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Y</t>
  </si>
  <si>
    <t>N</t>
  </si>
  <si>
    <t>CAPITAL COST ALLOWANCE-SUMMARY - SCHEDULE 8</t>
  </si>
  <si>
    <t>UCC end of</t>
  </si>
  <si>
    <t>UCC before</t>
  </si>
  <si>
    <t>Reduction:</t>
  </si>
  <si>
    <t>UCC after</t>
  </si>
  <si>
    <t>Rate</t>
  </si>
  <si>
    <t>CCA</t>
  </si>
  <si>
    <t>No</t>
  </si>
  <si>
    <t>Description</t>
  </si>
  <si>
    <t>Class</t>
  </si>
  <si>
    <t>prior year</t>
  </si>
  <si>
    <t>Add'ns</t>
  </si>
  <si>
    <t>Disp</t>
  </si>
  <si>
    <t>Reduction</t>
  </si>
  <si>
    <t>50% of net</t>
  </si>
  <si>
    <t>Claimed</t>
  </si>
  <si>
    <t>current year</t>
  </si>
  <si>
    <t>additions</t>
  </si>
  <si>
    <t>Land-Before 1987</t>
  </si>
  <si>
    <t>N/A</t>
  </si>
  <si>
    <t>Land Rights</t>
  </si>
  <si>
    <t>Buildings-Before 1988</t>
  </si>
  <si>
    <t>MS Stat Equip-After 1987</t>
  </si>
  <si>
    <t>MS Stat Equip-Before 1988</t>
  </si>
  <si>
    <t>SubTrans Feed O/H -After 1987</t>
  </si>
  <si>
    <t>SubTrans Feed O/H -Before 1988</t>
  </si>
  <si>
    <t>SubTrans Feed U/G -After 1987</t>
  </si>
  <si>
    <t>SubTrans Feed U/G -Before 1988</t>
  </si>
  <si>
    <t>O/H Dist Lines &amp; Feeders-Before 1988</t>
  </si>
  <si>
    <t>O/H Dist Lines &amp; Feeders-After 1987</t>
  </si>
  <si>
    <t>U/G Dist Lines &amp; Feeders-Before 1988</t>
  </si>
  <si>
    <t>U/G Dist Lines &amp; Feeders-After 1987</t>
  </si>
  <si>
    <t>Dist'n Transformers-After 1987</t>
  </si>
  <si>
    <t>Dist'n Transformers-Before 1988</t>
  </si>
  <si>
    <t>Dist'n Meters -After 1987</t>
  </si>
  <si>
    <t>Dist'n Meters -Before 1988</t>
  </si>
  <si>
    <t>General Office Equipment</t>
  </si>
  <si>
    <t>Computer Equipment</t>
  </si>
  <si>
    <t>Stores Equipment</t>
  </si>
  <si>
    <t>Rolling Stock</t>
  </si>
  <si>
    <t>Misc., Tools</t>
  </si>
  <si>
    <t>Supervisory System Equipment</t>
  </si>
  <si>
    <t>Totals</t>
  </si>
  <si>
    <t xml:space="preserve">Utility Name: Veridian Connections </t>
  </si>
  <si>
    <t>Buildings-After 1987</t>
  </si>
  <si>
    <t>Buildings-Other-After 1987</t>
  </si>
  <si>
    <t>1/2 year does not</t>
  </si>
  <si>
    <t>apply for 2002</t>
  </si>
  <si>
    <t>FOR 2002 PILS PROXY CALCULATIONS</t>
  </si>
  <si>
    <t>Reporting period: Year 2002, January 2002</t>
  </si>
  <si>
    <t>Deferred Software  - Systems</t>
  </si>
  <si>
    <t>Deferred Software  - Applications</t>
  </si>
  <si>
    <t>Version 2 - Feb 27, 2002 - Amended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</si>
</sst>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  <numFmt numFmtId="166" formatCode="#,##0.0_);\(#,##0.0\)"/>
    <numFmt numFmtId="167" formatCode="0.00000%"/>
    <numFmt numFmtId="168" formatCode="&quot;$&quot;#,##0"/>
    <numFmt numFmtId="169" formatCode="&quot;$&quot;#,##0.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7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65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64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64" fontId="0" fillId="33" borderId="0" xfId="0" applyNumberFormat="1" applyFill="1" applyAlignment="1">
      <alignment vertical="top"/>
    </xf>
    <xf numFmtId="167" fontId="0" fillId="33" borderId="0" xfId="0" applyNumberFormat="1" applyFill="1" applyAlignment="1">
      <alignment vertical="top"/>
    </xf>
    <xf numFmtId="167" fontId="0" fillId="33" borderId="0" xfId="0" applyNumberFormat="1" applyFill="1" applyBorder="1" applyAlignment="1">
      <alignment horizontal="right" vertical="top"/>
    </xf>
    <xf numFmtId="164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/>
    </xf>
    <xf numFmtId="7" fontId="0" fillId="0" borderId="0" xfId="45" applyFont="1" applyAlignment="1">
      <alignment vertical="top"/>
    </xf>
    <xf numFmtId="0" fontId="3" fillId="0" borderId="0" xfId="59" applyFont="1" applyBorder="1">
      <alignment/>
      <protection/>
    </xf>
    <xf numFmtId="0" fontId="0" fillId="0" borderId="0" xfId="59">
      <alignment/>
      <protection/>
    </xf>
    <xf numFmtId="7" fontId="0" fillId="0" borderId="0" xfId="45" applyAlignment="1">
      <alignment/>
    </xf>
    <xf numFmtId="0" fontId="3" fillId="0" borderId="0" xfId="59" applyFont="1">
      <alignment/>
      <protection/>
    </xf>
    <xf numFmtId="0" fontId="0" fillId="37" borderId="0" xfId="59" applyFill="1" applyAlignment="1">
      <alignment horizontal="center"/>
      <protection/>
    </xf>
    <xf numFmtId="7" fontId="0" fillId="37" borderId="0" xfId="45" applyFill="1" applyAlignment="1">
      <alignment horizontal="center"/>
    </xf>
    <xf numFmtId="7" fontId="0" fillId="37" borderId="0" xfId="45" applyFont="1" applyFill="1" applyAlignment="1">
      <alignment horizontal="center"/>
    </xf>
    <xf numFmtId="0" fontId="0" fillId="0" borderId="0" xfId="59" applyFont="1">
      <alignment/>
      <protection/>
    </xf>
    <xf numFmtId="10" fontId="0" fillId="0" borderId="0" xfId="62" applyAlignment="1">
      <alignment/>
    </xf>
    <xf numFmtId="7" fontId="3" fillId="0" borderId="0" xfId="45" applyFont="1" applyAlignment="1">
      <alignment/>
    </xf>
    <xf numFmtId="7" fontId="0" fillId="0" borderId="0" xfId="45" applyFont="1" applyAlignment="1" quotePrefix="1">
      <alignment horizontal="center"/>
    </xf>
    <xf numFmtId="7" fontId="0" fillId="0" borderId="0" xfId="45" applyFont="1" applyAlignment="1">
      <alignment horizontal="center"/>
    </xf>
    <xf numFmtId="0" fontId="2" fillId="0" borderId="0" xfId="0" applyFont="1" applyAlignment="1">
      <alignment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Book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idian%20Connections-PILSPROXQ42001-0227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nalized%20Split%20on%20Capital%20Ta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CALCQ401EST"/>
      <sheetName val="TAXREC"/>
      <sheetName val="SCHED 8 CCA-Q42001"/>
    </sheetNames>
    <sheetDataSet>
      <sheetData sheetId="3">
        <row r="12">
          <cell r="M12">
            <v>1938393.17</v>
          </cell>
        </row>
        <row r="13">
          <cell r="M13">
            <v>103914.57</v>
          </cell>
        </row>
        <row r="14">
          <cell r="M14">
            <v>725598.162585863</v>
          </cell>
        </row>
        <row r="15">
          <cell r="M15">
            <v>8354961.75994994</v>
          </cell>
        </row>
        <row r="16">
          <cell r="M16">
            <v>25601.23616438356</v>
          </cell>
        </row>
        <row r="17">
          <cell r="M17">
            <v>5718859.865123308</v>
          </cell>
        </row>
        <row r="18">
          <cell r="M18">
            <v>2562833.873830926</v>
          </cell>
        </row>
        <row r="19">
          <cell r="M19">
            <v>4514527.679888417</v>
          </cell>
        </row>
        <row r="20">
          <cell r="M20">
            <v>1056280.5915051836</v>
          </cell>
        </row>
        <row r="21">
          <cell r="M21">
            <v>521160.48405488225</v>
          </cell>
        </row>
        <row r="22">
          <cell r="M22">
            <v>121937.82902671781</v>
          </cell>
        </row>
        <row r="23">
          <cell r="M23">
            <v>13494576.682324164</v>
          </cell>
        </row>
        <row r="24">
          <cell r="M24">
            <v>5798078.386806903</v>
          </cell>
        </row>
        <row r="25">
          <cell r="M25">
            <v>5947180.6574921645</v>
          </cell>
        </row>
        <row r="26">
          <cell r="M26">
            <v>19960693.34566367</v>
          </cell>
        </row>
        <row r="27">
          <cell r="M27">
            <v>15016707.81215299</v>
          </cell>
        </row>
        <row r="28">
          <cell r="M28">
            <v>3744666.4265573705</v>
          </cell>
        </row>
        <row r="29">
          <cell r="M29">
            <v>2864772.953512439</v>
          </cell>
        </row>
        <row r="30">
          <cell r="M30">
            <v>1472053.475850521</v>
          </cell>
        </row>
        <row r="31">
          <cell r="M31">
            <v>295809.71225753427</v>
          </cell>
        </row>
        <row r="32">
          <cell r="M32">
            <v>489810.44212602737</v>
          </cell>
        </row>
        <row r="33">
          <cell r="M33">
            <v>42250.68461917808</v>
          </cell>
        </row>
        <row r="34">
          <cell r="M34">
            <v>987205.3224767124</v>
          </cell>
        </row>
        <row r="35">
          <cell r="M35">
            <v>432404.49059178086</v>
          </cell>
        </row>
        <row r="36">
          <cell r="M36">
            <v>937560.5407978082</v>
          </cell>
        </row>
        <row r="37">
          <cell r="M37">
            <v>379399.19506849314</v>
          </cell>
        </row>
        <row r="38">
          <cell r="M38">
            <v>333864.3075342466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oc of Taxable Capital &amp; Exem"/>
      <sheetName val="Sheet2"/>
      <sheetName val="Sheet3"/>
    </sheetNames>
    <sheetDataSet>
      <sheetData sheetId="0">
        <row r="10">
          <cell r="D10">
            <v>7763091.915188302</v>
          </cell>
          <cell r="E10">
            <v>3881545.957594151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6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439</v>
      </c>
      <c r="C1" s="10"/>
      <c r="G1" s="10"/>
      <c r="H1" s="10"/>
    </row>
    <row r="2" spans="1:8" ht="12.75">
      <c r="A2" s="2" t="s">
        <v>378</v>
      </c>
      <c r="B2" s="10"/>
      <c r="C2" s="10"/>
      <c r="D2" s="10"/>
      <c r="G2" s="10"/>
      <c r="H2" s="10"/>
    </row>
    <row r="3" spans="1:8" ht="12.75">
      <c r="A3" s="2" t="s">
        <v>503</v>
      </c>
      <c r="B3" s="10"/>
      <c r="C3" s="10"/>
      <c r="D3" s="10"/>
      <c r="E3" s="10"/>
      <c r="G3" s="10"/>
      <c r="H3" s="10"/>
    </row>
    <row r="4" spans="1:8" ht="15.75">
      <c r="A4" s="171" t="s">
        <v>494</v>
      </c>
      <c r="C4" s="10"/>
      <c r="D4" s="50" t="s">
        <v>379</v>
      </c>
      <c r="E4" s="10"/>
      <c r="G4" s="10"/>
      <c r="H4" s="10"/>
    </row>
    <row r="5" spans="1:8" ht="13.5" thickBot="1">
      <c r="A5" t="s">
        <v>500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380</v>
      </c>
      <c r="B7" s="3"/>
      <c r="C7" s="45"/>
      <c r="D7" s="3"/>
      <c r="E7" s="3"/>
      <c r="F7" s="3"/>
      <c r="G7" s="3"/>
      <c r="H7" s="3"/>
    </row>
    <row r="8" spans="1:8" ht="12.75">
      <c r="A8" s="3" t="s">
        <v>381</v>
      </c>
      <c r="B8" s="3"/>
      <c r="C8" s="117"/>
      <c r="D8" s="45"/>
      <c r="E8" s="3"/>
      <c r="F8" s="3"/>
      <c r="G8" s="3"/>
      <c r="H8" s="3"/>
    </row>
    <row r="9" spans="1:8" ht="12.75">
      <c r="A9" s="3" t="s">
        <v>382</v>
      </c>
      <c r="C9" s="45"/>
      <c r="D9" s="45"/>
      <c r="E9" s="3"/>
      <c r="F9" s="3"/>
      <c r="G9" s="3"/>
      <c r="H9" s="3"/>
    </row>
    <row r="10" spans="1:8" ht="12.75">
      <c r="A10" s="3" t="s">
        <v>383</v>
      </c>
      <c r="C10" s="45" t="s">
        <v>449</v>
      </c>
      <c r="D10" s="45"/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384</v>
      </c>
      <c r="C12" s="45"/>
      <c r="D12" s="45"/>
      <c r="E12" s="3"/>
      <c r="F12" s="3"/>
      <c r="G12" s="3"/>
    </row>
    <row r="13" spans="1:4" ht="12.75">
      <c r="A13" s="3" t="s">
        <v>385</v>
      </c>
      <c r="C13" s="10" t="s">
        <v>450</v>
      </c>
      <c r="D13" s="10"/>
    </row>
    <row r="14" spans="1:4" ht="12.75">
      <c r="A14" s="3"/>
      <c r="C14" s="10"/>
      <c r="D14" s="10"/>
    </row>
    <row r="15" spans="1:4" ht="12.75">
      <c r="A15" s="4" t="s">
        <v>386</v>
      </c>
      <c r="C15" s="157">
        <v>37256</v>
      </c>
      <c r="D15" s="10"/>
    </row>
    <row r="16" spans="1:3" ht="12.75">
      <c r="A16" s="3"/>
      <c r="C16" s="10"/>
    </row>
    <row r="17" spans="1:3" ht="12.75">
      <c r="A17" s="118" t="s">
        <v>387</v>
      </c>
      <c r="C17" s="10"/>
    </row>
    <row r="18" spans="1:3" ht="12.75">
      <c r="A18" s="119" t="s">
        <v>388</v>
      </c>
      <c r="C18" s="10"/>
    </row>
    <row r="19" spans="1:3" ht="12.75">
      <c r="A19" s="119" t="s">
        <v>389</v>
      </c>
      <c r="C19" s="120"/>
    </row>
    <row r="20" ht="12.75">
      <c r="A20" s="121" t="s">
        <v>390</v>
      </c>
    </row>
    <row r="21" ht="12.75">
      <c r="A21" s="115"/>
    </row>
    <row r="22" spans="1:8" ht="12.75">
      <c r="A22" t="s">
        <v>391</v>
      </c>
      <c r="D22" s="158">
        <v>112542659.47</v>
      </c>
      <c r="H22" s="5"/>
    </row>
    <row r="24" spans="1:8" ht="12.75">
      <c r="A24" t="s">
        <v>392</v>
      </c>
      <c r="D24" s="122">
        <v>0.45</v>
      </c>
      <c r="H24" s="122"/>
    </row>
    <row r="25" ht="12.75">
      <c r="H25" s="114"/>
    </row>
    <row r="26" spans="1:10" ht="12.75">
      <c r="A26" t="s">
        <v>393</v>
      </c>
      <c r="D26" s="123">
        <f>1-D24</f>
        <v>0.55</v>
      </c>
      <c r="F26" s="122"/>
      <c r="H26" s="126"/>
      <c r="J26" s="122"/>
    </row>
    <row r="27" ht="12.75">
      <c r="H27" s="114"/>
    </row>
    <row r="28" spans="1:8" ht="12.75">
      <c r="A28" t="s">
        <v>394</v>
      </c>
      <c r="D28" s="122">
        <v>0.0988</v>
      </c>
      <c r="H28" s="126"/>
    </row>
    <row r="29" ht="12.75">
      <c r="H29" s="114"/>
    </row>
    <row r="30" spans="1:8" ht="12.75">
      <c r="A30" t="s">
        <v>395</v>
      </c>
      <c r="D30" s="122">
        <v>0.07</v>
      </c>
      <c r="H30" s="126"/>
    </row>
    <row r="31" ht="12.75">
      <c r="H31" s="114"/>
    </row>
    <row r="32" spans="1:8" ht="12.75">
      <c r="A32" t="s">
        <v>396</v>
      </c>
      <c r="D32" s="124">
        <f>D22*((D24*D28)+(D26*D30))</f>
        <v>9336539.029631201</v>
      </c>
      <c r="H32" s="125"/>
    </row>
    <row r="33" spans="4:8" ht="12.75">
      <c r="D33" s="67"/>
      <c r="H33" s="125"/>
    </row>
    <row r="34" spans="1:11" ht="12.75">
      <c r="A34" t="s">
        <v>397</v>
      </c>
      <c r="D34" s="158">
        <v>1515610.69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398</v>
      </c>
      <c r="D36" s="124">
        <f>D32-D34</f>
        <v>7820928.339631202</v>
      </c>
      <c r="H36" s="125"/>
      <c r="J36" s="5"/>
      <c r="K36" s="5"/>
    </row>
    <row r="37" spans="1:11" ht="12.75">
      <c r="A37" t="s">
        <v>399</v>
      </c>
      <c r="D37" s="125"/>
      <c r="H37" s="125"/>
      <c r="J37" s="5"/>
      <c r="K37" s="5"/>
    </row>
    <row r="38" spans="1:11" ht="12.75">
      <c r="A38" t="s">
        <v>400</v>
      </c>
      <c r="D38" s="125"/>
      <c r="H38" s="125"/>
      <c r="J38" s="5"/>
      <c r="K38" s="5"/>
    </row>
    <row r="39" spans="1:11" ht="12.75">
      <c r="A39" t="s">
        <v>401</v>
      </c>
      <c r="D39" s="125">
        <f>$D$36/3</f>
        <v>2606976.1132104006</v>
      </c>
      <c r="F39" s="67"/>
      <c r="H39" s="125"/>
      <c r="J39" s="5"/>
      <c r="K39" s="5"/>
    </row>
    <row r="40" spans="1:11" ht="12.75">
      <c r="A40" t="s">
        <v>402</v>
      </c>
      <c r="D40" s="125">
        <f>$D$36/3</f>
        <v>2606976.1132104006</v>
      </c>
      <c r="F40" s="67"/>
      <c r="H40" s="125"/>
      <c r="J40" s="5"/>
      <c r="K40" s="5"/>
    </row>
    <row r="41" spans="1:11" ht="12.75">
      <c r="A41" t="s">
        <v>403</v>
      </c>
      <c r="D41" s="125">
        <f>$D$36/3</f>
        <v>2606976.1132104006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404</v>
      </c>
      <c r="B43" s="5"/>
      <c r="C43" s="5"/>
      <c r="D43" s="89">
        <f>D22*D24</f>
        <v>50644196.7615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405</v>
      </c>
      <c r="B45" s="5"/>
      <c r="C45" s="5"/>
      <c r="D45" s="89">
        <f>D43*D28</f>
        <v>5003646.6400362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406</v>
      </c>
      <c r="B47" s="5"/>
      <c r="C47" s="5"/>
      <c r="D47" s="89">
        <f>D22*D26</f>
        <v>61898462.708500005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407</v>
      </c>
      <c r="B49" s="5"/>
      <c r="C49" s="5"/>
      <c r="D49" s="89">
        <f>D47*D30</f>
        <v>4332892.389595001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408</v>
      </c>
      <c r="B51" s="5"/>
      <c r="C51" s="5"/>
      <c r="D51" s="112">
        <f>((D34+D39)/D32)*D49</f>
        <v>1913206.2671600822</v>
      </c>
      <c r="F51" s="5"/>
      <c r="H51" s="111"/>
      <c r="J51" s="5"/>
      <c r="K51" s="5"/>
    </row>
    <row r="52" spans="1:11" ht="12.75">
      <c r="A52" t="s">
        <v>409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410</v>
      </c>
      <c r="B53" s="5"/>
      <c r="C53" s="5"/>
      <c r="D53" s="112">
        <f>((D34+D39+D40)/D32)*D49</f>
        <v>3123049.3283775416</v>
      </c>
      <c r="F53" s="5"/>
      <c r="H53" s="111"/>
      <c r="J53" s="5"/>
      <c r="K53" s="5"/>
    </row>
    <row r="54" spans="1:11" ht="12.75">
      <c r="A54" t="s">
        <v>411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412</v>
      </c>
      <c r="B55" s="5"/>
      <c r="C55" s="5"/>
      <c r="D55" s="112">
        <f>D49</f>
        <v>4332892.389595001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2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48"/>
  <sheetViews>
    <sheetView tabSelected="1" zoomScalePageLayoutView="0" workbookViewId="0" topLeftCell="A1">
      <pane xSplit="2" ySplit="5" topLeftCell="C72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440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325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324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138</v>
      </c>
      <c r="C4" s="24"/>
      <c r="D4" s="35" t="s">
        <v>5</v>
      </c>
      <c r="E4" s="10" t="s">
        <v>217</v>
      </c>
      <c r="F4" s="10" t="s">
        <v>91</v>
      </c>
      <c r="G4" s="38"/>
      <c r="H4" s="35" t="s">
        <v>5</v>
      </c>
      <c r="I4" s="10" t="s">
        <v>218</v>
      </c>
      <c r="J4" s="10" t="s">
        <v>91</v>
      </c>
      <c r="K4" s="34" t="s">
        <v>133</v>
      </c>
      <c r="L4" s="35" t="s">
        <v>5</v>
      </c>
    </row>
    <row r="5" spans="1:12" ht="13.5" thickBot="1">
      <c r="A5" s="2" t="s">
        <v>503</v>
      </c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5.75">
      <c r="A7" s="171" t="str">
        <f>REGINFO!A4</f>
        <v>Utility Name: Veridian Connections 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432</v>
      </c>
      <c r="L7" s="35"/>
    </row>
    <row r="8" spans="1:12" ht="12.75">
      <c r="A8" t="str">
        <f>REGINFO!A5</f>
        <v>Reporting period: Year 2002, January 2002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438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433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434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435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>
        <f>REGINFO!D34+REGINFO!D39+REGINFO!D40</f>
        <v>6729562.916420801</v>
      </c>
      <c r="D15" s="28" t="s">
        <v>141</v>
      </c>
      <c r="E15" s="92">
        <f>+G15-C15</f>
        <v>-6729562.916420801</v>
      </c>
      <c r="F15" s="10"/>
      <c r="G15" s="70"/>
      <c r="H15" s="35" t="s">
        <v>142</v>
      </c>
      <c r="I15" s="92">
        <f>+K15-G15</f>
        <v>0</v>
      </c>
      <c r="K15" s="100">
        <f>TAXREC!E26</f>
        <v>0</v>
      </c>
      <c r="L15" s="35" t="s">
        <v>143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215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>
        <f>2509927+1022752+2147384+88537</f>
        <v>5768600</v>
      </c>
      <c r="D20" s="30" t="s">
        <v>144</v>
      </c>
      <c r="E20" s="92">
        <f>+G20-C20</f>
        <v>-5768600</v>
      </c>
      <c r="F20" s="5"/>
      <c r="G20" s="70"/>
      <c r="H20" s="39" t="s">
        <v>145</v>
      </c>
      <c r="I20" s="92">
        <f>+K20-G20</f>
        <v>0</v>
      </c>
      <c r="J20" s="5"/>
      <c r="K20" s="100">
        <f>TAXREC!E29</f>
        <v>0</v>
      </c>
      <c r="L20" s="35" t="s">
        <v>146</v>
      </c>
    </row>
    <row r="21" spans="1:12" ht="12.75">
      <c r="A21" t="s">
        <v>86</v>
      </c>
      <c r="B21" s="10">
        <v>3</v>
      </c>
      <c r="C21" s="64"/>
      <c r="D21" s="30" t="s">
        <v>147</v>
      </c>
      <c r="E21" s="92">
        <f>+G21-C21</f>
        <v>0</v>
      </c>
      <c r="F21" s="5"/>
      <c r="G21" s="70"/>
      <c r="H21" s="39" t="s">
        <v>148</v>
      </c>
      <c r="I21" s="92">
        <f>+K21-G21</f>
        <v>0</v>
      </c>
      <c r="J21" s="5"/>
      <c r="K21" s="100">
        <f>TAXREC!E30</f>
        <v>0</v>
      </c>
      <c r="L21" s="35" t="s">
        <v>149</v>
      </c>
    </row>
    <row r="22" spans="1:12" ht="12.75">
      <c r="A22" t="s">
        <v>362</v>
      </c>
      <c r="B22" s="10">
        <v>4</v>
      </c>
      <c r="C22" s="64"/>
      <c r="D22" s="23" t="s">
        <v>150</v>
      </c>
      <c r="E22" s="92">
        <f>+G22-C22</f>
        <v>0</v>
      </c>
      <c r="F22" s="5"/>
      <c r="G22" s="70"/>
      <c r="H22" s="39" t="s">
        <v>151</v>
      </c>
      <c r="I22" s="92">
        <f>+K22-G22</f>
        <v>0</v>
      </c>
      <c r="J22" s="5"/>
      <c r="K22" s="100">
        <f>TAXREC!E31</f>
        <v>0</v>
      </c>
      <c r="L22" s="35" t="s">
        <v>152</v>
      </c>
    </row>
    <row r="23" spans="1:12" ht="12.75">
      <c r="A23" t="s">
        <v>363</v>
      </c>
      <c r="B23" s="10">
        <v>5</v>
      </c>
      <c r="C23" s="64"/>
      <c r="D23" s="30" t="s">
        <v>153</v>
      </c>
      <c r="E23" s="92">
        <f>+G23-C23</f>
        <v>0</v>
      </c>
      <c r="F23" s="5"/>
      <c r="G23" s="70"/>
      <c r="H23" s="39" t="s">
        <v>154</v>
      </c>
      <c r="I23" s="92">
        <f>+K23-G23</f>
        <v>0</v>
      </c>
      <c r="J23" s="5"/>
      <c r="K23" s="100">
        <f>TAXREC!E32</f>
        <v>0</v>
      </c>
      <c r="L23" s="35" t="s">
        <v>155</v>
      </c>
    </row>
    <row r="24" spans="1:12" ht="12.75">
      <c r="A24" t="s">
        <v>156</v>
      </c>
      <c r="B24" s="10">
        <v>6</v>
      </c>
      <c r="C24" s="64"/>
      <c r="D24" s="30" t="s">
        <v>157</v>
      </c>
      <c r="E24" s="92">
        <f>+G24-C24</f>
        <v>0</v>
      </c>
      <c r="F24" s="5"/>
      <c r="G24" s="70"/>
      <c r="H24" s="39" t="s">
        <v>158</v>
      </c>
      <c r="I24" s="92">
        <f>+K24-G24</f>
        <v>0</v>
      </c>
      <c r="J24" s="5"/>
      <c r="K24" s="100">
        <f>TAXREC!E33</f>
        <v>0</v>
      </c>
      <c r="L24" s="35" t="s">
        <v>159</v>
      </c>
    </row>
    <row r="25" spans="1:12" ht="12.75">
      <c r="A25" t="s">
        <v>351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350</v>
      </c>
      <c r="B26" s="10">
        <v>7</v>
      </c>
      <c r="C26" s="64"/>
      <c r="D26" s="30" t="s">
        <v>160</v>
      </c>
      <c r="E26" s="92">
        <f>+G26-C26</f>
        <v>0</v>
      </c>
      <c r="F26" s="5"/>
      <c r="G26" s="70"/>
      <c r="H26" s="39" t="s">
        <v>161</v>
      </c>
      <c r="I26" s="92">
        <f>+K26-G26</f>
        <v>0</v>
      </c>
      <c r="J26" s="5"/>
      <c r="K26" s="100">
        <f>TAXREC!E34</f>
        <v>0</v>
      </c>
      <c r="L26" s="35" t="s">
        <v>162</v>
      </c>
    </row>
    <row r="27" spans="1:12" ht="12.75">
      <c r="A27" t="s">
        <v>357</v>
      </c>
      <c r="B27" s="10">
        <v>7</v>
      </c>
      <c r="C27" s="64"/>
      <c r="D27" s="30" t="s">
        <v>160</v>
      </c>
      <c r="E27" s="92">
        <f>+G27-C27</f>
        <v>0</v>
      </c>
      <c r="F27" s="5"/>
      <c r="G27" s="70"/>
      <c r="H27" s="39" t="s">
        <v>161</v>
      </c>
      <c r="I27" s="92">
        <f>+K27-G27</f>
        <v>0</v>
      </c>
      <c r="J27" s="5"/>
      <c r="K27" s="100">
        <f>TAXREC!E35</f>
        <v>0</v>
      </c>
      <c r="L27" s="35" t="s">
        <v>162</v>
      </c>
    </row>
    <row r="28" spans="1:12" ht="12.75">
      <c r="A28" t="s">
        <v>420</v>
      </c>
      <c r="B28" s="10">
        <v>7</v>
      </c>
      <c r="C28" s="64"/>
      <c r="D28" s="30" t="s">
        <v>160</v>
      </c>
      <c r="E28" s="92">
        <f>+G28-C28</f>
        <v>0</v>
      </c>
      <c r="F28" s="5"/>
      <c r="G28" s="70"/>
      <c r="H28" s="39" t="s">
        <v>161</v>
      </c>
      <c r="I28" s="92">
        <f>+K28-G28</f>
        <v>0</v>
      </c>
      <c r="J28" s="5"/>
      <c r="K28" s="100">
        <f>TAXREC!E84</f>
        <v>0</v>
      </c>
      <c r="L28" s="35" t="s">
        <v>162</v>
      </c>
    </row>
    <row r="29" spans="1:12" ht="12.75">
      <c r="A29" s="15" t="s">
        <v>216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364</v>
      </c>
      <c r="B30" s="10">
        <v>8</v>
      </c>
      <c r="C30" s="64">
        <f>-'SCHED 8 CCA-2002'!K39</f>
        <v>-5335186.489988285</v>
      </c>
      <c r="D30" s="30" t="s">
        <v>163</v>
      </c>
      <c r="E30" s="92">
        <f>+G30-C30</f>
        <v>5335186.489988285</v>
      </c>
      <c r="F30" s="5"/>
      <c r="G30" s="70"/>
      <c r="H30" s="39" t="s">
        <v>164</v>
      </c>
      <c r="I30" s="92">
        <f>+K30-G30</f>
        <v>0</v>
      </c>
      <c r="J30" s="5"/>
      <c r="K30" s="100">
        <f>TAXREC!E89</f>
        <v>0</v>
      </c>
      <c r="L30" s="35" t="s">
        <v>165</v>
      </c>
    </row>
    <row r="31" spans="1:12" ht="12.75">
      <c r="A31" t="s">
        <v>365</v>
      </c>
      <c r="B31" s="10">
        <v>9</v>
      </c>
      <c r="C31" s="64"/>
      <c r="D31" s="30" t="s">
        <v>166</v>
      </c>
      <c r="E31" s="92">
        <f>+G31-C31</f>
        <v>0</v>
      </c>
      <c r="F31" s="5"/>
      <c r="G31" s="70"/>
      <c r="H31" s="39" t="s">
        <v>167</v>
      </c>
      <c r="I31" s="92">
        <f>+K31-G31</f>
        <v>0</v>
      </c>
      <c r="J31" s="5"/>
      <c r="K31" s="100">
        <f>TAXREC!E90</f>
        <v>0</v>
      </c>
      <c r="L31" s="35" t="s">
        <v>168</v>
      </c>
    </row>
    <row r="32" spans="1:12" ht="12.75">
      <c r="A32" t="s">
        <v>169</v>
      </c>
      <c r="B32" s="10">
        <v>10</v>
      </c>
      <c r="C32" s="64"/>
      <c r="D32" s="30" t="s">
        <v>170</v>
      </c>
      <c r="E32" s="92">
        <f>+G32-C32</f>
        <v>0</v>
      </c>
      <c r="F32" s="5"/>
      <c r="G32" s="70"/>
      <c r="H32" s="39" t="s">
        <v>171</v>
      </c>
      <c r="I32" s="92">
        <f>+K32-G32</f>
        <v>0</v>
      </c>
      <c r="J32" s="5"/>
      <c r="K32" s="100">
        <f>TAXREC!E91</f>
        <v>0</v>
      </c>
      <c r="L32" s="35" t="s">
        <v>172</v>
      </c>
    </row>
    <row r="33" spans="1:12" ht="12.75">
      <c r="A33" t="s">
        <v>156</v>
      </c>
      <c r="B33" s="10">
        <v>11</v>
      </c>
      <c r="C33" s="64"/>
      <c r="D33" s="30" t="s">
        <v>173</v>
      </c>
      <c r="E33" s="92">
        <f>+G33-C33</f>
        <v>0</v>
      </c>
      <c r="F33" s="5"/>
      <c r="G33" s="70"/>
      <c r="H33" s="39" t="s">
        <v>174</v>
      </c>
      <c r="I33" s="92">
        <f>+K33-G33</f>
        <v>0</v>
      </c>
      <c r="J33" s="5"/>
      <c r="K33" s="100">
        <f>TAXREC!E92</f>
        <v>0</v>
      </c>
      <c r="L33" s="35" t="s">
        <v>175</v>
      </c>
    </row>
    <row r="34" spans="1:12" ht="12.75">
      <c r="A34" s="110" t="s">
        <v>431</v>
      </c>
      <c r="B34" s="51">
        <v>12</v>
      </c>
      <c r="C34" s="64">
        <f>-REGINFO!D22*REGINFO!D26*REGINFO!D30*((REGINFO!D34+REGINFO!D39+REGINFO!D40)/REGINFO!D32)</f>
        <v>-3123049.3283775416</v>
      </c>
      <c r="D34" s="30" t="s">
        <v>176</v>
      </c>
      <c r="E34" s="92">
        <f>+G34-C34</f>
        <v>3123049.3283775416</v>
      </c>
      <c r="F34" s="5"/>
      <c r="G34" s="70"/>
      <c r="H34" s="39" t="s">
        <v>177</v>
      </c>
      <c r="I34" s="92">
        <f>+K34-G34</f>
        <v>0</v>
      </c>
      <c r="J34" s="5"/>
      <c r="K34" s="100">
        <f>TAXREC!E93</f>
        <v>0</v>
      </c>
      <c r="L34" s="35" t="s">
        <v>178</v>
      </c>
    </row>
    <row r="35" spans="1:12" ht="12.75">
      <c r="A35" t="s">
        <v>352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350</v>
      </c>
      <c r="B36" s="10">
        <v>13</v>
      </c>
      <c r="C36" s="64"/>
      <c r="D36" s="30" t="s">
        <v>179</v>
      </c>
      <c r="E36" s="92">
        <f>+G36-C36</f>
        <v>0</v>
      </c>
      <c r="F36" s="5"/>
      <c r="G36" s="70"/>
      <c r="H36" s="39" t="s">
        <v>180</v>
      </c>
      <c r="I36" s="92">
        <f>+K36-G36</f>
        <v>0</v>
      </c>
      <c r="J36" s="5"/>
      <c r="K36" s="100">
        <f>TAXREC!E94</f>
        <v>0</v>
      </c>
      <c r="L36" s="35" t="s">
        <v>181</v>
      </c>
    </row>
    <row r="37" spans="1:12" ht="12.75">
      <c r="A37" t="s">
        <v>357</v>
      </c>
      <c r="B37" s="10">
        <v>13</v>
      </c>
      <c r="C37" s="64"/>
      <c r="D37" s="30" t="s">
        <v>179</v>
      </c>
      <c r="E37" s="92">
        <f>+G37-C37</f>
        <v>0</v>
      </c>
      <c r="F37" s="5"/>
      <c r="G37" s="70"/>
      <c r="H37" s="39" t="s">
        <v>180</v>
      </c>
      <c r="I37" s="92">
        <f>+K37-G37</f>
        <v>0</v>
      </c>
      <c r="J37" s="5"/>
      <c r="K37" s="100">
        <f>TAXREC!E95</f>
        <v>0</v>
      </c>
      <c r="L37" s="35" t="s">
        <v>181</v>
      </c>
    </row>
    <row r="38" spans="1:12" ht="12.75">
      <c r="A38" t="s">
        <v>419</v>
      </c>
      <c r="B38" s="10">
        <v>13</v>
      </c>
      <c r="C38" s="64"/>
      <c r="D38" s="30" t="s">
        <v>179</v>
      </c>
      <c r="E38" s="92">
        <f>+G38-C38</f>
        <v>0</v>
      </c>
      <c r="F38" s="5"/>
      <c r="G38" s="70"/>
      <c r="H38" s="39" t="s">
        <v>180</v>
      </c>
      <c r="I38" s="92">
        <f>+K38-G38</f>
        <v>0</v>
      </c>
      <c r="J38" s="5"/>
      <c r="K38" s="100">
        <f>TAXREC!E133</f>
        <v>0</v>
      </c>
      <c r="L38" s="35" t="s">
        <v>181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117</v>
      </c>
      <c r="B40" s="53"/>
      <c r="C40" s="93">
        <f>SUM(C15:C39)</f>
        <v>4039927.098054974</v>
      </c>
      <c r="D40" s="42"/>
      <c r="E40" s="93">
        <f>SUM(E15:E39)</f>
        <v>-4039927.098054974</v>
      </c>
      <c r="F40" s="7"/>
      <c r="G40" s="96">
        <f>SUM(G15:G39)</f>
        <v>0</v>
      </c>
      <c r="H40" s="43"/>
      <c r="I40" s="93">
        <f>SUM(I15:I39)</f>
        <v>0</v>
      </c>
      <c r="J40" s="7"/>
      <c r="K40" s="96">
        <f>SUM(K15:K39)</f>
        <v>0</v>
      </c>
      <c r="L40" s="56"/>
    </row>
    <row r="41" spans="1:12" ht="12.75">
      <c r="A41" s="14" t="s">
        <v>118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114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115</v>
      </c>
      <c r="B44" s="10">
        <v>14</v>
      </c>
      <c r="C44" s="71">
        <v>0.3862</v>
      </c>
      <c r="D44" s="30" t="s">
        <v>182</v>
      </c>
      <c r="E44" s="95">
        <f>+G44-C44</f>
        <v>0</v>
      </c>
      <c r="F44" s="5"/>
      <c r="G44" s="72">
        <v>0.3862</v>
      </c>
      <c r="H44" s="39" t="s">
        <v>183</v>
      </c>
      <c r="I44" s="95">
        <f>+K44-G44</f>
        <v>0</v>
      </c>
      <c r="J44" s="5"/>
      <c r="K44" s="101">
        <v>0.3862</v>
      </c>
      <c r="L44" s="35" t="s">
        <v>184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116</v>
      </c>
      <c r="B47" s="10"/>
      <c r="C47" s="93">
        <f>C40*C44</f>
        <v>1560219.845268831</v>
      </c>
      <c r="D47" s="42"/>
      <c r="E47" s="96">
        <f>+G47-C47</f>
        <v>-1560219.845268831</v>
      </c>
      <c r="F47" s="7"/>
      <c r="G47" s="96">
        <f>G40*G44</f>
        <v>0</v>
      </c>
      <c r="H47" s="43"/>
      <c r="I47" s="98">
        <f>K47-G47</f>
        <v>0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131</v>
      </c>
      <c r="B49" s="10">
        <v>15</v>
      </c>
      <c r="C49" s="74"/>
      <c r="D49" s="30" t="s">
        <v>185</v>
      </c>
      <c r="E49" s="92">
        <f>+G49-C49</f>
        <v>0</v>
      </c>
      <c r="F49" s="8"/>
      <c r="G49" s="70"/>
      <c r="H49" s="39" t="s">
        <v>186</v>
      </c>
      <c r="I49" s="92">
        <f>+K49-G49</f>
        <v>0</v>
      </c>
      <c r="J49" s="8"/>
      <c r="K49" s="74"/>
      <c r="L49" s="35" t="s">
        <v>187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132</v>
      </c>
      <c r="B51" s="51"/>
      <c r="C51" s="97">
        <f>+C47-C49</f>
        <v>1560219.845268831</v>
      </c>
      <c r="D51" s="32"/>
      <c r="E51" s="97">
        <f>+E47-E49</f>
        <v>-1560219.845268831</v>
      </c>
      <c r="F51" s="6"/>
      <c r="G51" s="97">
        <f>+G47-G49</f>
        <v>0</v>
      </c>
      <c r="H51" s="40"/>
      <c r="I51" s="97">
        <f>+I47-I49</f>
        <v>0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>
        <f>REGINFO!D22</f>
        <v>112542659.47</v>
      </c>
      <c r="D59" s="30" t="s">
        <v>188</v>
      </c>
      <c r="E59" s="92">
        <f>+G59-C59</f>
        <v>-112542659.47</v>
      </c>
      <c r="F59" s="5"/>
      <c r="G59" s="70"/>
      <c r="H59" s="39" t="s">
        <v>189</v>
      </c>
      <c r="I59" s="92">
        <f>+K59-G59</f>
        <v>0</v>
      </c>
      <c r="J59" s="5"/>
      <c r="K59" s="100">
        <f>TAXREC!E228</f>
        <v>0</v>
      </c>
      <c r="L59" s="35" t="s">
        <v>190</v>
      </c>
    </row>
    <row r="60" spans="1:12" ht="12.75">
      <c r="A60" s="4" t="s">
        <v>120</v>
      </c>
      <c r="B60" s="51">
        <v>17</v>
      </c>
      <c r="C60" s="70">
        <f>-'[2]Alloc of Taxable Capital &amp; Exem'!$E$10</f>
        <v>-3881545.957594151</v>
      </c>
      <c r="D60" s="30" t="s">
        <v>191</v>
      </c>
      <c r="E60" s="92">
        <f>+G60-C60</f>
        <v>3881545.957594151</v>
      </c>
      <c r="F60" s="5"/>
      <c r="G60" s="70"/>
      <c r="H60" s="39" t="s">
        <v>192</v>
      </c>
      <c r="I60" s="92">
        <f>+K60-G60</f>
        <v>0</v>
      </c>
      <c r="J60" s="5"/>
      <c r="K60" s="100">
        <f>TAXREC!E230</f>
        <v>0</v>
      </c>
      <c r="L60" s="35" t="s">
        <v>193</v>
      </c>
    </row>
    <row r="61" spans="1:12" ht="12.75">
      <c r="A61" s="4" t="s">
        <v>119</v>
      </c>
      <c r="B61" s="51"/>
      <c r="C61" s="93">
        <f>SUM(C59:C60)</f>
        <v>108661113.51240584</v>
      </c>
      <c r="D61" s="42"/>
      <c r="E61" s="98">
        <f>SUM(E59:E60)</f>
        <v>-108661113.51240584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194</v>
      </c>
      <c r="E63" s="95">
        <f>+G63-C63</f>
        <v>0</v>
      </c>
      <c r="F63" s="5"/>
      <c r="G63" s="72">
        <v>0.003</v>
      </c>
      <c r="H63" s="39" t="s">
        <v>195</v>
      </c>
      <c r="I63" s="95">
        <f>+K63-G63</f>
        <v>0</v>
      </c>
      <c r="J63" s="5"/>
      <c r="K63" s="101">
        <v>0.003</v>
      </c>
      <c r="L63" s="35" t="s">
        <v>196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127</v>
      </c>
      <c r="B65" s="51"/>
      <c r="C65" s="93">
        <f>C61*C63</f>
        <v>325983.34053721756</v>
      </c>
      <c r="D65" s="62"/>
      <c r="E65" s="96">
        <f>+G65-C65</f>
        <v>-325983.34053721756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>
        <f>REGINFO!D22</f>
        <v>112542659.47</v>
      </c>
      <c r="D68" s="30" t="s">
        <v>197</v>
      </c>
      <c r="E68" s="92">
        <f>+G68-C68</f>
        <v>-112542659.47</v>
      </c>
      <c r="F68" s="8"/>
      <c r="G68" s="70"/>
      <c r="H68" s="39" t="s">
        <v>198</v>
      </c>
      <c r="I68" s="92">
        <f>+K68-G68</f>
        <v>0</v>
      </c>
      <c r="J68" s="8"/>
      <c r="K68" s="100">
        <f>TAXREC!E299</f>
        <v>0</v>
      </c>
      <c r="L68" s="35" t="s">
        <v>199</v>
      </c>
    </row>
    <row r="69" spans="1:12" ht="12.75">
      <c r="A69" s="4" t="s">
        <v>120</v>
      </c>
      <c r="B69" s="51">
        <v>20</v>
      </c>
      <c r="C69" s="70">
        <f>-'[2]Alloc of Taxable Capital &amp; Exem'!$D$10</f>
        <v>-7763091.915188302</v>
      </c>
      <c r="D69" s="30" t="s">
        <v>200</v>
      </c>
      <c r="E69" s="92">
        <f>+G69-C69</f>
        <v>7763091.915188302</v>
      </c>
      <c r="F69" s="8"/>
      <c r="G69" s="70"/>
      <c r="H69" s="39" t="s">
        <v>201</v>
      </c>
      <c r="I69" s="92">
        <f>+K69-G69</f>
        <v>0</v>
      </c>
      <c r="J69" s="8"/>
      <c r="K69" s="100">
        <f>TAXREC!E301</f>
        <v>0</v>
      </c>
      <c r="L69" s="35" t="s">
        <v>202</v>
      </c>
    </row>
    <row r="70" spans="1:12" ht="12.75">
      <c r="A70" s="4" t="s">
        <v>119</v>
      </c>
      <c r="B70" s="51"/>
      <c r="C70" s="93">
        <f>SUM(C68:C69)</f>
        <v>104779567.5548117</v>
      </c>
      <c r="D70" s="42"/>
      <c r="E70" s="98">
        <f>SUM(E68:E69)</f>
        <v>-104779567.5548117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203</v>
      </c>
      <c r="E72" s="95">
        <f>+G72-C72</f>
        <v>0</v>
      </c>
      <c r="F72" s="8"/>
      <c r="G72" s="101">
        <v>0.00225</v>
      </c>
      <c r="H72" s="39" t="s">
        <v>204</v>
      </c>
      <c r="I72" s="95">
        <f>+K72-G72</f>
        <v>0</v>
      </c>
      <c r="J72" s="8"/>
      <c r="K72" s="101">
        <v>0.00225</v>
      </c>
      <c r="L72" s="35" t="s">
        <v>205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121</v>
      </c>
      <c r="B74" s="51"/>
      <c r="C74" s="102">
        <f>+C70*C72</f>
        <v>235754.0269983263</v>
      </c>
      <c r="D74" s="30"/>
      <c r="E74" s="92">
        <f>+G74-C74</f>
        <v>-235754.0269983263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-45247.18349821571</v>
      </c>
      <c r="D75" s="30" t="s">
        <v>206</v>
      </c>
      <c r="E75" s="92">
        <f>+G75-C75</f>
        <v>45247.18349821571</v>
      </c>
      <c r="F75" s="8"/>
      <c r="G75" s="100">
        <f>(G40*0.0112)*-1</f>
        <v>0</v>
      </c>
      <c r="H75" s="39" t="s">
        <v>207</v>
      </c>
      <c r="I75" s="92">
        <f>+K75-G75</f>
        <v>0</v>
      </c>
      <c r="J75" s="8"/>
      <c r="K75" s="100">
        <f>(0.0112*K40)*-1</f>
        <v>0</v>
      </c>
      <c r="L75" s="35" t="s">
        <v>208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122</v>
      </c>
      <c r="B77" s="51"/>
      <c r="C77" s="93">
        <f>SUM(C74:C76)</f>
        <v>190506.84350011058</v>
      </c>
      <c r="D77" s="31"/>
      <c r="E77" s="96">
        <f>SUM(E74:E76)</f>
        <v>-190506.84350011058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347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123</v>
      </c>
      <c r="B82" s="10">
        <v>23</v>
      </c>
      <c r="C82" s="102">
        <f>C51/(1-(C44-0.0112))</f>
        <v>2496351.7524301293</v>
      </c>
      <c r="D82" s="30" t="s">
        <v>209</v>
      </c>
      <c r="E82" s="92">
        <f>+G82-C82</f>
        <v>-2496351.7524301293</v>
      </c>
      <c r="F82" s="5"/>
      <c r="G82" s="100">
        <f>G51/(1-G44)</f>
        <v>0</v>
      </c>
      <c r="H82" s="39" t="s">
        <v>210</v>
      </c>
      <c r="I82" s="92">
        <f>+K82-G82</f>
        <v>0</v>
      </c>
      <c r="J82" s="5"/>
      <c r="K82" s="100"/>
      <c r="L82" s="35" t="s">
        <v>130</v>
      </c>
    </row>
    <row r="83" spans="1:12" ht="12.75">
      <c r="A83" t="s">
        <v>124</v>
      </c>
      <c r="B83" s="10">
        <v>24</v>
      </c>
      <c r="C83" s="102">
        <f>C77/(1-(C44-0.0112))</f>
        <v>304810.94960017694</v>
      </c>
      <c r="D83" s="30" t="s">
        <v>211</v>
      </c>
      <c r="E83" s="92">
        <f>+G83-C83</f>
        <v>-304810.94960017694</v>
      </c>
      <c r="F83" s="5"/>
      <c r="G83" s="100">
        <f>G77/(1-(G44-0.0112))</f>
        <v>0</v>
      </c>
      <c r="H83" s="39" t="s">
        <v>212</v>
      </c>
      <c r="I83" s="92">
        <f>+K83-G83</f>
        <v>0</v>
      </c>
      <c r="J83" s="5"/>
      <c r="K83" s="100"/>
      <c r="L83" s="35" t="s">
        <v>130</v>
      </c>
    </row>
    <row r="84" spans="1:12" ht="12.75">
      <c r="A84" t="s">
        <v>89</v>
      </c>
      <c r="B84" s="10">
        <v>25</v>
      </c>
      <c r="C84" s="102">
        <f>C65</f>
        <v>325983.34053721756</v>
      </c>
      <c r="D84" s="30" t="s">
        <v>213</v>
      </c>
      <c r="E84" s="92">
        <f>+G84-C84</f>
        <v>-325983.34053721756</v>
      </c>
      <c r="F84" s="5"/>
      <c r="G84" s="100">
        <f>G65</f>
        <v>0</v>
      </c>
      <c r="H84" s="39" t="s">
        <v>214</v>
      </c>
      <c r="I84" s="92">
        <f>+K84-G84</f>
        <v>0</v>
      </c>
      <c r="J84" s="5"/>
      <c r="K84" s="100"/>
      <c r="L84" s="35" t="s">
        <v>130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129</v>
      </c>
      <c r="B87" s="51"/>
      <c r="C87" s="97">
        <f>SUM(C82:C85)</f>
        <v>3127146.0425675237</v>
      </c>
      <c r="D87" s="41"/>
      <c r="E87" s="99">
        <f>SUM(E82:E85)</f>
        <v>-3127146.0425675237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128</v>
      </c>
      <c r="C92" s="67"/>
      <c r="E92" s="58"/>
      <c r="I92" s="155" t="s">
        <v>441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20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20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20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4">
        <f>I22</f>
        <v>0</v>
      </c>
      <c r="J98" s="120" t="s">
        <v>425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4">
        <f>I23</f>
        <v>0</v>
      </c>
      <c r="J99" s="120" t="s">
        <v>425</v>
      </c>
      <c r="K99" s="67"/>
    </row>
    <row r="100" spans="1:11" ht="12.75">
      <c r="A100" t="s">
        <v>156</v>
      </c>
      <c r="B100" s="10">
        <v>6</v>
      </c>
      <c r="C100" s="67"/>
      <c r="E100" s="67"/>
      <c r="G100" s="67"/>
      <c r="I100" s="124">
        <f>I24</f>
        <v>0</v>
      </c>
      <c r="J100" s="120" t="s">
        <v>425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4">
        <f>I26</f>
        <v>0</v>
      </c>
      <c r="J101" s="120" t="s">
        <v>425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4">
        <f>I27</f>
        <v>0</v>
      </c>
      <c r="J102" s="120" t="s">
        <v>425</v>
      </c>
      <c r="K102" s="67"/>
    </row>
    <row r="103" spans="1:11" ht="12.75">
      <c r="A103" t="s">
        <v>418</v>
      </c>
      <c r="B103" s="10">
        <v>7</v>
      </c>
      <c r="C103" s="67"/>
      <c r="E103" s="67"/>
      <c r="G103" s="67"/>
      <c r="I103" s="125"/>
      <c r="J103" s="120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5"/>
      <c r="J104" s="120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4">
        <f>I31</f>
        <v>0</v>
      </c>
      <c r="J105" s="120" t="s">
        <v>425</v>
      </c>
      <c r="K105" s="67"/>
    </row>
    <row r="106" spans="1:11" ht="12.75">
      <c r="A106" t="s">
        <v>169</v>
      </c>
      <c r="B106" s="10">
        <v>10</v>
      </c>
      <c r="C106" s="67"/>
      <c r="E106" s="67"/>
      <c r="G106" s="67"/>
      <c r="I106" s="124">
        <f>I32</f>
        <v>0</v>
      </c>
      <c r="J106" s="120" t="s">
        <v>425</v>
      </c>
      <c r="K106" s="67"/>
    </row>
    <row r="107" spans="1:11" ht="12.75">
      <c r="A107" t="s">
        <v>156</v>
      </c>
      <c r="B107" s="10">
        <v>11</v>
      </c>
      <c r="C107" s="67"/>
      <c r="E107" s="67"/>
      <c r="G107" s="67"/>
      <c r="I107" s="124">
        <f>I33</f>
        <v>0</v>
      </c>
      <c r="J107" s="120" t="s">
        <v>425</v>
      </c>
      <c r="K107" s="67"/>
    </row>
    <row r="108" spans="1:11" ht="12.75">
      <c r="A108" s="110" t="s">
        <v>442</v>
      </c>
      <c r="B108" s="10">
        <v>12</v>
      </c>
      <c r="C108" s="67"/>
      <c r="E108" s="67"/>
      <c r="G108" s="67"/>
      <c r="I108" s="124">
        <f>I135</f>
        <v>0</v>
      </c>
      <c r="J108" s="120" t="s">
        <v>427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4">
        <f>I36</f>
        <v>0</v>
      </c>
      <c r="J109" s="120" t="s">
        <v>425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4">
        <f>I37</f>
        <v>0</v>
      </c>
      <c r="J110" s="120" t="s">
        <v>425</v>
      </c>
      <c r="K110" s="67"/>
    </row>
    <row r="111" spans="1:11" ht="12.75">
      <c r="A111" t="s">
        <v>417</v>
      </c>
      <c r="B111" s="10">
        <v>13</v>
      </c>
      <c r="C111" s="67"/>
      <c r="E111" s="67"/>
      <c r="G111" s="67"/>
      <c r="I111" s="125"/>
      <c r="J111" s="120" t="s">
        <v>370</v>
      </c>
      <c r="K111" s="67"/>
    </row>
    <row r="112" spans="1:11" ht="12.75">
      <c r="A112" t="s">
        <v>131</v>
      </c>
      <c r="B112" s="10">
        <v>15</v>
      </c>
      <c r="C112" s="67"/>
      <c r="E112" s="67"/>
      <c r="G112" s="67"/>
      <c r="I112" s="148">
        <f>I49</f>
        <v>0</v>
      </c>
      <c r="J112" s="120" t="s">
        <v>425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426</v>
      </c>
      <c r="B114" s="10"/>
      <c r="C114" s="67"/>
      <c r="E114" s="67"/>
      <c r="G114" s="67"/>
      <c r="I114" s="149">
        <f>SUM(I98:I102)+SUM(I105:I110)+I112</f>
        <v>0</v>
      </c>
      <c r="J114" s="120" t="s">
        <v>425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377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423</v>
      </c>
      <c r="I119" s="125"/>
    </row>
    <row r="120" spans="1:9" ht="12.75">
      <c r="A120" s="17"/>
      <c r="I120" s="125"/>
    </row>
    <row r="121" spans="1:9" ht="12.75">
      <c r="A121" s="110" t="s">
        <v>443</v>
      </c>
      <c r="B121" s="10"/>
      <c r="C121" s="67"/>
      <c r="D121" s="67"/>
      <c r="E121" s="67"/>
      <c r="F121" s="67"/>
      <c r="G121" s="67"/>
      <c r="H121" s="67"/>
      <c r="I121" s="148">
        <f>REGINFO!D49*-1</f>
        <v>-4332892.389595001</v>
      </c>
    </row>
    <row r="122" spans="1:9" ht="12.75">
      <c r="A122" s="110" t="s">
        <v>444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421</v>
      </c>
      <c r="B124" s="10"/>
      <c r="C124" s="67"/>
      <c r="D124" s="67"/>
      <c r="E124" s="67"/>
      <c r="F124" s="67"/>
      <c r="G124" s="67"/>
      <c r="H124" s="67"/>
      <c r="I124" s="150">
        <f>SUM(I121:I123)</f>
        <v>-4332892.389595001</v>
      </c>
    </row>
    <row r="125" spans="1:9" ht="12.75">
      <c r="A125" s="110" t="s">
        <v>422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428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429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445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446</v>
      </c>
      <c r="B131" s="10"/>
      <c r="C131" s="67"/>
      <c r="D131" s="67"/>
      <c r="E131" s="67"/>
      <c r="F131" s="67"/>
      <c r="G131" s="67"/>
      <c r="H131" s="67"/>
      <c r="I131" s="148">
        <f>REGINFO!D49</f>
        <v>4332892.389595001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424</v>
      </c>
      <c r="B133" s="10"/>
      <c r="C133" s="67"/>
      <c r="D133" s="67"/>
      <c r="E133" s="67"/>
      <c r="F133" s="67"/>
      <c r="G133" s="67"/>
      <c r="H133" s="67"/>
      <c r="I133" s="150">
        <f>SUM(I130:I132)</f>
        <v>4332892.389595001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447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430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448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440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323</v>
      </c>
      <c r="C2" s="10" t="s">
        <v>320</v>
      </c>
      <c r="D2" s="10" t="s">
        <v>136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1:10" ht="12.75">
      <c r="A4" s="2" t="s">
        <v>503</v>
      </c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tr">
        <f>REGINFO!A4</f>
        <v>Utility Name: Veridian Connections </v>
      </c>
      <c r="B7" s="45"/>
      <c r="C7" s="82"/>
      <c r="D7" s="82"/>
      <c r="E7" s="82"/>
      <c r="F7" s="45"/>
      <c r="G7" s="3"/>
      <c r="H7" s="3"/>
    </row>
    <row r="8" spans="1:8" ht="12.75">
      <c r="A8" t="str">
        <f>REGINFO!A5</f>
        <v>Reporting period: Year 2002, January 2002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436</v>
      </c>
      <c r="B10" s="45"/>
      <c r="C10" s="82"/>
      <c r="D10" s="82"/>
      <c r="E10" s="83"/>
      <c r="F10" s="10"/>
    </row>
    <row r="11" spans="1:6" ht="12.75">
      <c r="A11" s="3" t="s">
        <v>437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366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367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359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360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361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342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343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344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345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346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371</v>
      </c>
      <c r="B24" s="80">
        <v>9</v>
      </c>
      <c r="C24" s="127"/>
      <c r="D24" s="128"/>
      <c r="E24" s="129">
        <f t="shared" si="0"/>
        <v>0</v>
      </c>
      <c r="F24" s="13"/>
      <c r="G24" s="13" t="s">
        <v>358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414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143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353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146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149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152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155</v>
      </c>
    </row>
    <row r="33" spans="1:6" ht="12.75">
      <c r="A33" t="s">
        <v>135</v>
      </c>
      <c r="B33" s="10"/>
      <c r="C33" s="133"/>
      <c r="D33" s="133"/>
      <c r="E33" s="129">
        <f t="shared" si="1"/>
        <v>0</v>
      </c>
      <c r="F33" s="10" t="s">
        <v>159</v>
      </c>
    </row>
    <row r="34" spans="1:6" ht="12.75">
      <c r="A34" t="s">
        <v>373</v>
      </c>
      <c r="C34" s="67"/>
      <c r="D34" s="67"/>
      <c r="E34" s="129">
        <f t="shared" si="1"/>
        <v>0</v>
      </c>
      <c r="F34" s="10" t="s">
        <v>162</v>
      </c>
    </row>
    <row r="35" spans="1:6" ht="12.75">
      <c r="A35" t="s">
        <v>374</v>
      </c>
      <c r="C35" s="67"/>
      <c r="D35" s="67"/>
      <c r="E35" s="129">
        <f t="shared" si="1"/>
        <v>0</v>
      </c>
      <c r="F35" s="10" t="s">
        <v>162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162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162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162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162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162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162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162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162</v>
      </c>
    </row>
    <row r="46" spans="1:6" ht="12.75">
      <c r="A46" t="s">
        <v>333</v>
      </c>
      <c r="B46" s="10"/>
      <c r="C46" s="67"/>
      <c r="D46" s="67"/>
      <c r="E46" s="129">
        <f t="shared" si="2"/>
        <v>0</v>
      </c>
      <c r="F46" s="10" t="s">
        <v>162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162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162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162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162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162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162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162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162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162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162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162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162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162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162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162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162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162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162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162</v>
      </c>
    </row>
    <row r="67" spans="1:6" ht="12.75">
      <c r="A67" t="s">
        <v>334</v>
      </c>
      <c r="C67" s="67"/>
      <c r="D67" s="67"/>
      <c r="E67" s="129">
        <f t="shared" si="2"/>
        <v>0</v>
      </c>
      <c r="F67" s="10" t="s">
        <v>162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162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162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162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162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162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162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162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162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162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162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162</v>
      </c>
    </row>
    <row r="79" spans="1:6" ht="12.75">
      <c r="A79" t="s">
        <v>328</v>
      </c>
      <c r="C79" s="67"/>
      <c r="D79" s="67"/>
      <c r="E79" s="129">
        <f t="shared" si="2"/>
        <v>0</v>
      </c>
      <c r="F79" s="10" t="s">
        <v>162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162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415</v>
      </c>
      <c r="C82" s="67"/>
      <c r="D82" s="67"/>
      <c r="E82" s="129">
        <f t="shared" si="2"/>
        <v>0</v>
      </c>
      <c r="F82" s="10" t="s">
        <v>162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326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162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165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168</v>
      </c>
    </row>
    <row r="91" spans="1:6" ht="12.75">
      <c r="A91" t="s">
        <v>134</v>
      </c>
      <c r="B91" s="10"/>
      <c r="C91" s="67"/>
      <c r="D91" s="67"/>
      <c r="E91" s="129">
        <f t="shared" si="3"/>
        <v>0</v>
      </c>
      <c r="F91" s="10" t="s">
        <v>172</v>
      </c>
    </row>
    <row r="92" spans="1:6" ht="12.75">
      <c r="A92" t="s">
        <v>340</v>
      </c>
      <c r="B92" s="10"/>
      <c r="C92" s="67"/>
      <c r="D92" s="67"/>
      <c r="E92" s="129">
        <f t="shared" si="3"/>
        <v>0</v>
      </c>
      <c r="F92" s="10" t="s">
        <v>175</v>
      </c>
    </row>
    <row r="93" spans="1:6" ht="12.75">
      <c r="A93" s="4" t="s">
        <v>341</v>
      </c>
      <c r="B93" s="10"/>
      <c r="C93" s="67"/>
      <c r="D93" s="67"/>
      <c r="E93" s="129">
        <f t="shared" si="3"/>
        <v>0</v>
      </c>
      <c r="F93" s="10" t="s">
        <v>178</v>
      </c>
    </row>
    <row r="94" spans="1:6" ht="12.75">
      <c r="A94" s="4" t="s">
        <v>375</v>
      </c>
      <c r="B94" s="10"/>
      <c r="C94" s="67"/>
      <c r="D94" s="67"/>
      <c r="E94" s="129">
        <f t="shared" si="3"/>
        <v>0</v>
      </c>
      <c r="F94" s="10" t="s">
        <v>181</v>
      </c>
    </row>
    <row r="95" spans="1:6" ht="12.75">
      <c r="A95" s="4" t="s">
        <v>376</v>
      </c>
      <c r="B95" s="10"/>
      <c r="C95" s="67"/>
      <c r="D95" s="67"/>
      <c r="E95" s="129">
        <f t="shared" si="3"/>
        <v>0</v>
      </c>
      <c r="F95" s="10" t="s">
        <v>181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181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181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181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181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181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181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181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181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181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181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181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181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181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181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181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181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181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181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181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181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181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181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181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181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181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181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181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181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181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181</v>
      </c>
    </row>
    <row r="130" spans="1:6" ht="12.75">
      <c r="A130" s="12" t="s">
        <v>416</v>
      </c>
      <c r="B130" s="10"/>
      <c r="C130" s="67"/>
      <c r="D130" s="67"/>
      <c r="E130" s="129">
        <f t="shared" si="4"/>
        <v>0</v>
      </c>
      <c r="F130" s="10" t="s">
        <v>181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327</v>
      </c>
      <c r="B133" s="10"/>
      <c r="C133" s="138">
        <f>SUM(C97:C132)</f>
        <v>0</v>
      </c>
      <c r="D133" s="139">
        <f>SUM(D97:D132)</f>
        <v>0</v>
      </c>
      <c r="E133" s="140">
        <f>SUM(E97:E132)</f>
        <v>0</v>
      </c>
      <c r="F133" s="10" t="s">
        <v>181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413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219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220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221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222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223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224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225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226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227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228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229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230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231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232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233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234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235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236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237</v>
      </c>
      <c r="B165" s="10"/>
      <c r="C165" s="67"/>
      <c r="D165" s="67"/>
      <c r="E165" s="67"/>
      <c r="F165" s="10"/>
    </row>
    <row r="166" spans="1:6" ht="12.75">
      <c r="A166" t="s">
        <v>238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239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240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241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321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242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243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244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245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246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247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248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249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250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251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252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253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254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255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256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257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258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259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260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261</v>
      </c>
      <c r="B200" s="10"/>
      <c r="C200" s="5"/>
      <c r="D200" s="5"/>
      <c r="E200" s="5"/>
      <c r="F200" s="10"/>
    </row>
    <row r="201" spans="1:6" ht="12.75">
      <c r="A201" t="s">
        <v>262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263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264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265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266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267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268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269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270</v>
      </c>
      <c r="B209" s="10"/>
      <c r="C209" s="67"/>
      <c r="D209" s="67"/>
      <c r="E209" s="129">
        <f t="shared" si="8"/>
        <v>0</v>
      </c>
    </row>
    <row r="210" spans="1:5" ht="12.75">
      <c r="A210" t="s">
        <v>271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272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273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322</v>
      </c>
      <c r="B216" s="10"/>
      <c r="C216" s="67"/>
      <c r="D216" s="67"/>
      <c r="E216" s="67"/>
      <c r="F216" s="10"/>
    </row>
    <row r="217" spans="1:6" ht="12.75">
      <c r="A217" t="s">
        <v>274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275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276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277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278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279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190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280</v>
      </c>
      <c r="B230" s="10"/>
      <c r="C230" s="67"/>
      <c r="D230" s="67"/>
      <c r="E230" s="129">
        <f>+C230+D230</f>
        <v>0</v>
      </c>
      <c r="F230" s="10" t="s">
        <v>193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281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282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196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329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307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283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284</v>
      </c>
      <c r="B247" s="10"/>
      <c r="C247" s="5"/>
      <c r="D247" s="5"/>
      <c r="E247" s="5"/>
      <c r="F247" s="10"/>
    </row>
    <row r="248" spans="1:6" ht="12.75">
      <c r="A248" t="s">
        <v>285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286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287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288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289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290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291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292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293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294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295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296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297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298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299</v>
      </c>
      <c r="B265" s="10"/>
      <c r="C265" s="67"/>
      <c r="D265" s="67"/>
      <c r="E265" s="67"/>
      <c r="F265" s="10"/>
    </row>
    <row r="266" spans="1:6" ht="12.75">
      <c r="A266" t="s">
        <v>300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301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302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303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304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305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306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308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309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310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311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312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313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314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315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316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317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318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199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319</v>
      </c>
      <c r="B301" s="10"/>
      <c r="C301" s="67"/>
      <c r="D301" s="67"/>
      <c r="E301" s="129">
        <f>+C301+D301</f>
        <v>0</v>
      </c>
      <c r="F301" s="10" t="s">
        <v>202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205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329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338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8515625" style="160" customWidth="1"/>
    <col min="2" max="2" width="33.8515625" style="160" customWidth="1"/>
    <col min="3" max="3" width="7.421875" style="160" customWidth="1"/>
    <col min="4" max="4" width="14.8515625" style="161" customWidth="1"/>
    <col min="5" max="5" width="6.140625" style="161" customWidth="1"/>
    <col min="6" max="6" width="4.8515625" style="161" customWidth="1"/>
    <col min="7" max="7" width="15.7109375" style="161" customWidth="1"/>
    <col min="8" max="8" width="15.140625" style="161" customWidth="1"/>
    <col min="9" max="9" width="14.00390625" style="161" customWidth="1"/>
    <col min="10" max="10" width="8.421875" style="160" customWidth="1"/>
    <col min="11" max="11" width="13.421875" style="161" customWidth="1"/>
    <col min="12" max="12" width="16.140625" style="161" customWidth="1"/>
    <col min="13" max="16384" width="9.140625" style="160" customWidth="1"/>
  </cols>
  <sheetData>
    <row r="1" spans="1:2" ht="12.75">
      <c r="A1" s="159" t="s">
        <v>440</v>
      </c>
      <c r="B1" s="159"/>
    </row>
    <row r="2" spans="1:2" ht="12.75">
      <c r="A2" s="162" t="s">
        <v>451</v>
      </c>
      <c r="B2" s="162"/>
    </row>
    <row r="3" spans="1:2" ht="12.75">
      <c r="A3" s="162" t="s">
        <v>499</v>
      </c>
      <c r="B3" s="162"/>
    </row>
    <row r="4" ht="12.75">
      <c r="A4" s="2" t="s">
        <v>503</v>
      </c>
    </row>
    <row r="5" spans="1:8" ht="12.75">
      <c r="A5" s="162" t="s">
        <v>494</v>
      </c>
      <c r="B5" s="162"/>
      <c r="H5" s="169" t="s">
        <v>497</v>
      </c>
    </row>
    <row r="6" spans="1:8" ht="12.75">
      <c r="A6" s="160" t="str">
        <f>REGINFO!A5</f>
        <v>Reporting period: Year 2002, January 2002</v>
      </c>
      <c r="H6" s="170" t="s">
        <v>498</v>
      </c>
    </row>
    <row r="7" spans="1:12" ht="12.75">
      <c r="A7" s="163"/>
      <c r="B7" s="163"/>
      <c r="C7" s="163"/>
      <c r="D7" s="164" t="s">
        <v>452</v>
      </c>
      <c r="E7" s="164"/>
      <c r="F7" s="164"/>
      <c r="G7" s="164" t="s">
        <v>453</v>
      </c>
      <c r="H7" s="164" t="s">
        <v>454</v>
      </c>
      <c r="I7" s="164" t="s">
        <v>455</v>
      </c>
      <c r="J7" s="163" t="s">
        <v>456</v>
      </c>
      <c r="K7" s="164" t="s">
        <v>457</v>
      </c>
      <c r="L7" s="164" t="s">
        <v>452</v>
      </c>
    </row>
    <row r="8" spans="1:12" ht="12.75">
      <c r="A8" s="163" t="s">
        <v>458</v>
      </c>
      <c r="B8" s="163" t="s">
        <v>459</v>
      </c>
      <c r="C8" s="163" t="s">
        <v>460</v>
      </c>
      <c r="D8" s="164" t="s">
        <v>461</v>
      </c>
      <c r="E8" s="165" t="s">
        <v>462</v>
      </c>
      <c r="F8" s="165" t="s">
        <v>463</v>
      </c>
      <c r="G8" s="164" t="s">
        <v>464</v>
      </c>
      <c r="H8" s="164" t="s">
        <v>465</v>
      </c>
      <c r="I8" s="164" t="s">
        <v>464</v>
      </c>
      <c r="J8" s="163"/>
      <c r="K8" s="164" t="s">
        <v>466</v>
      </c>
      <c r="L8" s="164" t="s">
        <v>467</v>
      </c>
    </row>
    <row r="9" spans="1:12" ht="12.75">
      <c r="A9" s="163"/>
      <c r="B9" s="163"/>
      <c r="C9" s="163"/>
      <c r="D9" s="164"/>
      <c r="E9" s="164"/>
      <c r="F9" s="164"/>
      <c r="G9" s="164"/>
      <c r="H9" s="164" t="s">
        <v>468</v>
      </c>
      <c r="I9" s="164"/>
      <c r="J9" s="163"/>
      <c r="K9" s="164"/>
      <c r="L9" s="164"/>
    </row>
    <row r="10" spans="1:12" ht="12.75">
      <c r="A10" s="163"/>
      <c r="B10" s="163"/>
      <c r="C10" s="163"/>
      <c r="D10" s="164"/>
      <c r="E10" s="164"/>
      <c r="F10" s="164"/>
      <c r="G10" s="164"/>
      <c r="H10" s="164"/>
      <c r="I10" s="164"/>
      <c r="J10" s="163"/>
      <c r="K10" s="164"/>
      <c r="L10" s="164"/>
    </row>
    <row r="12" spans="2:12" ht="12.75">
      <c r="B12" s="166" t="s">
        <v>469</v>
      </c>
      <c r="C12" s="166" t="s">
        <v>470</v>
      </c>
      <c r="D12" s="161">
        <f>'[1]SCHED 8 CCA-Q42001'!$M12</f>
        <v>1938393.17</v>
      </c>
      <c r="G12" s="161">
        <f aca="true" t="shared" si="0" ref="G12:G38">D12+E12-F12</f>
        <v>1938393.17</v>
      </c>
      <c r="H12" s="161">
        <v>0</v>
      </c>
      <c r="I12" s="161">
        <f aca="true" t="shared" si="1" ref="I12:I38">G12-H12</f>
        <v>1938393.17</v>
      </c>
      <c r="J12" s="167">
        <v>0</v>
      </c>
      <c r="K12" s="161">
        <f aca="true" t="shared" si="2" ref="K12:K38">I12*J12</f>
        <v>0</v>
      </c>
      <c r="L12" s="161">
        <f aca="true" t="shared" si="3" ref="L12:L38">G12-K12</f>
        <v>1938393.17</v>
      </c>
    </row>
    <row r="13" spans="2:12" ht="12.75">
      <c r="B13" s="166" t="s">
        <v>471</v>
      </c>
      <c r="C13" s="166" t="s">
        <v>470</v>
      </c>
      <c r="D13" s="161">
        <f>'[1]SCHED 8 CCA-Q42001'!$M13</f>
        <v>103914.57</v>
      </c>
      <c r="G13" s="161">
        <f t="shared" si="0"/>
        <v>103914.57</v>
      </c>
      <c r="H13" s="161">
        <v>0</v>
      </c>
      <c r="I13" s="161">
        <f t="shared" si="1"/>
        <v>103914.57</v>
      </c>
      <c r="J13" s="167">
        <v>0</v>
      </c>
      <c r="K13" s="161">
        <f t="shared" si="2"/>
        <v>0</v>
      </c>
      <c r="L13" s="161">
        <f t="shared" si="3"/>
        <v>103914.57</v>
      </c>
    </row>
    <row r="14" spans="2:12" ht="12.75">
      <c r="B14" s="166" t="s">
        <v>472</v>
      </c>
      <c r="C14" s="166">
        <v>1</v>
      </c>
      <c r="D14" s="161">
        <f>'[1]SCHED 8 CCA-Q42001'!$M14</f>
        <v>725598.162585863</v>
      </c>
      <c r="G14" s="161">
        <f t="shared" si="0"/>
        <v>725598.162585863</v>
      </c>
      <c r="H14" s="161">
        <v>0</v>
      </c>
      <c r="I14" s="161">
        <f t="shared" si="1"/>
        <v>725598.162585863</v>
      </c>
      <c r="J14" s="167">
        <v>0.05</v>
      </c>
      <c r="K14" s="161">
        <f t="shared" si="2"/>
        <v>36279.90812929315</v>
      </c>
      <c r="L14" s="161">
        <f t="shared" si="3"/>
        <v>689318.2544565699</v>
      </c>
    </row>
    <row r="15" spans="2:12" ht="12.75">
      <c r="B15" s="166" t="s">
        <v>495</v>
      </c>
      <c r="C15" s="166">
        <v>2</v>
      </c>
      <c r="D15" s="161">
        <f>'[1]SCHED 8 CCA-Q42001'!$M15</f>
        <v>8354961.75994994</v>
      </c>
      <c r="G15" s="161">
        <f t="shared" si="0"/>
        <v>8354961.75994994</v>
      </c>
      <c r="H15" s="161">
        <v>0</v>
      </c>
      <c r="I15" s="161">
        <f t="shared" si="1"/>
        <v>8354961.75994994</v>
      </c>
      <c r="J15" s="167">
        <v>0.04</v>
      </c>
      <c r="K15" s="161">
        <f t="shared" si="2"/>
        <v>334198.4703979976</v>
      </c>
      <c r="L15" s="161">
        <f t="shared" si="3"/>
        <v>8020763.289551943</v>
      </c>
    </row>
    <row r="16" spans="2:12" ht="12.75">
      <c r="B16" s="166" t="s">
        <v>496</v>
      </c>
      <c r="C16" s="166">
        <v>6</v>
      </c>
      <c r="D16" s="161">
        <f>'[1]SCHED 8 CCA-Q42001'!$M16</f>
        <v>25601.23616438356</v>
      </c>
      <c r="G16" s="161">
        <f t="shared" si="0"/>
        <v>25601.23616438356</v>
      </c>
      <c r="H16" s="161">
        <v>0</v>
      </c>
      <c r="I16" s="161">
        <f t="shared" si="1"/>
        <v>25601.23616438356</v>
      </c>
      <c r="J16" s="167">
        <v>0.1</v>
      </c>
      <c r="K16" s="161">
        <f t="shared" si="2"/>
        <v>2560.1236164383563</v>
      </c>
      <c r="L16" s="161">
        <f t="shared" si="3"/>
        <v>23041.112547945206</v>
      </c>
    </row>
    <row r="17" spans="2:12" ht="12.75">
      <c r="B17" s="166" t="s">
        <v>473</v>
      </c>
      <c r="C17" s="160">
        <v>1</v>
      </c>
      <c r="D17" s="161">
        <f>'[1]SCHED 8 CCA-Q42001'!$M17</f>
        <v>5718859.865123308</v>
      </c>
      <c r="G17" s="161">
        <f t="shared" si="0"/>
        <v>5718859.865123308</v>
      </c>
      <c r="H17" s="161">
        <v>0</v>
      </c>
      <c r="I17" s="161">
        <f t="shared" si="1"/>
        <v>5718859.865123308</v>
      </c>
      <c r="J17" s="167">
        <v>0.04</v>
      </c>
      <c r="K17" s="161">
        <f t="shared" si="2"/>
        <v>228754.39460493234</v>
      </c>
      <c r="L17" s="161">
        <f t="shared" si="3"/>
        <v>5490105.470518376</v>
      </c>
    </row>
    <row r="18" spans="2:12" ht="12.75">
      <c r="B18" s="166" t="s">
        <v>474</v>
      </c>
      <c r="C18" s="160">
        <v>2</v>
      </c>
      <c r="D18" s="161">
        <f>'[1]SCHED 8 CCA-Q42001'!$M18</f>
        <v>2562833.873830926</v>
      </c>
      <c r="G18" s="161">
        <f t="shared" si="0"/>
        <v>2562833.873830926</v>
      </c>
      <c r="H18" s="161">
        <v>0</v>
      </c>
      <c r="I18" s="161">
        <f t="shared" si="1"/>
        <v>2562833.873830926</v>
      </c>
      <c r="J18" s="167">
        <v>0.06</v>
      </c>
      <c r="K18" s="161">
        <f t="shared" si="2"/>
        <v>153770.03242985555</v>
      </c>
      <c r="L18" s="161">
        <f t="shared" si="3"/>
        <v>2409063.8414010704</v>
      </c>
    </row>
    <row r="19" spans="2:12" ht="12.75">
      <c r="B19" s="166" t="s">
        <v>475</v>
      </c>
      <c r="C19" s="160">
        <v>1</v>
      </c>
      <c r="D19" s="161">
        <f>'[1]SCHED 8 CCA-Q42001'!$M19</f>
        <v>4514527.679888417</v>
      </c>
      <c r="G19" s="161">
        <f t="shared" si="0"/>
        <v>4514527.679888417</v>
      </c>
      <c r="H19" s="161">
        <v>0</v>
      </c>
      <c r="I19" s="161">
        <f t="shared" si="1"/>
        <v>4514527.679888417</v>
      </c>
      <c r="J19" s="167">
        <v>0.04</v>
      </c>
      <c r="K19" s="161">
        <f t="shared" si="2"/>
        <v>180581.1071955367</v>
      </c>
      <c r="L19" s="161">
        <f t="shared" si="3"/>
        <v>4333946.57269288</v>
      </c>
    </row>
    <row r="20" spans="2:12" ht="12.75">
      <c r="B20" s="166" t="s">
        <v>476</v>
      </c>
      <c r="C20" s="160">
        <v>2</v>
      </c>
      <c r="D20" s="161">
        <f>'[1]SCHED 8 CCA-Q42001'!$M20</f>
        <v>1056280.5915051836</v>
      </c>
      <c r="G20" s="161">
        <f t="shared" si="0"/>
        <v>1056280.5915051836</v>
      </c>
      <c r="H20" s="161">
        <v>0</v>
      </c>
      <c r="I20" s="161">
        <f t="shared" si="1"/>
        <v>1056280.5915051836</v>
      </c>
      <c r="J20" s="167">
        <v>0.06</v>
      </c>
      <c r="K20" s="161">
        <f t="shared" si="2"/>
        <v>63376.835490311016</v>
      </c>
      <c r="L20" s="161">
        <f t="shared" si="3"/>
        <v>992903.7560148726</v>
      </c>
    </row>
    <row r="21" spans="2:12" ht="12.75">
      <c r="B21" s="166" t="s">
        <v>477</v>
      </c>
      <c r="C21" s="160">
        <v>1</v>
      </c>
      <c r="D21" s="161">
        <f>'[1]SCHED 8 CCA-Q42001'!$M21</f>
        <v>521160.48405488225</v>
      </c>
      <c r="G21" s="161">
        <f t="shared" si="0"/>
        <v>521160.48405488225</v>
      </c>
      <c r="H21" s="161">
        <v>0</v>
      </c>
      <c r="I21" s="161">
        <f t="shared" si="1"/>
        <v>521160.48405488225</v>
      </c>
      <c r="J21" s="167">
        <v>0.04</v>
      </c>
      <c r="K21" s="161">
        <f t="shared" si="2"/>
        <v>20846.41936219529</v>
      </c>
      <c r="L21" s="161">
        <f t="shared" si="3"/>
        <v>500314.06469268695</v>
      </c>
    </row>
    <row r="22" spans="2:12" ht="12.75">
      <c r="B22" s="166" t="s">
        <v>478</v>
      </c>
      <c r="C22" s="160">
        <v>2</v>
      </c>
      <c r="D22" s="161">
        <f>'[1]SCHED 8 CCA-Q42001'!$M22</f>
        <v>121937.82902671781</v>
      </c>
      <c r="G22" s="161">
        <f t="shared" si="0"/>
        <v>121937.82902671781</v>
      </c>
      <c r="H22" s="161">
        <v>0</v>
      </c>
      <c r="I22" s="161">
        <f t="shared" si="1"/>
        <v>121937.82902671781</v>
      </c>
      <c r="J22" s="167">
        <v>0.06</v>
      </c>
      <c r="K22" s="161">
        <f t="shared" si="2"/>
        <v>7316.269741603069</v>
      </c>
      <c r="L22" s="161">
        <f t="shared" si="3"/>
        <v>114621.55928511474</v>
      </c>
    </row>
    <row r="23" spans="2:12" ht="12.75">
      <c r="B23" s="166" t="s">
        <v>479</v>
      </c>
      <c r="C23" s="160">
        <v>2</v>
      </c>
      <c r="D23" s="161">
        <f>'[1]SCHED 8 CCA-Q42001'!$M23</f>
        <v>13494576.682324164</v>
      </c>
      <c r="G23" s="161">
        <f t="shared" si="0"/>
        <v>13494576.682324164</v>
      </c>
      <c r="H23" s="161">
        <v>0</v>
      </c>
      <c r="I23" s="161">
        <f t="shared" si="1"/>
        <v>13494576.682324164</v>
      </c>
      <c r="J23" s="167">
        <v>0.06</v>
      </c>
      <c r="K23" s="161">
        <f t="shared" si="2"/>
        <v>809674.6009394497</v>
      </c>
      <c r="L23" s="161">
        <f t="shared" si="3"/>
        <v>12684902.081384715</v>
      </c>
    </row>
    <row r="24" spans="2:12" ht="12.75">
      <c r="B24" s="166" t="s">
        <v>480</v>
      </c>
      <c r="C24" s="160">
        <v>1</v>
      </c>
      <c r="D24" s="161">
        <f>'[1]SCHED 8 CCA-Q42001'!$M24</f>
        <v>5798078.386806903</v>
      </c>
      <c r="G24" s="161">
        <f t="shared" si="0"/>
        <v>5798078.386806903</v>
      </c>
      <c r="H24" s="161">
        <v>0</v>
      </c>
      <c r="I24" s="161">
        <f t="shared" si="1"/>
        <v>5798078.386806903</v>
      </c>
      <c r="J24" s="167">
        <v>0.04</v>
      </c>
      <c r="K24" s="161">
        <f t="shared" si="2"/>
        <v>231923.13547227613</v>
      </c>
      <c r="L24" s="161">
        <f t="shared" si="3"/>
        <v>5566155.251334627</v>
      </c>
    </row>
    <row r="25" spans="2:12" ht="12.75">
      <c r="B25" s="166" t="s">
        <v>481</v>
      </c>
      <c r="C25" s="160">
        <v>2</v>
      </c>
      <c r="D25" s="161">
        <f>'[1]SCHED 8 CCA-Q42001'!$M25</f>
        <v>5947180.6574921645</v>
      </c>
      <c r="G25" s="161">
        <f t="shared" si="0"/>
        <v>5947180.6574921645</v>
      </c>
      <c r="H25" s="161">
        <v>0</v>
      </c>
      <c r="I25" s="161">
        <f t="shared" si="1"/>
        <v>5947180.6574921645</v>
      </c>
      <c r="J25" s="167">
        <v>0.06</v>
      </c>
      <c r="K25" s="161">
        <f t="shared" si="2"/>
        <v>356830.8394495299</v>
      </c>
      <c r="L25" s="161">
        <f t="shared" si="3"/>
        <v>5590349.818042635</v>
      </c>
    </row>
    <row r="26" spans="2:12" ht="12.75">
      <c r="B26" s="166" t="s">
        <v>482</v>
      </c>
      <c r="C26" s="160">
        <v>1</v>
      </c>
      <c r="D26" s="161">
        <f>'[1]SCHED 8 CCA-Q42001'!$M26</f>
        <v>19960693.34566367</v>
      </c>
      <c r="G26" s="161">
        <f t="shared" si="0"/>
        <v>19960693.34566367</v>
      </c>
      <c r="H26" s="161">
        <v>0</v>
      </c>
      <c r="I26" s="161">
        <f t="shared" si="1"/>
        <v>19960693.34566367</v>
      </c>
      <c r="J26" s="167">
        <v>0.04</v>
      </c>
      <c r="K26" s="161">
        <f t="shared" si="2"/>
        <v>798427.7338265468</v>
      </c>
      <c r="L26" s="161">
        <f t="shared" si="3"/>
        <v>19162265.611837123</v>
      </c>
    </row>
    <row r="27" spans="2:12" ht="12.75">
      <c r="B27" s="166" t="s">
        <v>483</v>
      </c>
      <c r="C27" s="160">
        <v>1</v>
      </c>
      <c r="D27" s="161">
        <f>'[1]SCHED 8 CCA-Q42001'!$M27</f>
        <v>15016707.81215299</v>
      </c>
      <c r="G27" s="161">
        <f t="shared" si="0"/>
        <v>15016707.81215299</v>
      </c>
      <c r="H27" s="161">
        <v>0</v>
      </c>
      <c r="I27" s="161">
        <f t="shared" si="1"/>
        <v>15016707.81215299</v>
      </c>
      <c r="J27" s="167">
        <v>0.04</v>
      </c>
      <c r="K27" s="161">
        <f t="shared" si="2"/>
        <v>600668.3124861196</v>
      </c>
      <c r="L27" s="161">
        <f t="shared" si="3"/>
        <v>14416039.49966687</v>
      </c>
    </row>
    <row r="28" spans="2:12" ht="12.75">
      <c r="B28" s="166" t="s">
        <v>484</v>
      </c>
      <c r="C28" s="160">
        <v>2</v>
      </c>
      <c r="D28" s="161">
        <f>'[1]SCHED 8 CCA-Q42001'!$M28</f>
        <v>3744666.4265573705</v>
      </c>
      <c r="G28" s="161">
        <f t="shared" si="0"/>
        <v>3744666.4265573705</v>
      </c>
      <c r="H28" s="161">
        <v>0</v>
      </c>
      <c r="I28" s="161">
        <f t="shared" si="1"/>
        <v>3744666.4265573705</v>
      </c>
      <c r="J28" s="167">
        <v>0.06</v>
      </c>
      <c r="K28" s="161">
        <f t="shared" si="2"/>
        <v>224679.98559344222</v>
      </c>
      <c r="L28" s="161">
        <f t="shared" si="3"/>
        <v>3519986.440963928</v>
      </c>
    </row>
    <row r="29" spans="2:12" ht="12.75">
      <c r="B29" s="166" t="s">
        <v>485</v>
      </c>
      <c r="C29" s="160">
        <v>1</v>
      </c>
      <c r="D29" s="161">
        <f>'[1]SCHED 8 CCA-Q42001'!$M29</f>
        <v>2864772.953512439</v>
      </c>
      <c r="G29" s="161">
        <f t="shared" si="0"/>
        <v>2864772.953512439</v>
      </c>
      <c r="H29" s="161">
        <v>0</v>
      </c>
      <c r="I29" s="161">
        <f t="shared" si="1"/>
        <v>2864772.953512439</v>
      </c>
      <c r="J29" s="167">
        <v>0.04</v>
      </c>
      <c r="K29" s="161">
        <f t="shared" si="2"/>
        <v>114590.91814049757</v>
      </c>
      <c r="L29" s="161">
        <f t="shared" si="3"/>
        <v>2750182.0353719415</v>
      </c>
    </row>
    <row r="30" spans="2:12" ht="12.75">
      <c r="B30" s="166" t="s">
        <v>486</v>
      </c>
      <c r="C30" s="160">
        <v>2</v>
      </c>
      <c r="D30" s="161">
        <f>'[1]SCHED 8 CCA-Q42001'!$M30</f>
        <v>1472053.475850521</v>
      </c>
      <c r="G30" s="161">
        <f t="shared" si="0"/>
        <v>1472053.475850521</v>
      </c>
      <c r="H30" s="161">
        <v>0</v>
      </c>
      <c r="I30" s="161">
        <f t="shared" si="1"/>
        <v>1472053.475850521</v>
      </c>
      <c r="J30" s="167">
        <v>0.06</v>
      </c>
      <c r="K30" s="161">
        <f t="shared" si="2"/>
        <v>88323.20855103125</v>
      </c>
      <c r="L30" s="161">
        <f t="shared" si="3"/>
        <v>1383730.2672994896</v>
      </c>
    </row>
    <row r="31" spans="2:12" ht="12.75">
      <c r="B31" s="166" t="s">
        <v>487</v>
      </c>
      <c r="C31" s="160">
        <v>8</v>
      </c>
      <c r="D31" s="161">
        <f>'[1]SCHED 8 CCA-Q42001'!$M31</f>
        <v>295809.71225753427</v>
      </c>
      <c r="G31" s="161">
        <f t="shared" si="0"/>
        <v>295809.71225753427</v>
      </c>
      <c r="H31" s="161">
        <v>0</v>
      </c>
      <c r="I31" s="161">
        <f t="shared" si="1"/>
        <v>295809.71225753427</v>
      </c>
      <c r="J31" s="167">
        <v>0.2</v>
      </c>
      <c r="K31" s="161">
        <f t="shared" si="2"/>
        <v>59161.94245150685</v>
      </c>
      <c r="L31" s="161">
        <f t="shared" si="3"/>
        <v>236647.7698060274</v>
      </c>
    </row>
    <row r="32" spans="2:12" ht="12.75">
      <c r="B32" s="166" t="s">
        <v>488</v>
      </c>
      <c r="C32" s="160">
        <v>10</v>
      </c>
      <c r="D32" s="161">
        <f>'[1]SCHED 8 CCA-Q42001'!$M32</f>
        <v>489810.44212602737</v>
      </c>
      <c r="G32" s="161">
        <f t="shared" si="0"/>
        <v>489810.44212602737</v>
      </c>
      <c r="H32" s="161">
        <v>0</v>
      </c>
      <c r="I32" s="161">
        <f t="shared" si="1"/>
        <v>489810.44212602737</v>
      </c>
      <c r="J32" s="167">
        <v>0.3</v>
      </c>
      <c r="K32" s="161">
        <f t="shared" si="2"/>
        <v>146943.13263780822</v>
      </c>
      <c r="L32" s="161">
        <f t="shared" si="3"/>
        <v>342867.30948821915</v>
      </c>
    </row>
    <row r="33" spans="2:12" ht="12.75">
      <c r="B33" s="166" t="s">
        <v>489</v>
      </c>
      <c r="C33" s="160">
        <v>8</v>
      </c>
      <c r="D33" s="161">
        <f>'[1]SCHED 8 CCA-Q42001'!$M33</f>
        <v>42250.68461917808</v>
      </c>
      <c r="G33" s="161">
        <f t="shared" si="0"/>
        <v>42250.68461917808</v>
      </c>
      <c r="H33" s="161">
        <v>0</v>
      </c>
      <c r="I33" s="161">
        <f t="shared" si="1"/>
        <v>42250.68461917808</v>
      </c>
      <c r="J33" s="167">
        <v>0.2</v>
      </c>
      <c r="K33" s="161">
        <f t="shared" si="2"/>
        <v>8450.136923835616</v>
      </c>
      <c r="L33" s="161">
        <f t="shared" si="3"/>
        <v>33800.547695342466</v>
      </c>
    </row>
    <row r="34" spans="2:12" ht="12.75">
      <c r="B34" s="166" t="s">
        <v>490</v>
      </c>
      <c r="C34" s="160">
        <v>10</v>
      </c>
      <c r="D34" s="161">
        <f>'[1]SCHED 8 CCA-Q42001'!$M34</f>
        <v>987205.3224767124</v>
      </c>
      <c r="G34" s="161">
        <f t="shared" si="0"/>
        <v>987205.3224767124</v>
      </c>
      <c r="H34" s="161">
        <v>0</v>
      </c>
      <c r="I34" s="161">
        <f t="shared" si="1"/>
        <v>987205.3224767124</v>
      </c>
      <c r="J34" s="167">
        <v>0.3</v>
      </c>
      <c r="K34" s="161">
        <f t="shared" si="2"/>
        <v>296161.5967430137</v>
      </c>
      <c r="L34" s="161">
        <f t="shared" si="3"/>
        <v>691043.7257336987</v>
      </c>
    </row>
    <row r="35" spans="2:12" ht="12.75">
      <c r="B35" s="166" t="s">
        <v>491</v>
      </c>
      <c r="C35" s="160">
        <v>8</v>
      </c>
      <c r="D35" s="161">
        <f>'[1]SCHED 8 CCA-Q42001'!$M35</f>
        <v>432404.49059178086</v>
      </c>
      <c r="G35" s="161">
        <f t="shared" si="0"/>
        <v>432404.49059178086</v>
      </c>
      <c r="H35" s="161">
        <v>0</v>
      </c>
      <c r="I35" s="161">
        <f t="shared" si="1"/>
        <v>432404.49059178086</v>
      </c>
      <c r="J35" s="167">
        <v>0.2</v>
      </c>
      <c r="K35" s="161">
        <f t="shared" si="2"/>
        <v>86480.89811835618</v>
      </c>
      <c r="L35" s="161">
        <f t="shared" si="3"/>
        <v>345923.5924734247</v>
      </c>
    </row>
    <row r="36" spans="2:12" ht="12.75">
      <c r="B36" s="166" t="s">
        <v>492</v>
      </c>
      <c r="C36" s="160">
        <v>1</v>
      </c>
      <c r="D36" s="161">
        <f>'[1]SCHED 8 CCA-Q42001'!$M36</f>
        <v>937560.5407978082</v>
      </c>
      <c r="G36" s="161">
        <f t="shared" si="0"/>
        <v>937560.5407978082</v>
      </c>
      <c r="H36" s="161">
        <v>0</v>
      </c>
      <c r="I36" s="161">
        <f t="shared" si="1"/>
        <v>937560.5407978082</v>
      </c>
      <c r="J36" s="167">
        <v>0.04</v>
      </c>
      <c r="K36" s="161">
        <f t="shared" si="2"/>
        <v>37502.42163191233</v>
      </c>
      <c r="L36" s="161">
        <f t="shared" si="3"/>
        <v>900058.1191658959</v>
      </c>
    </row>
    <row r="37" spans="2:12" ht="12.75">
      <c r="B37" s="166" t="s">
        <v>501</v>
      </c>
      <c r="C37" s="160">
        <v>10</v>
      </c>
      <c r="D37" s="161">
        <f>'[1]SCHED 8 CCA-Q42001'!$M37</f>
        <v>379399.19506849314</v>
      </c>
      <c r="G37" s="161">
        <f t="shared" si="0"/>
        <v>379399.19506849314</v>
      </c>
      <c r="H37" s="161">
        <v>0</v>
      </c>
      <c r="I37" s="161">
        <f t="shared" si="1"/>
        <v>379399.19506849314</v>
      </c>
      <c r="J37" s="167">
        <v>0.3</v>
      </c>
      <c r="K37" s="161">
        <f t="shared" si="2"/>
        <v>113819.75852054794</v>
      </c>
      <c r="L37" s="161">
        <f t="shared" si="3"/>
        <v>265579.4365479452</v>
      </c>
    </row>
    <row r="38" spans="2:12" ht="12.75">
      <c r="B38" s="166" t="s">
        <v>502</v>
      </c>
      <c r="C38" s="160">
        <v>12</v>
      </c>
      <c r="D38" s="161">
        <f>'[1]SCHED 8 CCA-Q42001'!$M38</f>
        <v>333864.3075342466</v>
      </c>
      <c r="G38" s="161">
        <f t="shared" si="0"/>
        <v>333864.3075342466</v>
      </c>
      <c r="H38" s="161">
        <v>0</v>
      </c>
      <c r="I38" s="161">
        <f t="shared" si="1"/>
        <v>333864.3075342466</v>
      </c>
      <c r="J38" s="167">
        <v>1</v>
      </c>
      <c r="K38" s="161">
        <f t="shared" si="2"/>
        <v>333864.3075342466</v>
      </c>
      <c r="L38" s="161">
        <f t="shared" si="3"/>
        <v>0</v>
      </c>
    </row>
    <row r="39" spans="2:12" ht="12.75">
      <c r="B39" s="166" t="s">
        <v>493</v>
      </c>
      <c r="D39" s="168">
        <f>SUM(D12:D38)</f>
        <v>97841103.65796162</v>
      </c>
      <c r="G39" s="161">
        <f>SUM(G12:G38)</f>
        <v>97841103.65796162</v>
      </c>
      <c r="H39" s="161">
        <f>SUM(H12:H38)</f>
        <v>0</v>
      </c>
      <c r="I39" s="161">
        <f>SUM(I12:I38)</f>
        <v>97841103.65796162</v>
      </c>
      <c r="J39" s="167"/>
      <c r="K39" s="168">
        <f>SUM(K12:K38)</f>
        <v>5335186.489988285</v>
      </c>
      <c r="L39" s="161">
        <f>SUM(L12:L38)</f>
        <v>92505917.16797334</v>
      </c>
    </row>
    <row r="40" ht="12.75">
      <c r="J40" s="167"/>
    </row>
    <row r="41" ht="12.75">
      <c r="J41" s="167"/>
    </row>
    <row r="42" ht="12.75">
      <c r="J42" s="167"/>
    </row>
    <row r="43" ht="12.75">
      <c r="J43" s="167"/>
    </row>
    <row r="44" ht="12.75">
      <c r="J44" s="167"/>
    </row>
    <row r="45" ht="12.75">
      <c r="J45" s="167"/>
    </row>
    <row r="46" ht="12.75">
      <c r="J46" s="167"/>
    </row>
    <row r="47" ht="12.75">
      <c r="J47" s="167"/>
    </row>
    <row r="48" ht="12.75">
      <c r="J48" s="167"/>
    </row>
  </sheetData>
  <sheetProtection/>
  <printOptions/>
  <pageMargins left="0.45" right="0.42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Steve Zebrowski</cp:lastModifiedBy>
  <cp:lastPrinted>2002-02-28T21:28:53Z</cp:lastPrinted>
  <dcterms:created xsi:type="dcterms:W3CDTF">2001-11-07T16:15:53Z</dcterms:created>
  <dcterms:modified xsi:type="dcterms:W3CDTF">2012-04-18T18:31:53Z</dcterms:modified>
  <cp:category/>
  <cp:version/>
  <cp:contentType/>
  <cp:contentStatus/>
</cp:coreProperties>
</file>