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2" yWindow="65524" windowWidth="12912" windowHeight="72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<sst xmlns="http://schemas.openxmlformats.org/spreadsheetml/2006/main" count="891" uniqueCount="514">
  <si>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</si>
  <si>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</si>
  <si>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</si>
  <si>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</si>
  <si>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</si>
  <si>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</si>
  <si>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</si>
  <si>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</si>
  <si>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</si>
  <si>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</si>
  <si>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</si>
  <si>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</si>
  <si>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</si>
  <si>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</si>
  <si>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</si>
  <si>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</si>
  <si>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</si>
  <si>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</si>
  <si>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</si>
  <si>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</si>
  <si>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</si>
  <si>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</si>
  <si>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</si>
  <si>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</si>
  <si>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</si>
  <si>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</si>
  <si>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</si>
  <si>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</si>
  <si>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</si>
  <si>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</si>
  <si>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</si>
  <si>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</si>
  <si>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</si>
  <si>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</si>
  <si>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</si>
  <si>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</si>
  <si>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</si>
  <si>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</si>
  <si>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</si>
  <si>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</si>
  <si>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</si>
  <si>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</si>
  <si>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</si>
  <si>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</si>
  <si>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</si>
  <si>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</si>
  <si>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</si>
  <si>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</si>
  <si>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</si>
  <si>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</si>
  <si>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</si>
  <si>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</si>
  <si>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</si>
  <si>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</si>
  <si>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</si>
  <si>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</si>
  <si>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</si>
  <si>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</si>
  <si>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</si>
  <si>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</si>
  <si>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</si>
  <si>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</si>
  <si>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</si>
  <si>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</si>
  <si>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</si>
  <si>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</si>
  <si>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</si>
  <si>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</si>
  <si>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</si>
  <si>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</si>
  <si>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</si>
  <si>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</si>
  <si>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</si>
  <si>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</si>
  <si>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</si>
  <si>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</si>
  <si>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</si>
  <si>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</si>
  <si>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</si>
  <si>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</si>
  <si>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</si>
  <si>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</si>
  <si>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</si>
  <si>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</si>
  <si>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</si>
  <si>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</si>
  <si>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</si>
  <si>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</si>
  <si>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</si>
  <si>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</si>
  <si>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</si>
  <si>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</si>
  <si>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</si>
  <si>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</si>
  <si>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</si>
  <si>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</si>
  <si>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</si>
  <si>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</si>
  <si>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</si>
  <si>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</si>
  <si>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</si>
  <si>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</si>
  <si>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</si>
  <si>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</si>
  <si>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</si>
  <si>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</si>
  <si>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</si>
  <si>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</si>
  <si>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</si>
  <si>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</si>
  <si>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</si>
  <si>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</si>
  <si>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</si>
  <si>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</si>
  <si>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</si>
  <si>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</si>
  <si>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</si>
  <si>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</si>
  <si>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</si>
  <si>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</si>
  <si>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</si>
  <si>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</si>
  <si>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</si>
  <si>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</si>
  <si>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</si>
  <si>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</si>
  <si>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</si>
  <si>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</si>
  <si>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</si>
  <si>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</si>
  <si>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</si>
  <si>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</si>
  <si>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</si>
  <si>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</si>
  <si>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</si>
  <si>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</si>
  <si>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</si>
  <si>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</si>
  <si>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</si>
  <si>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</si>
  <si>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</si>
  <si>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</si>
  <si>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</si>
  <si>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</si>
  <si>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</si>
  <si>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</si>
  <si>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</si>
  <si>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</si>
  <si>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</si>
  <si>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</si>
  <si>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</si>
  <si>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</si>
  <si>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</si>
  <si>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</si>
  <si>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</si>
  <si>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</si>
  <si>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</si>
  <si>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</si>
  <si>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</si>
  <si>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</si>
  <si>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</si>
  <si>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</si>
  <si>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</si>
  <si>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</si>
  <si>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</si>
  <si>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</si>
  <si>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</si>
  <si>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</si>
  <si>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</si>
  <si>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</si>
  <si>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</si>
  <si>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</si>
  <si>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</si>
  <si>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</si>
  <si>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</si>
  <si>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</si>
  <si>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</si>
  <si>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</si>
  <si>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</si>
  <si>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</si>
  <si>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</si>
  <si>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</si>
  <si>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</si>
  <si>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</si>
  <si>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</si>
  <si>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</si>
  <si>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</si>
  <si>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</si>
  <si>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</si>
  <si>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</si>
  <si>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</si>
  <si>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</si>
  <si>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</si>
  <si>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</si>
  <si>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</si>
  <si>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</si>
  <si>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</si>
  <si>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</si>
  <si>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</si>
  <si>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</si>
  <si>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</si>
  <si>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</si>
  <si>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</si>
  <si>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</si>
  <si>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</si>
  <si>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</si>
  <si>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</si>
  <si>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</si>
  <si>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</si>
  <si>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</si>
  <si>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</si>
  <si>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</si>
  <si>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</si>
  <si>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</si>
  <si>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</si>
  <si>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</si>
  <si>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</si>
  <si>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</si>
  <si>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</si>
  <si>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</si>
  <si>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</si>
  <si>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</si>
  <si>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</si>
  <si>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</si>
  <si>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</si>
  <si>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</si>
  <si>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</si>
  <si>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</si>
  <si>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</si>
  <si>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</si>
  <si>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</si>
  <si>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</si>
  <si>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</si>
  <si>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</si>
  <si>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</si>
  <si>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</si>
  <si>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</si>
  <si>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</si>
  <si>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</si>
  <si>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</si>
  <si>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</si>
  <si>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</si>
  <si>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</si>
  <si>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</si>
  <si>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</si>
  <si>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</si>
  <si>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</si>
  <si>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</si>
  <si>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</si>
  <si>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</si>
  <si>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</si>
  <si>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</si>
  <si>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</si>
  <si>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</si>
  <si>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</si>
  <si>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</si>
  <si>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</si>
  <si>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</si>
  <si>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</si>
  <si>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</si>
  <si>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</si>
  <si>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</si>
  <si>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</si>
  <si>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</si>
  <si>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</si>
  <si>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</si>
  <si>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</si>
  <si>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</si>
  <si>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</si>
  <si>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</si>
  <si>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</si>
  <si>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</si>
  <si>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</si>
  <si>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</si>
  <si>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</si>
  <si>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</si>
  <si>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</si>
  <si>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</si>
  <si>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</si>
  <si>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</si>
  <si>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</si>
  <si>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</si>
  <si>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</si>
  <si>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</si>
  <si>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</si>
  <si>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</si>
  <si>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</si>
  <si>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</si>
  <si>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</si>
  <si>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</si>
  <si>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</si>
  <si>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</si>
  <si>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</si>
  <si>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</si>
  <si>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</si>
  <si>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</si>
  <si>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</si>
  <si>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</si>
  <si>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</si>
  <si>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</si>
  <si>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</si>
  <si>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</si>
  <si>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</si>
  <si>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</si>
  <si>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</si>
  <si>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</si>
  <si>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</si>
  <si>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</si>
  <si>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</si>
  <si>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</si>
  <si>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</si>
  <si>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</si>
  <si>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</si>
  <si>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</si>
  <si>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</si>
  <si>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</si>
  <si>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</si>
  <si>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</si>
  <si>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</si>
  <si>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</si>
  <si>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</si>
  <si>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</si>
  <si>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</si>
  <si>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</si>
  <si>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</si>
  <si>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</si>
  <si>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</si>
  <si>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</si>
  <si>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</si>
  <si>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</si>
  <si>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</si>
  <si>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</si>
  <si>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</si>
  <si>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</si>
  <si>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</si>
  <si>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</si>
  <si>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</si>
  <si>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</si>
  <si>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</si>
  <si>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</si>
  <si>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</si>
  <si>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</si>
  <si>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</si>
  <si>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</si>
  <si>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</si>
  <si>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</si>
  <si>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</si>
  <si>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</si>
  <si>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</si>
  <si>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</si>
  <si>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</si>
  <si>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</si>
  <si>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</si>
  <si>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</si>
  <si>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</si>
  <si>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</si>
  <si>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</si>
  <si>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</si>
  <si>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</si>
  <si>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</si>
  <si>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</si>
  <si>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</si>
  <si>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</si>
  <si>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</si>
  <si>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</si>
  <si>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</si>
  <si>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</si>
  <si>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</si>
  <si>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</si>
  <si>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</si>
  <si>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</si>
  <si>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</si>
  <si>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</si>
  <si>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</si>
  <si>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</si>
  <si>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</si>
  <si>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</si>
  <si>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</si>
  <si>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</si>
  <si>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</si>
  <si>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</si>
  <si>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</si>
  <si>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</si>
  <si>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</si>
  <si>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</si>
  <si>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</si>
  <si>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</si>
  <si>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</si>
  <si>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</si>
  <si>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</si>
  <si>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</si>
  <si>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</si>
  <si>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</si>
  <si>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</si>
  <si>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</si>
  <si>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</si>
  <si>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</si>
  <si>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</si>
  <si>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</si>
  <si>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</si>
  <si>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</si>
  <si>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</si>
  <si>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</si>
  <si>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</si>
  <si>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</si>
  <si>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</si>
  <si>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</si>
  <si>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</si>
  <si>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</si>
  <si>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</si>
  <si>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</si>
  <si>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</si>
  <si>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</si>
  <si>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</si>
  <si>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</si>
  <si>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</si>
  <si>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</si>
  <si>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</si>
  <si>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</si>
  <si>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</si>
  <si>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</si>
  <si>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</si>
  <si>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</si>
  <si>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</si>
  <si>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</si>
  <si>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</si>
  <si>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</si>
  <si>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</si>
  <si>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</si>
  <si>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</si>
  <si>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</si>
  <si>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</si>
  <si>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</si>
  <si>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</si>
  <si>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</si>
  <si>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</si>
  <si>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</si>
  <si>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</si>
  <si>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</si>
  <si>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</si>
  <si>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</si>
  <si>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</si>
  <si>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</si>
  <si>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</si>
  <si>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</si>
  <si>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</si>
  <si>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</si>
  <si>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</si>
  <si>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</si>
  <si>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</si>
  <si>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</si>
  <si>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</si>
  <si>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</si>
  <si>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</si>
  <si>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</si>
  <si>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</si>
  <si>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</si>
  <si>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</si>
  <si>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</si>
  <si>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</si>
  <si>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</si>
  <si>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</si>
  <si>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</si>
  <si>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</si>
  <si>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</si>
  <si>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</si>
  <si>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PILs billed to (collected from) customers             (8)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</si>
  <si>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</si>
  <si>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</si>
  <si>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</si>
  <si>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</si>
  <si>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</si>
  <si>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</si>
  <si>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</si>
  <si>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</si>
  <si>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</si>
  <si>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</si>
  <si>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</si>
  <si>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</si>
  <si>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</si>
  <si>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</si>
  <si>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</si>
  <si>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</si>
  <si>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</si>
  <si>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</si>
  <si>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</si>
  <si>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</si>
  <si>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</si>
  <si>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</si>
  <si>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</si>
  <si>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</si>
  <si>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</si>
  <si>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</si>
  <si>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Y</t>
  </si>
  <si>
    <t>N</t>
  </si>
  <si>
    <t>Utility Name: Centre Wellington Hydro Ltd</t>
  </si>
  <si>
    <r>
      <t>Changes in Regulatory Asset balances-</t>
    </r>
    <r>
      <rPr>
        <b/>
        <sz val="10"/>
        <color indexed="30"/>
        <rFont val="Arial"/>
        <family val="2"/>
      </rPr>
      <t>Recovery of Reg Assets</t>
    </r>
  </si>
  <si>
    <r>
      <t xml:space="preserve">   other deductions-</t>
    </r>
    <r>
      <rPr>
        <i/>
        <sz val="10"/>
        <color indexed="30"/>
        <rFont val="Arial"/>
        <family val="2"/>
      </rPr>
      <t>Change in settlement variance</t>
    </r>
  </si>
  <si>
    <t>Change in Settlement Variance</t>
  </si>
  <si>
    <t>Depreciation Difference between Income statement &amp; Schedule 1</t>
  </si>
  <si>
    <t>Ontario Capital taxes per tax return</t>
  </si>
  <si>
    <t xml:space="preserve">   C&amp;DM 2005 Incremental OMA expenses per CDM Plan</t>
  </si>
  <si>
    <t>Maximum deemed interest REGINFO D70</t>
  </si>
  <si>
    <t>Dividends</t>
  </si>
  <si>
    <t>Net Taxable income per sheet</t>
  </si>
  <si>
    <t>Less Recovery of regulatory assets</t>
  </si>
  <si>
    <t>Add back Settlement Variance</t>
  </si>
  <si>
    <t xml:space="preserve">  Taxable income before Unrealized Income</t>
  </si>
  <si>
    <t>Less:Small Business Deduction</t>
  </si>
  <si>
    <t>Revised Net Taxable income</t>
  </si>
  <si>
    <t>Effective Tax Rates</t>
  </si>
  <si>
    <t>Less Change in Settlement Variance</t>
  </si>
  <si>
    <t>Add bacl Regulatory Assets recovered</t>
  </si>
  <si>
    <t>Taxable dividends deductible under section 112 or 113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</si>
</sst>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30"/>
      <name val="Arial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3" fontId="0" fillId="4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7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39" borderId="14" xfId="0" applyNumberFormat="1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0" borderId="17" xfId="0" applyNumberFormat="1" applyFon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right" vertical="top"/>
      <protection/>
    </xf>
    <xf numFmtId="3" fontId="0" fillId="35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40" borderId="0" xfId="63" applyFont="1" applyFill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vertical="top"/>
      <protection/>
    </xf>
    <xf numFmtId="10" fontId="0" fillId="0" borderId="0" xfId="63" applyFont="1" applyAlignment="1" applyProtection="1">
      <alignment vertical="top"/>
      <protection locked="0"/>
    </xf>
    <xf numFmtId="0" fontId="0" fillId="39" borderId="17" xfId="0" applyFont="1" applyFill="1" applyBorder="1" applyAlignment="1">
      <alignment horizontal="center" vertical="top"/>
    </xf>
    <xf numFmtId="0" fontId="0" fillId="39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1" fillId="0" borderId="24" xfId="0" applyFont="1" applyBorder="1" applyAlignment="1" applyProtection="1">
      <alignment vertical="top"/>
      <protection/>
    </xf>
    <xf numFmtId="0" fontId="31" fillId="0" borderId="0" xfId="0" applyFont="1" applyAlignment="1">
      <alignment vertical="top"/>
    </xf>
    <xf numFmtId="0" fontId="30" fillId="0" borderId="0" xfId="0" applyFont="1" applyAlignment="1">
      <alignment vertical="top"/>
    </xf>
    <xf numFmtId="10" fontId="0" fillId="38" borderId="0" xfId="0" applyNumberFormat="1" applyFill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60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4" t="s">
        <v>445</v>
      </c>
      <c r="E3" s="8"/>
      <c r="F3" s="8"/>
      <c r="G3" s="8"/>
      <c r="H3" s="8"/>
    </row>
    <row r="4" spans="1:8" ht="12.75">
      <c r="A4" s="2" t="s">
        <v>477</v>
      </c>
      <c r="C4" s="8"/>
      <c r="D4" s="453" t="s">
        <v>440</v>
      </c>
      <c r="E4" s="428"/>
      <c r="H4" s="8"/>
    </row>
    <row r="5" spans="1:8" ht="12.75">
      <c r="A5" s="52"/>
      <c r="C5" s="8"/>
      <c r="D5" s="452" t="s">
        <v>441</v>
      </c>
      <c r="E5" s="398"/>
      <c r="H5" s="8"/>
    </row>
    <row r="6" spans="1:8" ht="12.75">
      <c r="A6" s="2" t="s">
        <v>125</v>
      </c>
      <c r="B6" s="388">
        <v>365</v>
      </c>
      <c r="C6" s="8" t="s">
        <v>126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4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4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64</v>
      </c>
      <c r="D17" s="494" t="s">
        <v>494</v>
      </c>
    </row>
    <row r="18" spans="1:4" ht="15" customHeight="1">
      <c r="A18" s="389" t="s">
        <v>313</v>
      </c>
      <c r="C18" s="8"/>
      <c r="D18" s="8"/>
    </row>
    <row r="19" spans="1:4" ht="15" customHeight="1">
      <c r="A19" s="514" t="s">
        <v>314</v>
      </c>
      <c r="B19" s="8" t="s">
        <v>311</v>
      </c>
      <c r="C19" s="8" t="s">
        <v>64</v>
      </c>
      <c r="D19" s="495" t="s">
        <v>494</v>
      </c>
    </row>
    <row r="20" spans="1:4" ht="13.5" thickBot="1">
      <c r="A20" s="515"/>
      <c r="B20" s="8" t="s">
        <v>312</v>
      </c>
      <c r="C20" s="8" t="s">
        <v>64</v>
      </c>
      <c r="D20" s="494" t="s">
        <v>494</v>
      </c>
    </row>
    <row r="21" spans="1:4" ht="12.75">
      <c r="A21" s="514" t="s">
        <v>310</v>
      </c>
      <c r="B21" s="8" t="s">
        <v>311</v>
      </c>
      <c r="C21" s="8"/>
      <c r="D21" s="423">
        <v>1</v>
      </c>
    </row>
    <row r="22" spans="1:4" ht="12.75">
      <c r="A22" s="514"/>
      <c r="B22" s="8" t="s">
        <v>312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210</v>
      </c>
      <c r="C24" s="8" t="s">
        <v>211</v>
      </c>
      <c r="D24" s="424" t="s">
        <v>478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295</v>
      </c>
    </row>
    <row r="27" spans="1:5" ht="12.75">
      <c r="A27" s="256" t="s">
        <v>68</v>
      </c>
      <c r="C27" s="8"/>
      <c r="E27" s="444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21">
        <v>8553725.78</v>
      </c>
      <c r="H31" s="5"/>
    </row>
    <row r="32" ht="6" customHeight="1"/>
    <row r="33" spans="1:8" ht="12.75">
      <c r="A33" t="s">
        <v>71</v>
      </c>
      <c r="D33" s="42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732626.613057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177538.61305699998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6">
        <v>59180</v>
      </c>
      <c r="E47" s="387">
        <f aca="true" t="shared" si="0" ref="E47:E53">D47</f>
        <v>59180</v>
      </c>
      <c r="H47" s="40"/>
      <c r="J47" s="5"/>
      <c r="K47" s="5"/>
    </row>
    <row r="48" spans="1:11" ht="12.75">
      <c r="A48" t="s">
        <v>288</v>
      </c>
      <c r="D48" s="426">
        <v>59180</v>
      </c>
      <c r="E48" s="387">
        <f>D48</f>
        <v>59180</v>
      </c>
      <c r="F48" s="22"/>
      <c r="H48" s="40"/>
      <c r="J48" s="5"/>
      <c r="K48" s="5"/>
    </row>
    <row r="49" spans="1:11" ht="12.75">
      <c r="A49" t="s">
        <v>289</v>
      </c>
      <c r="D49" s="427">
        <v>0</v>
      </c>
      <c r="E49" s="387">
        <f>D49</f>
        <v>0</v>
      </c>
      <c r="F49" s="22"/>
      <c r="H49" s="40"/>
      <c r="J49" s="5"/>
      <c r="K49" s="5"/>
    </row>
    <row r="50" spans="1:11" ht="12.75">
      <c r="A50" t="s">
        <v>290</v>
      </c>
      <c r="D50" s="428">
        <v>0</v>
      </c>
      <c r="E50" s="387">
        <f t="shared" si="0"/>
        <v>0</v>
      </c>
      <c r="H50" s="40"/>
      <c r="J50" s="5"/>
      <c r="K50" s="5"/>
    </row>
    <row r="51" spans="1:11" ht="12.75">
      <c r="A51" t="s">
        <v>437</v>
      </c>
      <c r="C51" s="491">
        <v>1</v>
      </c>
      <c r="D51" s="428">
        <v>59180</v>
      </c>
      <c r="E51" s="387">
        <f>+C51*D51</f>
        <v>59180</v>
      </c>
      <c r="G51" s="3"/>
      <c r="H51" s="40"/>
      <c r="J51" s="5"/>
      <c r="K51" s="5"/>
    </row>
    <row r="52" spans="1:11" ht="12.75">
      <c r="A52" t="s">
        <v>460</v>
      </c>
      <c r="D52" s="428"/>
      <c r="E52" s="387"/>
      <c r="G52" s="490"/>
      <c r="H52" s="40"/>
      <c r="J52" s="5"/>
      <c r="K52" s="5"/>
    </row>
    <row r="53" spans="4:11" ht="12.75">
      <c r="D53" s="428"/>
      <c r="E53" s="387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4">
        <f>SUM(E43:E53)</f>
        <v>732628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4276862.89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422554.053532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4276862.89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310072.55952499993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259979.15936952707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285026.1529480443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285026.1529480443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310072.55952499993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E33" sqref="E3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127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248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Centre Wellington Hydro Ltd</v>
      </c>
      <c r="B6" s="115"/>
      <c r="D6" s="137"/>
      <c r="E6" s="115"/>
      <c r="G6" s="115"/>
      <c r="H6" s="464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4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29">
        <f>REGINFO!B6</f>
        <v>365</v>
      </c>
      <c r="C9" s="231" t="s">
        <v>126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9">
        <f>REGINFO!B7</f>
        <v>365</v>
      </c>
      <c r="C10" s="231" t="s">
        <v>126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8">
        <f>REGINFO!E54</f>
        <v>732628</v>
      </c>
      <c r="D16" s="17"/>
      <c r="E16" s="266">
        <f>G16-C16</f>
        <v>234255</v>
      </c>
      <c r="F16" s="3"/>
      <c r="G16" s="266">
        <f>TAXREC!E50</f>
        <v>966883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442771</v>
      </c>
      <c r="D20" s="18"/>
      <c r="E20" s="266">
        <f>G20-C20</f>
        <v>52576</v>
      </c>
      <c r="F20" s="6"/>
      <c r="G20" s="266">
        <f>TAXREC!E61</f>
        <v>495347</v>
      </c>
      <c r="H20" s="151"/>
    </row>
    <row r="21" spans="1:8" ht="12.75">
      <c r="A21" s="158" t="s">
        <v>56</v>
      </c>
      <c r="B21" s="127">
        <v>3</v>
      </c>
      <c r="C21" s="260"/>
      <c r="D21" s="18"/>
      <c r="E21" s="266">
        <f>G21-C21</f>
        <v>84773</v>
      </c>
      <c r="F21" s="6"/>
      <c r="G21" s="266">
        <f>TAXREC!E62</f>
        <v>84773</v>
      </c>
      <c r="H21" s="151"/>
    </row>
    <row r="22" spans="1:8" ht="12.75">
      <c r="A22" s="158" t="s">
        <v>262</v>
      </c>
      <c r="B22" s="127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1"/>
    </row>
    <row r="23" spans="1:8" ht="12.75">
      <c r="A23" s="158" t="s">
        <v>261</v>
      </c>
      <c r="B23" s="127">
        <v>4</v>
      </c>
      <c r="C23" s="260"/>
      <c r="D23" s="18"/>
      <c r="E23" s="266">
        <f>G23-C23</f>
        <v>0</v>
      </c>
      <c r="F23" s="6"/>
      <c r="G23" s="266">
        <f>TAXREC!E64</f>
        <v>0</v>
      </c>
      <c r="H23" s="151"/>
    </row>
    <row r="24" spans="1:8" ht="12.75">
      <c r="A24" s="158" t="s">
        <v>263</v>
      </c>
      <c r="B24" s="127">
        <v>5</v>
      </c>
      <c r="C24" s="260"/>
      <c r="D24" s="18"/>
      <c r="E24" s="266">
        <f>G24-C24</f>
        <v>0</v>
      </c>
      <c r="F24" s="6"/>
      <c r="G24" s="266">
        <f>TAXREC!E65</f>
        <v>0</v>
      </c>
      <c r="H24" s="151"/>
    </row>
    <row r="25" spans="1:8" ht="12.75">
      <c r="A25" s="158" t="s">
        <v>53</v>
      </c>
      <c r="B25" s="127"/>
      <c r="C25" s="105" t="s">
        <v>101</v>
      </c>
      <c r="D25" s="18"/>
      <c r="E25" s="186"/>
      <c r="F25" s="33"/>
      <c r="G25" s="186"/>
      <c r="H25" s="151"/>
    </row>
    <row r="26" spans="1:8" ht="12.75">
      <c r="A26" s="158" t="s">
        <v>154</v>
      </c>
      <c r="B26" s="127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1"/>
    </row>
    <row r="27" spans="1:8" ht="12.75">
      <c r="A27" s="158" t="s">
        <v>157</v>
      </c>
      <c r="B27" s="127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1"/>
    </row>
    <row r="28" spans="1:8" ht="12.75">
      <c r="A28" s="158" t="s">
        <v>156</v>
      </c>
      <c r="B28" s="127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1"/>
    </row>
    <row r="29" spans="1:8" ht="12.75">
      <c r="A29" s="158" t="s">
        <v>155</v>
      </c>
      <c r="B29" s="127">
        <v>6</v>
      </c>
      <c r="C29" s="260"/>
      <c r="D29" s="18"/>
      <c r="E29" s="266">
        <f>G29-C29</f>
        <v>0</v>
      </c>
      <c r="F29" s="6"/>
      <c r="G29" s="266">
        <f>TAXREC!E68</f>
        <v>0</v>
      </c>
      <c r="H29" s="151"/>
    </row>
    <row r="30" spans="1:8" ht="15">
      <c r="A30" s="481" t="s">
        <v>393</v>
      </c>
      <c r="B30" s="127"/>
      <c r="C30" s="258"/>
      <c r="D30" s="18"/>
      <c r="E30" s="266">
        <f>G30-C30</f>
        <v>563304</v>
      </c>
      <c r="F30" s="6"/>
      <c r="G30" s="266">
        <f>TAXREC!E66</f>
        <v>563304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0">
        <v>332314</v>
      </c>
      <c r="D33" s="132"/>
      <c r="E33" s="266">
        <f aca="true" t="shared" si="0" ref="E33:E42">G33-C33</f>
        <v>326575</v>
      </c>
      <c r="F33" s="6"/>
      <c r="G33" s="266">
        <f>TAXREC!E97+TAXREC!E98</f>
        <v>658889</v>
      </c>
      <c r="H33" s="151"/>
    </row>
    <row r="34" spans="1:8" ht="12.75">
      <c r="A34" s="158" t="s">
        <v>57</v>
      </c>
      <c r="B34" s="127">
        <v>8</v>
      </c>
      <c r="C34" s="260"/>
      <c r="D34" s="132"/>
      <c r="E34" s="266">
        <f t="shared" si="0"/>
        <v>0</v>
      </c>
      <c r="F34" s="6"/>
      <c r="G34" s="266">
        <f>TAXREC!E99</f>
        <v>0</v>
      </c>
      <c r="H34" s="151"/>
    </row>
    <row r="35" spans="1:8" ht="12.75">
      <c r="A35" s="158" t="s">
        <v>45</v>
      </c>
      <c r="B35" s="127">
        <v>9</v>
      </c>
      <c r="C35" s="260">
        <v>0</v>
      </c>
      <c r="D35" s="132"/>
      <c r="E35" s="266">
        <f t="shared" si="0"/>
        <v>0</v>
      </c>
      <c r="F35" s="6"/>
      <c r="G35" s="266">
        <f>TAXREC!E100</f>
        <v>0</v>
      </c>
      <c r="H35" s="151"/>
    </row>
    <row r="36" spans="1:8" ht="12.75">
      <c r="A36" s="158" t="s">
        <v>264</v>
      </c>
      <c r="B36" s="127">
        <v>10</v>
      </c>
      <c r="C36" s="260"/>
      <c r="D36" s="132"/>
      <c r="E36" s="266">
        <f t="shared" si="0"/>
        <v>0</v>
      </c>
      <c r="F36" s="6"/>
      <c r="G36" s="266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9">
        <f>REGINFO!D70</f>
        <v>310072.55952499993</v>
      </c>
      <c r="D37" s="132"/>
      <c r="E37" s="266">
        <f t="shared" si="0"/>
        <v>67822.44047500007</v>
      </c>
      <c r="F37" s="6"/>
      <c r="G37" s="492">
        <f>TAXREC!E51</f>
        <v>377895</v>
      </c>
      <c r="H37" s="151"/>
    </row>
    <row r="38" spans="1:8" ht="12.75">
      <c r="A38" s="155" t="s">
        <v>260</v>
      </c>
      <c r="B38" s="125">
        <v>4</v>
      </c>
      <c r="C38" s="260"/>
      <c r="D38" s="132"/>
      <c r="E38" s="266">
        <f t="shared" si="0"/>
        <v>0</v>
      </c>
      <c r="F38" s="6"/>
      <c r="G38" s="266">
        <f>TAXREC!E104</f>
        <v>0</v>
      </c>
      <c r="H38" s="151"/>
    </row>
    <row r="39" spans="1:8" ht="12.75">
      <c r="A39" s="155" t="s">
        <v>259</v>
      </c>
      <c r="B39" s="125">
        <v>4</v>
      </c>
      <c r="C39" s="260"/>
      <c r="D39" s="132"/>
      <c r="E39" s="266">
        <f t="shared" si="0"/>
        <v>0</v>
      </c>
      <c r="F39" s="6"/>
      <c r="G39" s="266">
        <f>TAXREC!E105</f>
        <v>0</v>
      </c>
      <c r="H39" s="151"/>
    </row>
    <row r="40" spans="1:8" ht="12.75">
      <c r="A40" s="155" t="s">
        <v>12</v>
      </c>
      <c r="B40" s="125">
        <v>3</v>
      </c>
      <c r="C40" s="260"/>
      <c r="D40" s="132"/>
      <c r="E40" s="266">
        <f t="shared" si="0"/>
        <v>0</v>
      </c>
      <c r="F40" s="6"/>
      <c r="G40" s="266">
        <f>TAXREC!E106</f>
        <v>0</v>
      </c>
      <c r="H40" s="151"/>
    </row>
    <row r="41" spans="1:8" ht="12.75">
      <c r="A41" s="155" t="s">
        <v>13</v>
      </c>
      <c r="B41" s="125">
        <v>3</v>
      </c>
      <c r="C41" s="260"/>
      <c r="D41" s="132"/>
      <c r="E41" s="266">
        <f t="shared" si="0"/>
        <v>0</v>
      </c>
      <c r="F41" s="6"/>
      <c r="G41" s="266">
        <f>TAXREC!E107</f>
        <v>0</v>
      </c>
      <c r="H41" s="151"/>
    </row>
    <row r="42" spans="1:8" ht="12.75">
      <c r="A42" s="155" t="s">
        <v>182</v>
      </c>
      <c r="B42" s="125">
        <v>11</v>
      </c>
      <c r="C42" s="260"/>
      <c r="D42" s="132"/>
      <c r="E42" s="266">
        <f t="shared" si="0"/>
        <v>0</v>
      </c>
      <c r="F42" s="6"/>
      <c r="G42" s="266">
        <f>TAXREC!E109</f>
        <v>0</v>
      </c>
      <c r="H42" s="151"/>
    </row>
    <row r="43" spans="1:8" ht="12.75">
      <c r="A43" s="158" t="s">
        <v>54</v>
      </c>
      <c r="B43" s="127"/>
      <c r="C43" s="105">
        <v>15000</v>
      </c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0"/>
      <c r="D44" s="132"/>
      <c r="E44" s="266">
        <f>G44-C44</f>
        <v>0</v>
      </c>
      <c r="F44" s="6"/>
      <c r="G44" s="251">
        <f>TAXREC!E130</f>
        <v>0</v>
      </c>
      <c r="H44" s="151"/>
    </row>
    <row r="45" spans="1:8" ht="12.75">
      <c r="A45" s="500" t="s">
        <v>501</v>
      </c>
      <c r="B45" s="127">
        <v>12</v>
      </c>
      <c r="C45" s="260"/>
      <c r="D45" s="132"/>
      <c r="E45" s="266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153</v>
      </c>
      <c r="B46" s="127">
        <v>12</v>
      </c>
      <c r="C46" s="260"/>
      <c r="D46" s="132"/>
      <c r="E46" s="266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152</v>
      </c>
      <c r="B47" s="127">
        <v>12</v>
      </c>
      <c r="C47" s="260"/>
      <c r="D47" s="132"/>
      <c r="E47" s="266">
        <f>G47-C47</f>
        <v>0</v>
      </c>
      <c r="F47" s="6"/>
      <c r="G47" s="251">
        <f>TAXREC!E111</f>
        <v>0</v>
      </c>
      <c r="H47" s="151"/>
    </row>
    <row r="48" spans="1:8" ht="15">
      <c r="A48" s="481" t="s">
        <v>393</v>
      </c>
      <c r="B48" s="127"/>
      <c r="C48" s="258"/>
      <c r="D48" s="132"/>
      <c r="E48" s="266">
        <f>G48-C48</f>
        <v>245278</v>
      </c>
      <c r="F48" s="6"/>
      <c r="G48" s="251">
        <f>TAXREC!E108</f>
        <v>245278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2">
        <f>C16+SUM(C20:C30)-SUM(C33:C48)</f>
        <v>518012.44047500007</v>
      </c>
      <c r="D50" s="102"/>
      <c r="E50" s="262">
        <f>E16+SUM(E20:E30)-SUM(E33:E48)</f>
        <v>295232.55952499993</v>
      </c>
      <c r="F50" s="431" t="s">
        <v>365</v>
      </c>
      <c r="G50" s="262">
        <f>G16+SUM(G20:G30)-SUM(G33:G48)</f>
        <v>828245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1">
        <f>IF($C$50&gt;'Tax Rates'!$E$11,'Tax Rates'!$F$16,IF($C$50&gt;'Tax Rates'!$C$11,'Tax Rates'!$E$16,'Tax Rates'!$C$16))</f>
        <v>0.275</v>
      </c>
      <c r="D53" s="102"/>
      <c r="E53" s="267">
        <f>+G53-C53</f>
        <v>-0.02570000000000003</v>
      </c>
      <c r="F53" s="114"/>
      <c r="G53" s="472">
        <v>0.2493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3">
        <f>IF(C50&gt;0,C50*C53,0)</f>
        <v>142453.42113062504</v>
      </c>
      <c r="D55" s="102"/>
      <c r="E55" s="266">
        <f>G55-C55</f>
        <v>104412.57886937496</v>
      </c>
      <c r="F55" s="431" t="s">
        <v>366</v>
      </c>
      <c r="G55" s="263">
        <f>TAXREC!E144</f>
        <v>246866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4"/>
      <c r="D58" s="132"/>
      <c r="E58" s="266">
        <f>+G58-C58</f>
        <v>0</v>
      </c>
      <c r="F58" s="431" t="s">
        <v>366</v>
      </c>
      <c r="G58" s="269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5">
        <f>+C55-C58</f>
        <v>142453.42113062504</v>
      </c>
      <c r="D60" s="133"/>
      <c r="E60" s="268">
        <f>+E55-E58</f>
        <v>104412.57886937496</v>
      </c>
      <c r="F60" s="431" t="s">
        <v>366</v>
      </c>
      <c r="G60" s="268">
        <f>+G55-G58</f>
        <v>246866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3">
        <f>Ratebase</f>
        <v>8553725.78</v>
      </c>
      <c r="D66" s="102"/>
      <c r="E66" s="266">
        <f>G66-C66</f>
        <v>8628147.22</v>
      </c>
      <c r="F66" s="6"/>
      <c r="G66" s="474">
        <v>17181873</v>
      </c>
      <c r="H66" s="151"/>
      <c r="I66" s="475" t="s">
        <v>467</v>
      </c>
    </row>
    <row r="67" spans="1:10" ht="12.75">
      <c r="A67" s="152" t="s">
        <v>358</v>
      </c>
      <c r="B67" s="125">
        <v>16</v>
      </c>
      <c r="C67" s="259">
        <f>IF(C66&gt;0,'Tax Rates'!C21,0)</f>
        <v>7500000</v>
      </c>
      <c r="D67" s="102"/>
      <c r="E67" s="266">
        <f>G67-C67</f>
        <v>0</v>
      </c>
      <c r="F67" s="6"/>
      <c r="G67" s="266">
        <f>'Tax Rates'!C57</f>
        <v>7500000</v>
      </c>
      <c r="H67" s="151"/>
      <c r="I67" s="475" t="s">
        <v>467</v>
      </c>
      <c r="J67" s="476" t="s">
        <v>468</v>
      </c>
    </row>
    <row r="68" spans="1:8" ht="12.75">
      <c r="A68" s="152" t="s">
        <v>42</v>
      </c>
      <c r="B68" s="125"/>
      <c r="C68" s="263">
        <f>IF((C66-C67)&gt;0,C66-C67,0)</f>
        <v>1053725.7799999993</v>
      </c>
      <c r="D68" s="102"/>
      <c r="E68" s="266">
        <f>SUM(E66:E67)</f>
        <v>8628147.22</v>
      </c>
      <c r="F68" s="114"/>
      <c r="G68" s="263">
        <f>G66-G67</f>
        <v>9681873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0">
        <f>'Tax Rates'!C18</f>
        <v>0.003</v>
      </c>
      <c r="D70" s="102"/>
      <c r="E70" s="267">
        <f>+G70-C70</f>
        <v>0</v>
      </c>
      <c r="F70" s="6"/>
      <c r="G70" s="300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3">
        <f>IF(C68&gt;0,C68*C70,0)*REGINFO!$B$6/REGINFO!$B$7</f>
        <v>3161.177339999998</v>
      </c>
      <c r="D72" s="101"/>
      <c r="E72" s="266">
        <f>+G72-C72</f>
        <v>25884.441660000004</v>
      </c>
      <c r="F72" s="477"/>
      <c r="G72" s="263">
        <f>IF(G68&gt;0,G68*G70,0)*REGINFO!$B$6/REGINFO!$B$7</f>
        <v>29045.619000000002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3">
        <f>Ratebase</f>
        <v>8553725.78</v>
      </c>
      <c r="D75" s="102"/>
      <c r="E75" s="266">
        <f>+G75-C75</f>
        <v>4369337.220000001</v>
      </c>
      <c r="F75" s="6"/>
      <c r="G75" s="474">
        <v>12923063</v>
      </c>
      <c r="H75" s="151"/>
      <c r="I75" s="475" t="s">
        <v>467</v>
      </c>
    </row>
    <row r="76" spans="1:9" ht="12.75">
      <c r="A76" s="152" t="s">
        <v>358</v>
      </c>
      <c r="B76" s="125">
        <v>19</v>
      </c>
      <c r="C76" s="259">
        <f>IF(C75&gt;0,'Tax Rates'!C22,0)</f>
        <v>50000000</v>
      </c>
      <c r="D76" s="18"/>
      <c r="E76" s="266">
        <f>+G76-C76</f>
        <v>-40000000</v>
      </c>
      <c r="F76" s="6"/>
      <c r="G76" s="266">
        <v>10000000</v>
      </c>
      <c r="H76" s="151"/>
      <c r="I76" s="475" t="s">
        <v>467</v>
      </c>
    </row>
    <row r="77" spans="1:8" ht="12.75">
      <c r="A77" s="152" t="s">
        <v>42</v>
      </c>
      <c r="B77" s="125"/>
      <c r="C77" s="263">
        <f>IF((C75-C76)&gt;0,C75-C76,0)</f>
        <v>0</v>
      </c>
      <c r="D77" s="19"/>
      <c r="E77" s="266">
        <f>SUM(E75:E76)</f>
        <v>-35630662.78</v>
      </c>
      <c r="F77" s="114"/>
      <c r="G77" s="263">
        <f>IF(G76&gt;G75,0,G75-G76)</f>
        <v>2923063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0">
        <f>'Tax Rates'!C19</f>
        <v>0.00175</v>
      </c>
      <c r="D79" s="102"/>
      <c r="E79" s="267">
        <f>G79-C79</f>
        <v>0.0004999999999999998</v>
      </c>
      <c r="F79" s="6"/>
      <c r="G79" s="267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3">
        <f>IF(C77&gt;0,C77*C79,0)*REGINFO!$B$6/REGINFO!$B$7</f>
        <v>0</v>
      </c>
      <c r="D81" s="102"/>
      <c r="E81" s="266">
        <f>+G81-C81</f>
        <v>6576.89175</v>
      </c>
      <c r="F81" s="6"/>
      <c r="G81" s="263">
        <f>G77*G79*B9/B10</f>
        <v>6576.89175</v>
      </c>
      <c r="H81" s="151"/>
    </row>
    <row r="82" spans="1:8" ht="12.75">
      <c r="A82" s="152" t="s">
        <v>317</v>
      </c>
      <c r="B82" s="125">
        <v>21</v>
      </c>
      <c r="C82" s="299">
        <f>IF(C77&gt;0,IF(C60&gt;0,C50*'Tax Rates'!C20,0),0)</f>
        <v>0</v>
      </c>
      <c r="D82" s="102"/>
      <c r="E82" s="266">
        <f>+G82-C82</f>
        <v>0</v>
      </c>
      <c r="F82" s="6"/>
      <c r="G82" s="299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3">
        <f>C81-C82</f>
        <v>0</v>
      </c>
      <c r="D84" s="16"/>
      <c r="E84" s="266">
        <f>E81-E82</f>
        <v>6576.89175</v>
      </c>
      <c r="F84" s="103"/>
      <c r="G84" s="263">
        <f>G81-G82</f>
        <v>6576.89175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225</v>
      </c>
      <c r="B88" s="125"/>
      <c r="C88" s="261">
        <f>IF($C$50&gt;'Tax Rates'!$E$11,'Tax Rates'!$F$16,IF(AND($C$50&gt;='Tax Rates'!$C$11,$C$50&lt;='Tax Rates'!E11),'Tax Rates'!$E$16,'Tax Rates'!$C$16))</f>
        <v>0.275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3">
        <f>C60/(1-C88)</f>
        <v>196487.47742155177</v>
      </c>
      <c r="D90" s="20"/>
      <c r="E90" s="139"/>
      <c r="F90" s="430" t="s">
        <v>488</v>
      </c>
      <c r="G90" s="269">
        <f>TAXREC!E156</f>
        <v>246866</v>
      </c>
      <c r="H90" s="151"/>
    </row>
    <row r="91" spans="1:8" ht="12.75">
      <c r="A91" s="158" t="s">
        <v>368</v>
      </c>
      <c r="B91" s="127">
        <v>23</v>
      </c>
      <c r="C91" s="263">
        <f>C84/(1-C88)</f>
        <v>0</v>
      </c>
      <c r="D91" s="20"/>
      <c r="E91" s="139"/>
      <c r="F91" s="430" t="s">
        <v>488</v>
      </c>
      <c r="G91" s="269">
        <f>TAXREC!E158</f>
        <v>0</v>
      </c>
      <c r="H91" s="151"/>
    </row>
    <row r="92" spans="1:8" ht="12.75">
      <c r="A92" s="158" t="s">
        <v>346</v>
      </c>
      <c r="B92" s="127">
        <v>24</v>
      </c>
      <c r="C92" s="263">
        <f>C72</f>
        <v>3161.177339999998</v>
      </c>
      <c r="D92" s="20"/>
      <c r="E92" s="139"/>
      <c r="F92" s="430" t="s">
        <v>488</v>
      </c>
      <c r="G92" s="269">
        <f>TAXREC!E157</f>
        <v>29046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489</v>
      </c>
      <c r="B95" s="125">
        <v>25</v>
      </c>
      <c r="C95" s="268">
        <f>SUM(C90:C93)</f>
        <v>199648.65476155176</v>
      </c>
      <c r="D95" s="6"/>
      <c r="E95" s="139"/>
      <c r="F95" s="430" t="s">
        <v>488</v>
      </c>
      <c r="G95" s="413">
        <f>SUM(G90:G94)</f>
        <v>275912</v>
      </c>
      <c r="H95" s="164"/>
    </row>
    <row r="96" spans="1:8" ht="12.75">
      <c r="A96" s="403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84773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473</v>
      </c>
      <c r="B112" s="127">
        <v>11</v>
      </c>
      <c r="C112" s="112"/>
      <c r="D112" s="3"/>
      <c r="E112" s="471">
        <f>E206</f>
        <v>67822.44047500007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218</v>
      </c>
      <c r="B120" s="127">
        <v>26</v>
      </c>
      <c r="C120" s="112"/>
      <c r="D120" s="117" t="s">
        <v>187</v>
      </c>
      <c r="E120" s="263">
        <f>SUM(E102:E107)-SUM(E109:E118)</f>
        <v>16950.55952499993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491</v>
      </c>
      <c r="B122" s="127"/>
      <c r="C122" s="112"/>
      <c r="D122" s="3" t="s">
        <v>229</v>
      </c>
      <c r="E122" s="468">
        <f>G53</f>
        <v>0.2493</v>
      </c>
      <c r="F122" s="469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3">
        <f>E120*E122</f>
        <v>4225.774489582483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3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9" ht="12.75">
      <c r="A128" s="158" t="s">
        <v>116</v>
      </c>
      <c r="B128" s="127"/>
      <c r="C128" s="112"/>
      <c r="D128" s="3"/>
      <c r="E128" s="263">
        <f>E124-E126</f>
        <v>4225.774489582483</v>
      </c>
      <c r="F128" s="37"/>
      <c r="G128" s="201"/>
      <c r="H128" s="164"/>
      <c r="I128" s="39">
        <f>E122</f>
        <v>0.2493</v>
      </c>
    </row>
    <row r="129" spans="1:9" ht="12.75">
      <c r="A129" s="167"/>
      <c r="B129" s="127"/>
      <c r="C129" s="112"/>
      <c r="D129" s="3"/>
      <c r="E129" s="110"/>
      <c r="F129" s="37"/>
      <c r="G129" s="201"/>
      <c r="H129" s="164"/>
      <c r="I129" s="39">
        <v>-0.0112</v>
      </c>
    </row>
    <row r="130" spans="1:9" ht="12.75">
      <c r="A130" s="152" t="s">
        <v>194</v>
      </c>
      <c r="B130" s="127"/>
      <c r="C130" s="112"/>
      <c r="D130" s="3"/>
      <c r="E130" s="311">
        <f>E122-1.12%</f>
        <v>0.23809999999999998</v>
      </c>
      <c r="F130" s="37"/>
      <c r="G130" s="201"/>
      <c r="H130" s="164"/>
      <c r="I130" s="503">
        <f>SUM(I128:I129)</f>
        <v>0.2381</v>
      </c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84">
        <f>E128/(1-E130)</f>
        <v>5546.363682350023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1">
        <f>C50</f>
        <v>518012.44047500007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1">
        <f>E122</f>
        <v>0.2493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2">
        <f>IF(E136&gt;0,E136*E138,0)</f>
        <v>129140.50141041752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3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1">
        <f>E140-E142</f>
        <v>129140.50141041752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1">
        <f>C60</f>
        <v>142453.42113062504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187</v>
      </c>
      <c r="E148" s="301">
        <f>E144-E146</f>
        <v>-13312.919720207516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187</v>
      </c>
      <c r="E151" s="301">
        <f>C66</f>
        <v>8553725.78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186</v>
      </c>
      <c r="E152" s="304">
        <f>IF(E151&gt;0,'Tax Rates'!C39,0)</f>
        <v>7500000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1">
        <f>E151-E152</f>
        <v>1053725.7799999993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229</v>
      </c>
      <c r="E155" s="305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1">
        <f>IF(E153&gt;0,E153*E155*B9/B10,0)</f>
        <v>3161.177339999998</v>
      </c>
      <c r="F157" s="37"/>
      <c r="G157" s="201"/>
      <c r="H157" s="164"/>
    </row>
    <row r="158" spans="1:8" ht="26.25">
      <c r="A158" s="171" t="s">
        <v>307</v>
      </c>
      <c r="B158" s="130"/>
      <c r="C158" s="112"/>
      <c r="D158" s="118" t="s">
        <v>186</v>
      </c>
      <c r="E158" s="304">
        <f>C72</f>
        <v>3161.177339999998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187</v>
      </c>
      <c r="E159" s="473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234</v>
      </c>
      <c r="B161" s="130"/>
      <c r="C161" s="112"/>
      <c r="D161" s="119"/>
      <c r="E161" s="303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1">
        <f>C75</f>
        <v>8553725.78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186</v>
      </c>
      <c r="E163" s="304">
        <f>IF(E162&gt;0,'Tax Rates'!C40,0)</f>
        <v>50000000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1">
        <f>E162-E163</f>
        <v>-41446274.22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5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1">
        <f>IF(E164&gt;0,E164*E166*B9/B10,0)</f>
        <v>0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186</v>
      </c>
      <c r="E169" s="306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1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186</v>
      </c>
      <c r="E172" s="304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187</v>
      </c>
      <c r="E173" s="473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68">
        <f>E130</f>
        <v>0.23809999999999998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185</v>
      </c>
      <c r="E177" s="301">
        <f>E148/(1-E175)</f>
        <v>-17473.316340999496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185</v>
      </c>
      <c r="E178" s="301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185</v>
      </c>
      <c r="E179" s="301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187</v>
      </c>
      <c r="E181" s="483">
        <f>SUM(E177:E179)</f>
        <v>-17473.316340999496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472</v>
      </c>
      <c r="B183" s="130"/>
      <c r="C183" s="112"/>
      <c r="D183" s="119" t="s">
        <v>185</v>
      </c>
      <c r="E183" s="483">
        <f>E132</f>
        <v>5546.363682350023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352</v>
      </c>
      <c r="B185" s="130"/>
      <c r="C185" s="112"/>
      <c r="D185" s="119" t="s">
        <v>187</v>
      </c>
      <c r="E185" s="483">
        <f>E181+E183</f>
        <v>-11926.952658649472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7">
        <f>REGINFO!D62</f>
        <v>310072.55952499993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7">
        <f>REGINFO!D66</f>
        <v>285026.1529480443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7">
        <f>E193-E194</f>
        <v>25046.406576955633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9"/>
      <c r="H200" s="164"/>
    </row>
    <row r="201" spans="1:8" ht="12.75">
      <c r="A201" s="155" t="s">
        <v>250</v>
      </c>
      <c r="B201" s="127"/>
      <c r="C201" s="112"/>
      <c r="D201" s="120"/>
      <c r="E201" s="307">
        <f>G37+G42</f>
        <v>377895</v>
      </c>
      <c r="F201" s="3"/>
      <c r="G201" s="489"/>
      <c r="H201" s="164"/>
    </row>
    <row r="202" spans="1:8" ht="12.75">
      <c r="A202" s="155" t="s">
        <v>502</v>
      </c>
      <c r="B202" s="127"/>
      <c r="C202" s="112"/>
      <c r="D202" s="120"/>
      <c r="E202" s="307">
        <f>REGINFO!D70</f>
        <v>310072.55952499993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2">
        <f>IF((E201-E202)&gt;0,E201-E202,0)</f>
        <v>67822.44047500007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474</v>
      </c>
      <c r="B206" s="127"/>
      <c r="C206" s="112"/>
      <c r="D206" s="120"/>
      <c r="E206" s="470">
        <f>IF((E201-E202)&gt;0,E201-E202,0)</f>
        <v>67822.44047500007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223</v>
      </c>
      <c r="B208" s="178"/>
      <c r="C208" s="179"/>
      <c r="D208" s="180"/>
      <c r="E208" s="308">
        <f>+E196-E204</f>
        <v>-42776.033898044436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24">
      <selection activeCell="E160" sqref="E16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Centre Wellington Hydro Ltd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86">
        <f>REGINFO!D56*0.0025</f>
        <v>10692.157224999999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64</v>
      </c>
      <c r="C14" s="8" t="s">
        <v>101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64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8" t="s">
        <v>226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324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257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221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322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323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185</v>
      </c>
      <c r="C31" s="284">
        <v>11122082</v>
      </c>
      <c r="D31" s="285"/>
      <c r="E31" s="283">
        <f>C31-D31</f>
        <v>11122082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4">
        <v>2453777</v>
      </c>
      <c r="D32" s="285"/>
      <c r="E32" s="283">
        <f>C32-D32</f>
        <v>2453777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4">
        <v>160100</v>
      </c>
      <c r="D33" s="285"/>
      <c r="E33" s="283">
        <f>C33-D33</f>
        <v>160100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4">
        <v>367250</v>
      </c>
      <c r="D34" s="285"/>
      <c r="E34" s="283">
        <f>C34-D34</f>
        <v>367250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4">
        <v>11122082</v>
      </c>
      <c r="D39" s="285"/>
      <c r="E39" s="283">
        <f>C39-D39</f>
        <v>11122082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4">
        <v>780718</v>
      </c>
      <c r="D40" s="285"/>
      <c r="E40" s="283">
        <f aca="true" t="shared" si="0" ref="E40:E48">C40-D40</f>
        <v>780718</v>
      </c>
      <c r="F40" s="11"/>
      <c r="G40" s="485"/>
      <c r="H40" s="6"/>
      <c r="I40" s="6"/>
    </row>
    <row r="41" spans="1:9" ht="12.75">
      <c r="A41" s="4" t="s">
        <v>273</v>
      </c>
      <c r="B41" s="23" t="s">
        <v>186</v>
      </c>
      <c r="C41" s="284">
        <v>261470</v>
      </c>
      <c r="D41" s="285"/>
      <c r="E41" s="283">
        <f t="shared" si="0"/>
        <v>261470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4">
        <v>524826</v>
      </c>
      <c r="D42" s="285"/>
      <c r="E42" s="283">
        <f t="shared" si="0"/>
        <v>524826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4">
        <v>447230</v>
      </c>
      <c r="D43" s="285"/>
      <c r="E43" s="283">
        <f t="shared" si="0"/>
        <v>447230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479</v>
      </c>
      <c r="B45" s="23" t="s">
        <v>186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96" t="s">
        <v>490</v>
      </c>
      <c r="B46" s="23" t="s">
        <v>186</v>
      </c>
      <c r="C46" s="284"/>
      <c r="D46" s="285"/>
      <c r="E46" s="283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4"/>
      <c r="D47" s="285"/>
      <c r="E47" s="283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187</v>
      </c>
      <c r="C50" s="280">
        <f>SUM(C31:C36)-SUM(C39:C49)</f>
        <v>966883</v>
      </c>
      <c r="D50" s="280">
        <f>SUM(D31:D36)-SUM(D39:D49)</f>
        <v>0</v>
      </c>
      <c r="E50" s="280">
        <f>SUM(E31:E35)-SUM(E39:E48)</f>
        <v>966883</v>
      </c>
      <c r="F50" s="11"/>
      <c r="G50" s="11"/>
      <c r="H50" s="6"/>
      <c r="I50" s="6"/>
    </row>
    <row r="51" spans="1:9" ht="12.75">
      <c r="A51" s="4" t="s">
        <v>91</v>
      </c>
      <c r="B51" s="23" t="s">
        <v>186</v>
      </c>
      <c r="C51" s="284">
        <v>377895</v>
      </c>
      <c r="D51" s="284"/>
      <c r="E51" s="281">
        <f>+C51-D51</f>
        <v>377895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4">
        <v>175000</v>
      </c>
      <c r="D52" s="284"/>
      <c r="E52" s="282">
        <f>+C52-D52</f>
        <v>175000</v>
      </c>
      <c r="F52" s="8"/>
      <c r="G52" s="415"/>
    </row>
    <row r="53" spans="1:6" ht="12.75">
      <c r="A53" s="2" t="s">
        <v>130</v>
      </c>
      <c r="B53" s="8" t="s">
        <v>187</v>
      </c>
      <c r="C53" s="280">
        <f>C50-C51-C52</f>
        <v>413988</v>
      </c>
      <c r="D53" s="280">
        <f>D50-D51-D52</f>
        <v>0</v>
      </c>
      <c r="E53" s="280">
        <f>E50-E51-E52</f>
        <v>413988</v>
      </c>
      <c r="F53" s="8"/>
    </row>
    <row r="54" spans="1:6" ht="22.5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185</v>
      </c>
      <c r="C59" s="286">
        <f>C52</f>
        <v>175000</v>
      </c>
      <c r="D59" s="286">
        <f>D52</f>
        <v>0</v>
      </c>
      <c r="E59" s="271">
        <f>+C59-D59</f>
        <v>175000</v>
      </c>
      <c r="F59" s="8"/>
      <c r="G59" s="415"/>
    </row>
    <row r="60" spans="1:6" ht="12.75">
      <c r="A60" s="4" t="s">
        <v>325</v>
      </c>
      <c r="B60" s="8" t="s">
        <v>185</v>
      </c>
      <c r="C60" s="317"/>
      <c r="D60" s="317"/>
      <c r="E60" s="271">
        <f>+C60-D60</f>
        <v>0</v>
      </c>
      <c r="F60" s="8"/>
    </row>
    <row r="61" spans="1:7" ht="12.75">
      <c r="A61" t="s">
        <v>4</v>
      </c>
      <c r="B61" s="8" t="s">
        <v>185</v>
      </c>
      <c r="C61" s="286">
        <v>495347</v>
      </c>
      <c r="D61" s="286">
        <f>D43</f>
        <v>0</v>
      </c>
      <c r="E61" s="271">
        <f>+C61-D61</f>
        <v>495347</v>
      </c>
      <c r="F61" s="8"/>
      <c r="G61" s="415"/>
    </row>
    <row r="62" spans="1:6" ht="12.75">
      <c r="A62" t="s">
        <v>6</v>
      </c>
      <c r="B62" s="8" t="s">
        <v>185</v>
      </c>
      <c r="C62" s="317">
        <v>84773</v>
      </c>
      <c r="D62" s="286">
        <v>0</v>
      </c>
      <c r="E62" s="271">
        <f>+C62-D62</f>
        <v>84773</v>
      </c>
      <c r="F62" s="8"/>
    </row>
    <row r="63" spans="1:6" ht="12.75">
      <c r="A63" s="31" t="s">
        <v>277</v>
      </c>
      <c r="B63" s="8" t="s">
        <v>185</v>
      </c>
      <c r="C63" s="315">
        <f>'Tax Reserves'!C22</f>
        <v>0</v>
      </c>
      <c r="D63" s="316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185</v>
      </c>
      <c r="C64" s="315">
        <f>'Tax Reserves'!C63</f>
        <v>0</v>
      </c>
      <c r="D64" s="316">
        <f>'Tax Reserves'!D63</f>
        <v>0</v>
      </c>
      <c r="E64" s="271">
        <f>+C64-D64</f>
        <v>0</v>
      </c>
      <c r="F64" s="8"/>
    </row>
    <row r="65" spans="1:6" ht="12.75">
      <c r="A65" t="s">
        <v>442</v>
      </c>
      <c r="B65" s="8" t="s">
        <v>185</v>
      </c>
      <c r="C65" s="285"/>
      <c r="D65" s="285"/>
      <c r="E65" s="271">
        <f>+C65-D65</f>
        <v>0</v>
      </c>
      <c r="F65" s="8"/>
    </row>
    <row r="66" spans="1:6" ht="15">
      <c r="A66" s="466" t="s">
        <v>393</v>
      </c>
      <c r="B66" s="8"/>
      <c r="C66" s="446">
        <f>'TAXREC 3 No True-up'!C47</f>
        <v>563304</v>
      </c>
      <c r="D66" s="446">
        <f>'TAXREC 3 No True-up'!D47</f>
        <v>0</v>
      </c>
      <c r="E66" s="271">
        <f>+C66-D66</f>
        <v>563304</v>
      </c>
      <c r="F66" s="8"/>
    </row>
    <row r="67" spans="1:6" ht="12.75">
      <c r="A67" t="s">
        <v>158</v>
      </c>
      <c r="B67" s="8" t="s">
        <v>185</v>
      </c>
      <c r="C67" s="251">
        <f>'TAXREC 2'!C77</f>
        <v>0</v>
      </c>
      <c r="D67" s="251">
        <f>'TAXREC 2'!D77</f>
        <v>0</v>
      </c>
      <c r="E67" s="271">
        <f>+C67-D67</f>
        <v>0</v>
      </c>
      <c r="F67" s="8"/>
    </row>
    <row r="68" spans="1:11" ht="12.75">
      <c r="A68" t="s">
        <v>159</v>
      </c>
      <c r="B68" s="8" t="s">
        <v>185</v>
      </c>
      <c r="C68" s="251">
        <f>'TAXREC 2'!C78</f>
        <v>0</v>
      </c>
      <c r="D68" s="251">
        <f>'TAXREC 2'!D78</f>
        <v>0</v>
      </c>
      <c r="E68" s="271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1">
        <f>SUM(C59:C68)</f>
        <v>1318424</v>
      </c>
      <c r="D70" s="271">
        <f>SUM(D59:D68)</f>
        <v>0</v>
      </c>
      <c r="E70" s="271">
        <f>SUM(E59:E68)</f>
        <v>1318424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185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497" t="s">
        <v>498</v>
      </c>
      <c r="B76" s="8" t="s">
        <v>185</v>
      </c>
      <c r="C76" s="482"/>
      <c r="D76" s="293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498" t="s">
        <v>499</v>
      </c>
      <c r="B77" s="8" t="s">
        <v>185</v>
      </c>
      <c r="C77" s="293">
        <f>495347-C61</f>
        <v>0</v>
      </c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187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51">
        <f>C70+C80</f>
        <v>1318424</v>
      </c>
      <c r="D82" s="251">
        <f>D70+D80</f>
        <v>0</v>
      </c>
      <c r="E82" s="251">
        <f>E70+E80</f>
        <v>1318424</v>
      </c>
      <c r="F82" s="8"/>
      <c r="G82" s="30">
        <f>C82-1318424</f>
        <v>0</v>
      </c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150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430</v>
      </c>
      <c r="B93" s="272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195</v>
      </c>
      <c r="B94" s="272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3">
        <v>658889</v>
      </c>
      <c r="D97" s="293"/>
      <c r="E97" s="271">
        <f>+C97-D97</f>
        <v>658889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3"/>
      <c r="D98" s="293"/>
      <c r="E98" s="271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186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186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497</v>
      </c>
      <c r="B103" s="8" t="s">
        <v>186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8">
        <f>'Tax Reserves'!C35</f>
        <v>0</v>
      </c>
      <c r="D104" s="318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8">
        <f>'Tax Reserves'!C50</f>
        <v>0</v>
      </c>
      <c r="D105" s="318">
        <f>'Tax Reserves'!D50</f>
        <v>0</v>
      </c>
      <c r="E105" s="281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6" t="s">
        <v>393</v>
      </c>
      <c r="B108" s="8"/>
      <c r="C108" s="254">
        <f>'TAXREC 3 No True-up'!C73</f>
        <v>245278</v>
      </c>
      <c r="D108" s="254">
        <f>'TAXREC 3 No True-up'!D73</f>
        <v>0</v>
      </c>
      <c r="E108" s="271">
        <f t="shared" si="5"/>
        <v>245278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1">
        <f>SUM(C97:C111)</f>
        <v>904167</v>
      </c>
      <c r="D113" s="251">
        <f>SUM(D97:D111)</f>
        <v>0</v>
      </c>
      <c r="E113" s="251">
        <f>SUM(E97:E111)</f>
        <v>904167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499" t="s">
        <v>500</v>
      </c>
      <c r="B119" s="8" t="s">
        <v>186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187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51">
        <f>C113+C120</f>
        <v>904167</v>
      </c>
      <c r="D122" s="251">
        <f>D113+D120</f>
        <v>0</v>
      </c>
      <c r="E122" s="251">
        <f>+E113+E120</f>
        <v>904167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197</v>
      </c>
      <c r="B130" s="272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198</v>
      </c>
      <c r="B131" s="272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196</v>
      </c>
      <c r="B132" s="272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187</v>
      </c>
      <c r="C134" s="251">
        <f>+C53+C82-C122</f>
        <v>828245</v>
      </c>
      <c r="D134" s="251">
        <f>D53+D82-D122</f>
        <v>0</v>
      </c>
      <c r="E134" s="251">
        <f>E53+E82-E122</f>
        <v>828245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186</v>
      </c>
      <c r="C136" s="293">
        <v>0</v>
      </c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186</v>
      </c>
      <c r="C137" s="309"/>
      <c r="D137" s="309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187</v>
      </c>
      <c r="C139" s="252">
        <f>C134-C136-C137-C138</f>
        <v>828245</v>
      </c>
      <c r="D139" s="252">
        <f>D134-D136-D137-D138</f>
        <v>0</v>
      </c>
      <c r="E139" s="252">
        <f>E134-E136-E137-E138</f>
        <v>828245</v>
      </c>
      <c r="F139" s="8"/>
      <c r="G139" s="45"/>
      <c r="H139" s="504" t="s">
        <v>504</v>
      </c>
      <c r="I139" s="30">
        <f>C139</f>
        <v>828245</v>
      </c>
      <c r="J139" s="50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504" t="s">
        <v>505</v>
      </c>
      <c r="I140" s="30">
        <v>-286757</v>
      </c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H141" s="507" t="s">
        <v>511</v>
      </c>
      <c r="I141" s="30">
        <v>-169696</v>
      </c>
      <c r="J141" s="45"/>
      <c r="K141" s="45"/>
    </row>
    <row r="142" spans="1:11" ht="12.75">
      <c r="A142" s="46" t="s">
        <v>321</v>
      </c>
      <c r="B142" s="8" t="s">
        <v>185</v>
      </c>
      <c r="C142" s="297">
        <f>169722+106</f>
        <v>169828</v>
      </c>
      <c r="D142" s="297">
        <f>D139*C149</f>
        <v>0</v>
      </c>
      <c r="E142" s="252">
        <f>C142-D142</f>
        <v>169828</v>
      </c>
      <c r="F142" s="8"/>
      <c r="G142" s="45"/>
      <c r="H142" s="506" t="s">
        <v>506</v>
      </c>
      <c r="I142" s="30">
        <v>16055</v>
      </c>
      <c r="J142" s="45"/>
      <c r="K142" s="45"/>
    </row>
    <row r="143" spans="1:11" ht="12.75">
      <c r="A143" s="46" t="s">
        <v>320</v>
      </c>
      <c r="B143" s="8" t="s">
        <v>185</v>
      </c>
      <c r="C143" s="297">
        <f>77038</f>
        <v>77038</v>
      </c>
      <c r="D143" s="297">
        <f>D139*C150</f>
        <v>0</v>
      </c>
      <c r="E143" s="291">
        <f>C143-D143</f>
        <v>77038</v>
      </c>
      <c r="F143" s="8"/>
      <c r="G143" s="45"/>
      <c r="H143" s="506" t="s">
        <v>512</v>
      </c>
      <c r="I143" s="30">
        <v>96659</v>
      </c>
      <c r="J143" s="45"/>
      <c r="K143" s="45"/>
    </row>
    <row r="144" spans="1:11" ht="12.75">
      <c r="A144" s="46" t="s">
        <v>171</v>
      </c>
      <c r="B144" s="8" t="s">
        <v>187</v>
      </c>
      <c r="C144" s="252">
        <f>C142+C143</f>
        <v>246866</v>
      </c>
      <c r="D144" s="252">
        <f>D142+D143</f>
        <v>0</v>
      </c>
      <c r="E144" s="252">
        <f>E142+E143</f>
        <v>246866</v>
      </c>
      <c r="F144" s="8"/>
      <c r="G144" s="45"/>
      <c r="H144" s="507" t="s">
        <v>507</v>
      </c>
      <c r="I144" s="508">
        <f>SUM(I139:I143)</f>
        <v>484506</v>
      </c>
      <c r="J144" s="45"/>
      <c r="K144" s="45"/>
    </row>
    <row r="145" spans="1:11" ht="12.75">
      <c r="A145" s="46" t="s">
        <v>332</v>
      </c>
      <c r="B145" s="8" t="s">
        <v>186</v>
      </c>
      <c r="C145" s="297">
        <v>0</v>
      </c>
      <c r="D145" s="297"/>
      <c r="E145" s="292">
        <f>C145-D145</f>
        <v>0</v>
      </c>
      <c r="F145" s="8"/>
      <c r="G145" s="45"/>
      <c r="H145" s="507" t="s">
        <v>508</v>
      </c>
      <c r="I145" s="45"/>
      <c r="J145" s="45"/>
      <c r="K145" s="45"/>
    </row>
    <row r="146" spans="1:11" ht="13.5" thickBot="1">
      <c r="A146" s="319" t="s">
        <v>98</v>
      </c>
      <c r="B146" s="8" t="s">
        <v>187</v>
      </c>
      <c r="C146" s="252">
        <f>C144-C145</f>
        <v>246866</v>
      </c>
      <c r="D146" s="252">
        <f>D144-D145</f>
        <v>0</v>
      </c>
      <c r="E146" s="252">
        <f>E144-E145</f>
        <v>246866</v>
      </c>
      <c r="F146" s="8"/>
      <c r="G146" s="45"/>
      <c r="H146" s="507" t="s">
        <v>509</v>
      </c>
      <c r="I146" s="509">
        <f>SUM(I144:I145)</f>
        <v>484506</v>
      </c>
      <c r="J146" s="505"/>
      <c r="K146" s="45"/>
    </row>
    <row r="147" spans="2:11" ht="13.5" thickTop="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510" t="s">
        <v>510</v>
      </c>
      <c r="H148" s="45"/>
      <c r="I148" s="45"/>
      <c r="J148" s="45"/>
      <c r="K148" s="45"/>
    </row>
    <row r="149" spans="1:11" ht="12.75">
      <c r="A149" s="46" t="s">
        <v>327</v>
      </c>
      <c r="B149" s="8"/>
      <c r="C149" s="404">
        <f>G149</f>
        <v>0.35051784704420585</v>
      </c>
      <c r="D149" s="5"/>
      <c r="E149" s="405">
        <f>C149</f>
        <v>0.35051784704420585</v>
      </c>
      <c r="F149" s="8"/>
      <c r="G149" s="511">
        <f>C142/I146</f>
        <v>0.35051784704420585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4">
        <f>G150</f>
        <v>0.15900319087895712</v>
      </c>
      <c r="D150" s="5"/>
      <c r="E150" s="405">
        <f>C150</f>
        <v>0.15900319087895712</v>
      </c>
      <c r="F150" s="8"/>
      <c r="G150" s="512">
        <f>C143/I146</f>
        <v>0.15900319087895712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5">
        <f>SUM(C149:C150)</f>
        <v>0.509521037923163</v>
      </c>
      <c r="D151" s="5"/>
      <c r="E151" s="405">
        <f>SUM(E149:E150)</f>
        <v>0.509521037923163</v>
      </c>
      <c r="F151" s="8"/>
      <c r="G151" s="512">
        <f>SUM(G149:G150)</f>
        <v>0.509521037923163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11" ht="12.75">
      <c r="A153" s="14" t="s">
        <v>354</v>
      </c>
      <c r="B153" s="8"/>
      <c r="H153" s="45"/>
      <c r="I153" s="45"/>
      <c r="J153" s="45"/>
      <c r="K153" s="45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217</v>
      </c>
      <c r="B156" s="86" t="s">
        <v>185</v>
      </c>
      <c r="C156" s="251">
        <f>C146</f>
        <v>246866</v>
      </c>
      <c r="D156" s="251">
        <f>D146</f>
        <v>0</v>
      </c>
      <c r="E156" s="251">
        <f>E146</f>
        <v>246866</v>
      </c>
    </row>
    <row r="157" spans="1:5" ht="12.75">
      <c r="A157" t="s">
        <v>20</v>
      </c>
      <c r="B157" s="86" t="s">
        <v>185</v>
      </c>
      <c r="C157" s="479">
        <v>29046</v>
      </c>
      <c r="D157" s="251"/>
      <c r="E157" s="251">
        <f>C157+D157</f>
        <v>29046</v>
      </c>
    </row>
    <row r="158" spans="1:5" ht="12.75">
      <c r="A158" t="s">
        <v>216</v>
      </c>
      <c r="B158" s="86" t="s">
        <v>185</v>
      </c>
      <c r="C158" s="479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301</v>
      </c>
      <c r="B160" s="66" t="s">
        <v>187</v>
      </c>
      <c r="C160" s="251">
        <f>C156+C157+C158</f>
        <v>275912</v>
      </c>
      <c r="D160" s="251">
        <f>D156+D157+D158</f>
        <v>0</v>
      </c>
      <c r="E160" s="251">
        <f>E156+E157+E158</f>
        <v>275912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Centre Wellington Hydro Ltd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271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51">
        <f>C13-D13</f>
        <v>0</v>
      </c>
    </row>
    <row r="14" spans="1:7" ht="12.75">
      <c r="A14" s="61" t="s">
        <v>279</v>
      </c>
      <c r="B14" s="61"/>
      <c r="C14" s="293"/>
      <c r="D14" s="293"/>
      <c r="E14" s="251">
        <f aca="true" t="shared" si="0" ref="E14:E21">C14-D14</f>
        <v>0</v>
      </c>
      <c r="G14">
        <v>70004</v>
      </c>
    </row>
    <row r="15" spans="1:5" ht="12.75">
      <c r="A15" s="61" t="s">
        <v>280</v>
      </c>
      <c r="B15" s="61"/>
      <c r="C15" s="293"/>
      <c r="D15" s="293"/>
      <c r="E15" s="251">
        <f t="shared" si="0"/>
        <v>0</v>
      </c>
    </row>
    <row r="16" spans="1:5" ht="12.75">
      <c r="A16" s="61" t="s">
        <v>281</v>
      </c>
      <c r="B16" s="61"/>
      <c r="C16" s="293"/>
      <c r="D16" s="293"/>
      <c r="E16" s="251">
        <f t="shared" si="0"/>
        <v>0</v>
      </c>
    </row>
    <row r="17" spans="1:5" ht="12.75">
      <c r="A17" s="61" t="s">
        <v>282</v>
      </c>
      <c r="B17" s="61"/>
      <c r="C17" s="293"/>
      <c r="D17" s="293"/>
      <c r="E17" s="251">
        <f t="shared" si="0"/>
        <v>0</v>
      </c>
    </row>
    <row r="18" spans="1:5" ht="12.75">
      <c r="A18" s="61" t="s">
        <v>447</v>
      </c>
      <c r="B18" s="61"/>
      <c r="C18" s="293"/>
      <c r="D18" s="293"/>
      <c r="E18" s="251">
        <f t="shared" si="0"/>
        <v>0</v>
      </c>
    </row>
    <row r="19" spans="1:5" ht="12.75">
      <c r="A19" s="61" t="s">
        <v>447</v>
      </c>
      <c r="B19" s="61"/>
      <c r="C19" s="293"/>
      <c r="D19" s="293"/>
      <c r="E19" s="251">
        <f t="shared" si="0"/>
        <v>0</v>
      </c>
    </row>
    <row r="20" spans="1:5" ht="12.75">
      <c r="A20" s="61"/>
      <c r="B20" s="61"/>
      <c r="C20" s="293"/>
      <c r="D20" s="293"/>
      <c r="E20" s="251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178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3"/>
      <c r="D25" s="293"/>
      <c r="E25" s="251">
        <f>C25-D25</f>
        <v>0</v>
      </c>
    </row>
    <row r="26" spans="1:7" ht="12.75">
      <c r="A26" s="61" t="s">
        <v>279</v>
      </c>
      <c r="B26" s="61"/>
      <c r="C26" s="293">
        <v>0</v>
      </c>
      <c r="D26" s="293"/>
      <c r="E26" s="251">
        <f aca="true" t="shared" si="1" ref="E26:E33">C26-D26</f>
        <v>0</v>
      </c>
      <c r="G26">
        <v>103537</v>
      </c>
    </row>
    <row r="27" spans="1:5" ht="12.75">
      <c r="A27" s="61" t="s">
        <v>280</v>
      </c>
      <c r="B27" s="61"/>
      <c r="C27" s="293"/>
      <c r="D27" s="293"/>
      <c r="E27" s="251">
        <f t="shared" si="1"/>
        <v>0</v>
      </c>
    </row>
    <row r="28" spans="1:5" ht="12.75">
      <c r="A28" s="61" t="s">
        <v>281</v>
      </c>
      <c r="B28" s="61"/>
      <c r="C28" s="293"/>
      <c r="D28" s="293"/>
      <c r="E28" s="251">
        <f t="shared" si="1"/>
        <v>0</v>
      </c>
    </row>
    <row r="29" spans="1:5" ht="12.75">
      <c r="A29" s="61" t="s">
        <v>282</v>
      </c>
      <c r="B29" s="61"/>
      <c r="C29" s="293"/>
      <c r="D29" s="293"/>
      <c r="E29" s="251">
        <f t="shared" si="1"/>
        <v>0</v>
      </c>
    </row>
    <row r="30" spans="1:5" ht="12.75">
      <c r="A30" s="61" t="s">
        <v>447</v>
      </c>
      <c r="B30" s="61"/>
      <c r="C30" s="293"/>
      <c r="D30" s="293"/>
      <c r="E30" s="251">
        <f t="shared" si="1"/>
        <v>0</v>
      </c>
    </row>
    <row r="31" spans="1:5" ht="12.75">
      <c r="A31" s="61" t="s">
        <v>447</v>
      </c>
      <c r="B31" s="61"/>
      <c r="C31" s="293"/>
      <c r="D31" s="293"/>
      <c r="E31" s="251">
        <f t="shared" si="1"/>
        <v>0</v>
      </c>
    </row>
    <row r="32" spans="1:5" ht="12.75">
      <c r="A32" s="61"/>
      <c r="B32" s="61"/>
      <c r="C32" s="293"/>
      <c r="D32" s="293"/>
      <c r="E32" s="251">
        <f t="shared" si="1"/>
        <v>0</v>
      </c>
    </row>
    <row r="33" spans="1:5" ht="13.5" thickBot="1">
      <c r="A33" s="62"/>
      <c r="B33" s="61"/>
      <c r="C33" s="293"/>
      <c r="D33" s="293"/>
      <c r="E33" s="251">
        <f t="shared" si="1"/>
        <v>0</v>
      </c>
    </row>
    <row r="34" spans="1:5" ht="12.75">
      <c r="A34" s="56" t="s">
        <v>131</v>
      </c>
      <c r="C34" s="22"/>
      <c r="D34" s="22"/>
      <c r="E34" s="278"/>
    </row>
    <row r="35" spans="1:7" ht="12.75">
      <c r="A35" s="2" t="s">
        <v>178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3"/>
      <c r="D41" s="293"/>
      <c r="E41" s="251">
        <f>C41-D41</f>
        <v>0</v>
      </c>
    </row>
    <row r="42" spans="1:5" ht="12.75">
      <c r="A42" s="61"/>
      <c r="B42" s="61"/>
      <c r="C42" s="293"/>
      <c r="D42" s="293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3"/>
      <c r="D43" s="293"/>
      <c r="E43" s="251">
        <f t="shared" si="2"/>
        <v>0</v>
      </c>
    </row>
    <row r="44" spans="1:5" ht="12.75">
      <c r="A44" s="61" t="s">
        <v>266</v>
      </c>
      <c r="B44" s="61"/>
      <c r="C44" s="293">
        <v>0</v>
      </c>
      <c r="D44" s="293"/>
      <c r="E44" s="251">
        <f t="shared" si="2"/>
        <v>0</v>
      </c>
    </row>
    <row r="45" spans="1:5" ht="12.75">
      <c r="A45" s="61" t="s">
        <v>267</v>
      </c>
      <c r="B45" s="61"/>
      <c r="C45" s="293"/>
      <c r="D45" s="293"/>
      <c r="E45" s="251">
        <f t="shared" si="2"/>
        <v>0</v>
      </c>
    </row>
    <row r="46" spans="1:5" ht="12.75">
      <c r="A46" s="61" t="s">
        <v>268</v>
      </c>
      <c r="B46" s="61"/>
      <c r="C46" s="293"/>
      <c r="D46" s="293"/>
      <c r="E46" s="251">
        <f t="shared" si="2"/>
        <v>0</v>
      </c>
    </row>
    <row r="47" spans="1:5" ht="12.75">
      <c r="A47" s="61" t="s">
        <v>447</v>
      </c>
      <c r="B47" s="61"/>
      <c r="C47" s="293"/>
      <c r="D47" s="293"/>
      <c r="E47" s="251">
        <f t="shared" si="2"/>
        <v>0</v>
      </c>
    </row>
    <row r="48" spans="1:5" ht="12.75">
      <c r="A48" s="61" t="s">
        <v>447</v>
      </c>
      <c r="B48" s="61"/>
      <c r="C48" s="293"/>
      <c r="D48" s="293"/>
      <c r="E48" s="251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178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3"/>
      <c r="D53" s="293"/>
      <c r="E53" s="251">
        <f>C53-D53</f>
        <v>0</v>
      </c>
    </row>
    <row r="54" spans="1:5" ht="12.75">
      <c r="A54" s="246"/>
      <c r="B54" s="61"/>
      <c r="C54" s="293"/>
      <c r="D54" s="293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3"/>
      <c r="D55" s="293"/>
      <c r="E55" s="251">
        <f t="shared" si="3"/>
        <v>0</v>
      </c>
    </row>
    <row r="56" spans="1:5" ht="12.75">
      <c r="A56" s="246" t="s">
        <v>266</v>
      </c>
      <c r="B56" s="61"/>
      <c r="C56" s="293">
        <v>0</v>
      </c>
      <c r="D56" s="293"/>
      <c r="E56" s="251">
        <f t="shared" si="3"/>
        <v>0</v>
      </c>
    </row>
    <row r="57" spans="1:5" ht="12.75">
      <c r="A57" s="246" t="s">
        <v>267</v>
      </c>
      <c r="B57" s="61"/>
      <c r="C57" s="293"/>
      <c r="D57" s="293"/>
      <c r="E57" s="251">
        <f t="shared" si="3"/>
        <v>0</v>
      </c>
    </row>
    <row r="58" spans="1:5" ht="12.75">
      <c r="A58" s="246" t="s">
        <v>268</v>
      </c>
      <c r="B58" s="61"/>
      <c r="C58" s="293"/>
      <c r="D58" s="293"/>
      <c r="E58" s="251">
        <f t="shared" si="3"/>
        <v>0</v>
      </c>
    </row>
    <row r="59" spans="1:5" ht="12.75">
      <c r="A59" s="61" t="s">
        <v>447</v>
      </c>
      <c r="B59" s="61"/>
      <c r="C59" s="293"/>
      <c r="D59" s="293"/>
      <c r="E59" s="251">
        <f t="shared" si="3"/>
        <v>0</v>
      </c>
    </row>
    <row r="60" spans="1:5" ht="12.75">
      <c r="A60" s="61" t="s">
        <v>447</v>
      </c>
      <c r="B60" s="61"/>
      <c r="C60" s="293"/>
      <c r="D60" s="293"/>
      <c r="E60" s="251">
        <f t="shared" si="3"/>
        <v>0</v>
      </c>
    </row>
    <row r="61" spans="1:5" ht="13.5" thickBot="1">
      <c r="A61" s="62"/>
      <c r="B61" s="61"/>
      <c r="C61" s="293"/>
      <c r="D61" s="293"/>
      <c r="E61" s="251">
        <f t="shared" si="3"/>
        <v>0</v>
      </c>
    </row>
    <row r="62" spans="1:5" ht="12.75">
      <c r="A62" s="56" t="s">
        <v>131</v>
      </c>
      <c r="C62" s="22"/>
      <c r="D62" s="22"/>
      <c r="E62" s="278"/>
    </row>
    <row r="63" spans="1:5" ht="12.75">
      <c r="A63" s="2" t="s">
        <v>178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6" sqref="A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Centre Wellington Hydro Ltd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487">
        <f>TAXREC!C13</f>
        <v>10692.157224999999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185</v>
      </c>
      <c r="C17" s="294"/>
      <c r="D17" s="294"/>
      <c r="E17" s="312">
        <f>C17-D17</f>
        <v>0</v>
      </c>
    </row>
    <row r="18" spans="1:5" ht="12.75">
      <c r="A18" s="67" t="s">
        <v>251</v>
      </c>
      <c r="B18" t="s">
        <v>185</v>
      </c>
      <c r="C18" s="294"/>
      <c r="D18" s="294"/>
      <c r="E18" s="312">
        <f aca="true" t="shared" si="0" ref="E18:E44">C18-D18</f>
        <v>0</v>
      </c>
    </row>
    <row r="19" spans="1:5" ht="12.75">
      <c r="A19" s="67" t="s">
        <v>134</v>
      </c>
      <c r="B19" t="s">
        <v>185</v>
      </c>
      <c r="C19" s="294"/>
      <c r="D19" s="294"/>
      <c r="E19" s="312">
        <f t="shared" si="0"/>
        <v>0</v>
      </c>
    </row>
    <row r="20" spans="1:5" ht="12.75">
      <c r="A20" s="67" t="s">
        <v>448</v>
      </c>
      <c r="B20" t="s">
        <v>185</v>
      </c>
      <c r="C20" s="294"/>
      <c r="D20" s="313"/>
      <c r="E20" s="312">
        <f t="shared" si="0"/>
        <v>0</v>
      </c>
    </row>
    <row r="21" spans="1:5" ht="12.75">
      <c r="A21" s="67" t="s">
        <v>8</v>
      </c>
      <c r="B21" t="s">
        <v>185</v>
      </c>
      <c r="C21" s="294"/>
      <c r="D21" s="294"/>
      <c r="E21" s="312">
        <f t="shared" si="0"/>
        <v>0</v>
      </c>
    </row>
    <row r="22" spans="1:5" ht="12.75">
      <c r="A22" s="67"/>
      <c r="B22" t="s">
        <v>185</v>
      </c>
      <c r="C22" s="294"/>
      <c r="D22" s="294"/>
      <c r="E22" s="312">
        <f t="shared" si="0"/>
        <v>0</v>
      </c>
    </row>
    <row r="23" spans="1:5" ht="12.75">
      <c r="A23" s="67" t="s">
        <v>136</v>
      </c>
      <c r="B23" t="s">
        <v>185</v>
      </c>
      <c r="C23" s="294"/>
      <c r="D23" s="294"/>
      <c r="E23" s="312">
        <f t="shared" si="0"/>
        <v>0</v>
      </c>
    </row>
    <row r="24" spans="1:5" ht="12.75">
      <c r="A24" s="67" t="s">
        <v>137</v>
      </c>
      <c r="B24" t="s">
        <v>185</v>
      </c>
      <c r="C24" s="294"/>
      <c r="D24" s="294"/>
      <c r="E24" s="312">
        <f t="shared" si="0"/>
        <v>0</v>
      </c>
    </row>
    <row r="25" spans="1:5" ht="12.75">
      <c r="A25" s="67" t="s">
        <v>9</v>
      </c>
      <c r="B25" t="s">
        <v>185</v>
      </c>
      <c r="C25" s="294"/>
      <c r="D25" s="294"/>
      <c r="E25" s="312">
        <f t="shared" si="0"/>
        <v>0</v>
      </c>
    </row>
    <row r="26" spans="1:5" ht="12.75">
      <c r="A26" s="67" t="s">
        <v>189</v>
      </c>
      <c r="B26" t="s">
        <v>185</v>
      </c>
      <c r="C26" s="294"/>
      <c r="D26" s="294"/>
      <c r="E26" s="312">
        <f t="shared" si="0"/>
        <v>0</v>
      </c>
    </row>
    <row r="27" spans="1:5" ht="12.75">
      <c r="A27" s="67" t="s">
        <v>7</v>
      </c>
      <c r="B27" t="s">
        <v>185</v>
      </c>
      <c r="C27" s="294"/>
      <c r="D27" s="294"/>
      <c r="E27" s="312">
        <f t="shared" si="0"/>
        <v>0</v>
      </c>
    </row>
    <row r="28" spans="1:5" ht="12.75">
      <c r="A28" s="67" t="s">
        <v>123</v>
      </c>
      <c r="B28" t="s">
        <v>185</v>
      </c>
      <c r="C28" s="294"/>
      <c r="D28" s="294"/>
      <c r="E28" s="312">
        <f t="shared" si="0"/>
        <v>0</v>
      </c>
    </row>
    <row r="29" spans="1:5" ht="12.75">
      <c r="A29" s="67" t="s">
        <v>138</v>
      </c>
      <c r="B29" t="s">
        <v>185</v>
      </c>
      <c r="C29" s="294"/>
      <c r="D29" s="294"/>
      <c r="E29" s="312">
        <f t="shared" si="0"/>
        <v>0</v>
      </c>
    </row>
    <row r="30" spans="1:5" ht="12.75">
      <c r="A30" s="67" t="s">
        <v>139</v>
      </c>
      <c r="B30" t="s">
        <v>185</v>
      </c>
      <c r="C30" s="294"/>
      <c r="D30" s="294"/>
      <c r="E30" s="312">
        <f t="shared" si="0"/>
        <v>0</v>
      </c>
    </row>
    <row r="31" spans="1:5" ht="12.75">
      <c r="A31" s="67" t="s">
        <v>252</v>
      </c>
      <c r="B31" t="s">
        <v>185</v>
      </c>
      <c r="C31" s="294"/>
      <c r="D31" s="294"/>
      <c r="E31" s="312">
        <f t="shared" si="0"/>
        <v>0</v>
      </c>
    </row>
    <row r="32" spans="1:5" ht="12.75">
      <c r="A32" s="67" t="s">
        <v>140</v>
      </c>
      <c r="B32" t="s">
        <v>185</v>
      </c>
      <c r="C32" s="294"/>
      <c r="D32" s="294"/>
      <c r="E32" s="312">
        <f t="shared" si="0"/>
        <v>0</v>
      </c>
    </row>
    <row r="33" spans="1:5" ht="12.75">
      <c r="A33" s="67" t="s">
        <v>141</v>
      </c>
      <c r="B33" t="s">
        <v>185</v>
      </c>
      <c r="C33" s="294"/>
      <c r="D33" s="294"/>
      <c r="E33" s="312">
        <f t="shared" si="0"/>
        <v>0</v>
      </c>
    </row>
    <row r="34" spans="1:5" ht="12.75">
      <c r="A34" s="67" t="s">
        <v>142</v>
      </c>
      <c r="B34" t="s">
        <v>185</v>
      </c>
      <c r="C34" s="294"/>
      <c r="D34" s="294"/>
      <c r="E34" s="312">
        <f t="shared" si="0"/>
        <v>0</v>
      </c>
    </row>
    <row r="35" spans="1:5" ht="12.75">
      <c r="A35" s="67" t="s">
        <v>191</v>
      </c>
      <c r="B35" t="s">
        <v>185</v>
      </c>
      <c r="C35" s="294"/>
      <c r="D35" s="294"/>
      <c r="E35" s="312">
        <f t="shared" si="0"/>
        <v>0</v>
      </c>
    </row>
    <row r="36" spans="1:5" ht="12.75">
      <c r="A36" s="67" t="s">
        <v>469</v>
      </c>
      <c r="B36" t="s">
        <v>185</v>
      </c>
      <c r="C36" s="294"/>
      <c r="D36" s="294"/>
      <c r="E36" s="312">
        <f t="shared" si="0"/>
        <v>0</v>
      </c>
    </row>
    <row r="37" spans="1:5" ht="12.75">
      <c r="A37" s="67"/>
      <c r="B37" t="s">
        <v>185</v>
      </c>
      <c r="C37" s="294"/>
      <c r="D37" s="294"/>
      <c r="E37" s="312">
        <f t="shared" si="0"/>
        <v>0</v>
      </c>
    </row>
    <row r="38" spans="2:5" ht="12.75">
      <c r="B38" t="s">
        <v>185</v>
      </c>
      <c r="C38" s="294"/>
      <c r="D38" s="294"/>
      <c r="E38" s="251">
        <f t="shared" si="0"/>
        <v>0</v>
      </c>
    </row>
    <row r="39" spans="2:5" ht="12.75">
      <c r="B39" t="s">
        <v>185</v>
      </c>
      <c r="C39" s="293"/>
      <c r="D39" s="294"/>
      <c r="E39" s="251">
        <f t="shared" si="0"/>
        <v>0</v>
      </c>
    </row>
    <row r="40" spans="1:5" ht="12.75">
      <c r="A40" s="68" t="s">
        <v>202</v>
      </c>
      <c r="B40" t="s">
        <v>185</v>
      </c>
      <c r="C40" s="293"/>
      <c r="D40" s="293"/>
      <c r="E40" s="251">
        <f t="shared" si="0"/>
        <v>0</v>
      </c>
    </row>
    <row r="41" spans="1:5" ht="12.75">
      <c r="A41" s="67"/>
      <c r="B41" t="s">
        <v>185</v>
      </c>
      <c r="C41" s="293"/>
      <c r="D41" s="293"/>
      <c r="E41" s="251">
        <f t="shared" si="0"/>
        <v>0</v>
      </c>
    </row>
    <row r="42" spans="1:5" ht="12.75">
      <c r="A42" s="67"/>
      <c r="B42" t="s">
        <v>185</v>
      </c>
      <c r="C42" s="293"/>
      <c r="D42" s="293"/>
      <c r="E42" s="251">
        <f t="shared" si="0"/>
        <v>0</v>
      </c>
    </row>
    <row r="43" spans="1:5" ht="12.75">
      <c r="A43" s="67"/>
      <c r="B43" t="s">
        <v>185</v>
      </c>
      <c r="C43" s="293"/>
      <c r="D43" s="293"/>
      <c r="E43" s="251">
        <f t="shared" si="0"/>
        <v>0</v>
      </c>
    </row>
    <row r="44" spans="1:5" ht="12.75">
      <c r="A44" s="67"/>
      <c r="B44" t="s">
        <v>185</v>
      </c>
      <c r="C44" s="293"/>
      <c r="D44" s="293"/>
      <c r="E44" s="251">
        <f t="shared" si="0"/>
        <v>0</v>
      </c>
    </row>
    <row r="45" spans="1:5" ht="12.75">
      <c r="A45" s="67"/>
      <c r="B45" t="s">
        <v>185</v>
      </c>
      <c r="C45" s="293"/>
      <c r="D45" s="293"/>
      <c r="E45" s="278"/>
    </row>
    <row r="46" spans="1:5" ht="12.75">
      <c r="A46" s="70" t="s">
        <v>168</v>
      </c>
      <c r="B46" t="s">
        <v>187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4" t="str">
        <f>IF($E17&gt;$C$11,A17," ")</f>
        <v> </v>
      </c>
      <c r="B49" s="272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4" t="str">
        <f>IF($E18&gt;$C$11,A18," ")</f>
        <v> </v>
      </c>
      <c r="B50" s="272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4" t="str">
        <f>IF($E19&gt;$C$11,#REF!," ")</f>
        <v> </v>
      </c>
      <c r="B51" s="272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4" t="str">
        <f>IF($E20&gt;$C$11,#REF!," ")</f>
        <v> </v>
      </c>
      <c r="B52" s="272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4" t="str">
        <f t="shared" si="2"/>
        <v> </v>
      </c>
      <c r="B54" s="272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4" t="str">
        <f t="shared" si="2"/>
        <v> </v>
      </c>
      <c r="B55" s="272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4" t="str">
        <f t="shared" si="2"/>
        <v> </v>
      </c>
      <c r="B56" s="272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4" t="str">
        <f t="shared" si="2"/>
        <v> </v>
      </c>
      <c r="B57" s="272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4" t="str">
        <f t="shared" si="2"/>
        <v> </v>
      </c>
      <c r="B58" s="272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4" t="str">
        <f t="shared" si="2"/>
        <v> </v>
      </c>
      <c r="B59" s="272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4" t="str">
        <f>IF($E28&gt;$C$11,A28," ")</f>
        <v> </v>
      </c>
      <c r="B60" s="272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4" t="str">
        <f>IF($E29&gt;$C$11,#REF!," ")</f>
        <v> </v>
      </c>
      <c r="B61" s="272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4" t="str">
        <f>IF($E30&gt;$C$11,#REF!," ")</f>
        <v> </v>
      </c>
      <c r="B62" s="272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4" t="str">
        <f>IF($E31&gt;$C$11,A26," ")</f>
        <v> </v>
      </c>
      <c r="B63" s="272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4" t="str">
        <f>IF($E33&gt;$C$11,#REF!," ")</f>
        <v> </v>
      </c>
      <c r="B64" s="272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4" t="str">
        <f>IF($E34&gt;$C$11,#REF!," ")</f>
        <v> </v>
      </c>
      <c r="B65" s="272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4" t="str">
        <f>IF($E35&gt;$C$11,#REF!," ")</f>
        <v> </v>
      </c>
      <c r="B66" s="272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4" t="str">
        <f>IF($E36&gt;$C$11,A36," ")</f>
        <v> </v>
      </c>
      <c r="B67" s="272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4" t="str">
        <f>IF($E37&gt;$C$11,A37," ")</f>
        <v> </v>
      </c>
      <c r="B68" s="272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4" t="str">
        <f>IF($E38&gt;$C$11,A29," ")</f>
        <v> </v>
      </c>
      <c r="B69" s="272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4" t="str">
        <f>IF($E39&gt;$C$11,A35," ")</f>
        <v> </v>
      </c>
      <c r="B70" s="272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4" t="str">
        <f t="shared" si="4"/>
        <v> </v>
      </c>
      <c r="B72" s="272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4" t="str">
        <f t="shared" si="4"/>
        <v> </v>
      </c>
      <c r="B73" s="272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4" t="str">
        <f t="shared" si="4"/>
        <v> </v>
      </c>
      <c r="B74" s="272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4" t="str">
        <f t="shared" si="4"/>
        <v> </v>
      </c>
      <c r="B75" s="272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4" t="str">
        <f t="shared" si="4"/>
        <v> </v>
      </c>
      <c r="B76" s="273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5" t="s">
        <v>143</v>
      </c>
      <c r="B77" s="272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5" t="s">
        <v>201</v>
      </c>
      <c r="B78" s="276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5" t="s">
        <v>168</v>
      </c>
      <c r="B79" s="276"/>
      <c r="C79" s="314">
        <f>C77+C78</f>
        <v>0</v>
      </c>
      <c r="D79" s="314">
        <f>D77+D78</f>
        <v>0</v>
      </c>
      <c r="E79" s="314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186</v>
      </c>
      <c r="C82" s="293"/>
      <c r="D82" s="293"/>
      <c r="E82" s="251">
        <f>C82-D82</f>
        <v>0</v>
      </c>
    </row>
    <row r="83" spans="1:5" ht="12.75">
      <c r="A83" s="71" t="s">
        <v>151</v>
      </c>
      <c r="B83" s="8" t="s">
        <v>186</v>
      </c>
      <c r="C83" s="293"/>
      <c r="D83" s="293"/>
      <c r="E83" s="251">
        <f aca="true" t="shared" si="5" ref="E83:E98">C83-D83</f>
        <v>0</v>
      </c>
    </row>
    <row r="84" spans="1:5" ht="12.75">
      <c r="A84" s="71" t="s">
        <v>146</v>
      </c>
      <c r="B84" s="8" t="s">
        <v>186</v>
      </c>
      <c r="C84" s="293"/>
      <c r="D84" s="293"/>
      <c r="E84" s="251">
        <f t="shared" si="5"/>
        <v>0</v>
      </c>
    </row>
    <row r="85" spans="1:5" ht="12.75">
      <c r="A85" s="71" t="s">
        <v>253</v>
      </c>
      <c r="B85" s="8" t="s">
        <v>186</v>
      </c>
      <c r="C85" s="293"/>
      <c r="D85" s="293"/>
      <c r="E85" s="251">
        <f t="shared" si="5"/>
        <v>0</v>
      </c>
    </row>
    <row r="86" spans="1:5" ht="12.75">
      <c r="A86" s="67" t="s">
        <v>192</v>
      </c>
      <c r="B86" s="8" t="s">
        <v>186</v>
      </c>
      <c r="C86" s="293"/>
      <c r="D86" s="293"/>
      <c r="E86" s="251">
        <f t="shared" si="5"/>
        <v>0</v>
      </c>
    </row>
    <row r="87" spans="1:5" ht="12.75">
      <c r="A87" s="67" t="s">
        <v>375</v>
      </c>
      <c r="B87" s="8" t="s">
        <v>186</v>
      </c>
      <c r="C87" s="293"/>
      <c r="D87" s="293"/>
      <c r="E87" s="251">
        <f t="shared" si="5"/>
        <v>0</v>
      </c>
    </row>
    <row r="88" spans="1:5" ht="12.75">
      <c r="A88" s="67" t="s">
        <v>193</v>
      </c>
      <c r="B88" s="8" t="s">
        <v>186</v>
      </c>
      <c r="C88" s="293"/>
      <c r="D88" s="293"/>
      <c r="E88" s="251">
        <f t="shared" si="5"/>
        <v>0</v>
      </c>
    </row>
    <row r="89" spans="1:5" ht="12.75">
      <c r="A89" s="67" t="s">
        <v>165</v>
      </c>
      <c r="B89" s="8" t="s">
        <v>186</v>
      </c>
      <c r="C89" s="293"/>
      <c r="D89" s="293"/>
      <c r="E89" s="251">
        <f t="shared" si="5"/>
        <v>0</v>
      </c>
    </row>
    <row r="90" spans="1:5" ht="12.75">
      <c r="A90" s="67" t="s">
        <v>166</v>
      </c>
      <c r="B90" s="8" t="s">
        <v>186</v>
      </c>
      <c r="C90" s="293"/>
      <c r="D90" s="293"/>
      <c r="E90" s="251">
        <f t="shared" si="5"/>
        <v>0</v>
      </c>
    </row>
    <row r="91" spans="1:5" ht="12.75">
      <c r="A91" s="67" t="s">
        <v>167</v>
      </c>
      <c r="B91" s="8" t="s">
        <v>186</v>
      </c>
      <c r="C91" s="293"/>
      <c r="D91" s="293"/>
      <c r="E91" s="251">
        <f t="shared" si="5"/>
        <v>0</v>
      </c>
    </row>
    <row r="92" spans="2:5" ht="12.75">
      <c r="B92" s="8" t="s">
        <v>186</v>
      </c>
      <c r="C92" s="293"/>
      <c r="D92" s="293"/>
      <c r="E92" s="251"/>
    </row>
    <row r="93" spans="1:5" ht="12.75">
      <c r="A93" s="67"/>
      <c r="B93" s="8" t="s">
        <v>186</v>
      </c>
      <c r="C93" s="293"/>
      <c r="D93" s="293"/>
      <c r="E93" s="251">
        <f t="shared" si="5"/>
        <v>0</v>
      </c>
    </row>
    <row r="94" spans="1:5" ht="12.75">
      <c r="A94" s="67"/>
      <c r="B94" s="8" t="s">
        <v>186</v>
      </c>
      <c r="C94" s="293"/>
      <c r="D94" s="293"/>
      <c r="E94" s="251">
        <f t="shared" si="5"/>
        <v>0</v>
      </c>
    </row>
    <row r="95" spans="1:5" ht="12.75">
      <c r="A95" s="68" t="s">
        <v>203</v>
      </c>
      <c r="B95" s="8" t="s">
        <v>186</v>
      </c>
      <c r="C95" s="293"/>
      <c r="D95" s="293"/>
      <c r="E95" s="251">
        <f t="shared" si="5"/>
        <v>0</v>
      </c>
    </row>
    <row r="96" spans="1:5" ht="12.75">
      <c r="A96" s="67" t="s">
        <v>470</v>
      </c>
      <c r="B96" s="8" t="s">
        <v>186</v>
      </c>
      <c r="C96" s="293">
        <v>0</v>
      </c>
      <c r="D96" s="293"/>
      <c r="E96" s="251">
        <f t="shared" si="5"/>
        <v>0</v>
      </c>
    </row>
    <row r="97" spans="1:5" ht="12.75">
      <c r="A97" s="67"/>
      <c r="B97" s="8" t="s">
        <v>186</v>
      </c>
      <c r="C97" s="293"/>
      <c r="D97" s="293"/>
      <c r="E97" s="251">
        <f t="shared" si="5"/>
        <v>0</v>
      </c>
    </row>
    <row r="98" spans="1:5" ht="12.75">
      <c r="A98" s="67"/>
      <c r="B98" s="8" t="s">
        <v>186</v>
      </c>
      <c r="C98" s="293"/>
      <c r="D98" s="293"/>
      <c r="E98" s="251">
        <f t="shared" si="5"/>
        <v>0</v>
      </c>
    </row>
    <row r="99" spans="1:5" ht="12.75">
      <c r="A99" s="67" t="s">
        <v>169</v>
      </c>
      <c r="B99" s="8" t="s">
        <v>187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4" t="str">
        <f aca="true" t="shared" si="6" ref="A102:A111">IF($E82&gt;$C$11,A82," ")</f>
        <v> </v>
      </c>
      <c r="B102" s="272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4" t="str">
        <f t="shared" si="6"/>
        <v> </v>
      </c>
      <c r="B103" s="272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4" t="str">
        <f t="shared" si="6"/>
        <v> </v>
      </c>
      <c r="B104" s="272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4" t="str">
        <f t="shared" si="6"/>
        <v> </v>
      </c>
      <c r="B105" s="272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4" t="str">
        <f t="shared" si="6"/>
        <v> </v>
      </c>
      <c r="B106" s="272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4" t="str">
        <f t="shared" si="6"/>
        <v> </v>
      </c>
      <c r="B107" s="272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4" t="str">
        <f t="shared" si="6"/>
        <v> </v>
      </c>
      <c r="B108" s="272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4" t="str">
        <f t="shared" si="6"/>
        <v> </v>
      </c>
      <c r="B109" s="272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4" t="str">
        <f t="shared" si="6"/>
        <v> </v>
      </c>
      <c r="B110" s="272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4" t="str">
        <f t="shared" si="6"/>
        <v> </v>
      </c>
      <c r="B111" s="272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4" t="str">
        <f>IF($E92&gt;$C$11,A95," ")</f>
        <v> </v>
      </c>
      <c r="B112" s="272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4" t="str">
        <f>IF($E93&gt;$C$11,#REF!," ")</f>
        <v> </v>
      </c>
      <c r="B113" s="272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4" t="str">
        <f>IF($E94&gt;$C$11,A94," ")</f>
        <v> </v>
      </c>
      <c r="B114" s="272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4" t="str">
        <f>IF($E95&gt;$C$11,A93," ")</f>
        <v> </v>
      </c>
      <c r="B115" s="272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4" t="str">
        <f>IF($E96&gt;$C$11,A96," ")</f>
        <v> </v>
      </c>
      <c r="B116" s="272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4" t="str">
        <f>IF($E97&gt;$C$11,A97," ")</f>
        <v> </v>
      </c>
      <c r="B117" s="272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4" t="str">
        <f>IF($E98&gt;$C$11,A98," ")</f>
        <v> </v>
      </c>
      <c r="B118" s="272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7" t="s">
        <v>200</v>
      </c>
      <c r="B119" s="272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7" t="s">
        <v>199</v>
      </c>
      <c r="B120" s="272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7" t="s">
        <v>169</v>
      </c>
      <c r="B121" s="272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40" sqref="C4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383</v>
      </c>
      <c r="E3" s="92"/>
    </row>
    <row r="4" spans="1:6" ht="15">
      <c r="A4" s="463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5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Centre Wellington Hydro Ltd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185</v>
      </c>
      <c r="C19" s="294"/>
      <c r="D19" s="294"/>
      <c r="E19" s="312">
        <f aca="true" t="shared" si="0" ref="E19:E45">C19-D19</f>
        <v>0</v>
      </c>
    </row>
    <row r="20" spans="1:5" ht="12.75">
      <c r="A20" t="s">
        <v>386</v>
      </c>
      <c r="B20" t="s">
        <v>185</v>
      </c>
      <c r="C20" s="294"/>
      <c r="D20" s="294"/>
      <c r="E20" s="312">
        <f t="shared" si="0"/>
        <v>0</v>
      </c>
    </row>
    <row r="21" spans="1:5" ht="12.75">
      <c r="A21" t="s">
        <v>452</v>
      </c>
      <c r="B21" t="s">
        <v>185</v>
      </c>
      <c r="C21" s="294"/>
      <c r="D21" s="294"/>
      <c r="E21" s="312">
        <f t="shared" si="0"/>
        <v>0</v>
      </c>
    </row>
    <row r="22" spans="1:5" ht="12.75">
      <c r="A22" s="67" t="s">
        <v>389</v>
      </c>
      <c r="B22" t="s">
        <v>185</v>
      </c>
      <c r="C22" s="294"/>
      <c r="D22" s="313"/>
      <c r="E22" s="312">
        <f t="shared" si="0"/>
        <v>0</v>
      </c>
    </row>
    <row r="23" spans="1:5" ht="12.75">
      <c r="A23" s="67" t="s">
        <v>390</v>
      </c>
      <c r="B23" t="s">
        <v>185</v>
      </c>
      <c r="C23" s="294"/>
      <c r="D23" s="294"/>
      <c r="E23" s="312">
        <f t="shared" si="0"/>
        <v>0</v>
      </c>
    </row>
    <row r="24" spans="1:5" ht="12.75">
      <c r="A24" s="67" t="s">
        <v>453</v>
      </c>
      <c r="B24" t="s">
        <v>185</v>
      </c>
      <c r="C24" s="294"/>
      <c r="D24" s="294"/>
      <c r="E24" s="312">
        <f t="shared" si="0"/>
        <v>0</v>
      </c>
    </row>
    <row r="25" spans="1:5" ht="12.75">
      <c r="A25" s="67" t="s">
        <v>124</v>
      </c>
      <c r="B25" t="s">
        <v>185</v>
      </c>
      <c r="C25" s="294"/>
      <c r="D25" s="294"/>
      <c r="E25" s="312">
        <f t="shared" si="0"/>
        <v>0</v>
      </c>
    </row>
    <row r="26" spans="1:5" ht="12.75">
      <c r="A26" s="67" t="s">
        <v>133</v>
      </c>
      <c r="B26" t="s">
        <v>185</v>
      </c>
      <c r="C26" s="294"/>
      <c r="D26" s="294"/>
      <c r="E26" s="312">
        <f t="shared" si="0"/>
        <v>0</v>
      </c>
    </row>
    <row r="27" spans="1:5" ht="12.75">
      <c r="A27" s="67" t="s">
        <v>436</v>
      </c>
      <c r="B27" t="s">
        <v>185</v>
      </c>
      <c r="C27" s="294"/>
      <c r="D27" s="294"/>
      <c r="E27" s="312">
        <f t="shared" si="0"/>
        <v>0</v>
      </c>
    </row>
    <row r="28" spans="1:5" ht="12.75">
      <c r="A28" s="67" t="s">
        <v>388</v>
      </c>
      <c r="B28" t="s">
        <v>185</v>
      </c>
      <c r="C28" s="294"/>
      <c r="D28" s="294"/>
      <c r="E28" s="312">
        <f t="shared" si="0"/>
        <v>0</v>
      </c>
    </row>
    <row r="29" spans="1:5" ht="12.75">
      <c r="A29" s="67" t="s">
        <v>135</v>
      </c>
      <c r="B29" t="s">
        <v>185</v>
      </c>
      <c r="C29" s="294"/>
      <c r="D29" s="294"/>
      <c r="E29" s="312">
        <f t="shared" si="0"/>
        <v>0</v>
      </c>
    </row>
    <row r="30" spans="1:5" ht="12.75">
      <c r="A30" s="67" t="s">
        <v>387</v>
      </c>
      <c r="B30" t="s">
        <v>185</v>
      </c>
      <c r="C30" s="294"/>
      <c r="D30" s="294"/>
      <c r="E30" s="312">
        <f t="shared" si="0"/>
        <v>0</v>
      </c>
    </row>
    <row r="31" spans="1:5" ht="12.75">
      <c r="A31" s="67" t="s">
        <v>190</v>
      </c>
      <c r="B31" t="s">
        <v>185</v>
      </c>
      <c r="C31" s="294"/>
      <c r="D31" s="294"/>
      <c r="E31" s="312">
        <f t="shared" si="0"/>
        <v>0</v>
      </c>
    </row>
    <row r="32" spans="1:5" ht="12.75">
      <c r="A32" s="67" t="s">
        <v>431</v>
      </c>
      <c r="B32" t="s">
        <v>185</v>
      </c>
      <c r="C32" s="294">
        <v>3651</v>
      </c>
      <c r="D32" s="294"/>
      <c r="E32" s="312">
        <f t="shared" si="0"/>
        <v>3651</v>
      </c>
    </row>
    <row r="33" spans="1:5" ht="12.75">
      <c r="A33" s="67" t="s">
        <v>432</v>
      </c>
      <c r="B33" t="s">
        <v>185</v>
      </c>
      <c r="C33" s="294"/>
      <c r="D33" s="294"/>
      <c r="E33" s="312">
        <f t="shared" si="0"/>
        <v>0</v>
      </c>
    </row>
    <row r="34" spans="1:5" ht="12.75">
      <c r="A34" s="67" t="s">
        <v>449</v>
      </c>
      <c r="B34" t="s">
        <v>185</v>
      </c>
      <c r="C34" s="294"/>
      <c r="D34" s="294"/>
      <c r="E34" s="312">
        <f t="shared" si="0"/>
        <v>0</v>
      </c>
    </row>
    <row r="35" spans="1:5" ht="12.75">
      <c r="A35" s="81" t="s">
        <v>450</v>
      </c>
      <c r="C35" s="294">
        <v>103200</v>
      </c>
      <c r="D35" s="294"/>
      <c r="E35" s="312">
        <f t="shared" si="0"/>
        <v>103200</v>
      </c>
    </row>
    <row r="36" spans="1:5" ht="12.75">
      <c r="A36" s="67" t="s">
        <v>433</v>
      </c>
      <c r="C36" s="294"/>
      <c r="D36" s="294"/>
      <c r="E36" s="312">
        <f t="shared" si="0"/>
        <v>0</v>
      </c>
    </row>
    <row r="37" spans="1:5" ht="12.75">
      <c r="A37" s="67" t="s">
        <v>434</v>
      </c>
      <c r="C37" s="294"/>
      <c r="D37" s="294"/>
      <c r="E37" s="312">
        <f t="shared" si="0"/>
        <v>0</v>
      </c>
    </row>
    <row r="38" spans="1:5" ht="12.75">
      <c r="A38" s="81" t="s">
        <v>391</v>
      </c>
      <c r="C38" s="294"/>
      <c r="D38" s="294"/>
      <c r="E38" s="312">
        <f t="shared" si="0"/>
        <v>0</v>
      </c>
    </row>
    <row r="39" spans="2:5" ht="12.75">
      <c r="B39" t="s">
        <v>185</v>
      </c>
      <c r="C39" s="294"/>
      <c r="D39" s="294"/>
      <c r="E39" s="312">
        <f t="shared" si="0"/>
        <v>0</v>
      </c>
    </row>
    <row r="40" spans="1:5" ht="12.75">
      <c r="A40" s="81" t="s">
        <v>496</v>
      </c>
      <c r="B40" t="s">
        <v>185</v>
      </c>
      <c r="C40" s="294">
        <f>169696+286757</f>
        <v>456453</v>
      </c>
      <c r="D40" s="294"/>
      <c r="E40" s="312">
        <f t="shared" si="0"/>
        <v>456453</v>
      </c>
    </row>
    <row r="41" spans="1:5" ht="12.75">
      <c r="A41" s="67" t="s">
        <v>456</v>
      </c>
      <c r="B41" t="s">
        <v>185</v>
      </c>
      <c r="C41" s="294"/>
      <c r="D41" s="294"/>
      <c r="E41" s="312">
        <f t="shared" si="0"/>
        <v>0</v>
      </c>
    </row>
    <row r="42" spans="1:5" ht="12.75">
      <c r="A42" s="502" t="s">
        <v>498</v>
      </c>
      <c r="B42" t="s">
        <v>185</v>
      </c>
      <c r="C42" s="294"/>
      <c r="D42" s="294"/>
      <c r="E42" s="312">
        <f t="shared" si="0"/>
        <v>0</v>
      </c>
    </row>
    <row r="43" spans="1:5" ht="12.75">
      <c r="A43" s="68" t="s">
        <v>202</v>
      </c>
      <c r="B43" t="s">
        <v>185</v>
      </c>
      <c r="C43" s="294"/>
      <c r="D43" s="294"/>
      <c r="E43" s="312">
        <f t="shared" si="0"/>
        <v>0</v>
      </c>
    </row>
    <row r="44" spans="2:5" ht="12.75">
      <c r="B44" t="s">
        <v>185</v>
      </c>
      <c r="C44" s="293"/>
      <c r="D44" s="293"/>
      <c r="E44" s="251">
        <f t="shared" si="0"/>
        <v>0</v>
      </c>
    </row>
    <row r="45" spans="2:5" ht="12.75">
      <c r="B45" t="s">
        <v>185</v>
      </c>
      <c r="C45" s="293"/>
      <c r="D45" s="293"/>
      <c r="E45" s="251">
        <f t="shared" si="0"/>
        <v>0</v>
      </c>
    </row>
    <row r="46" spans="1:5" ht="12.75">
      <c r="A46" s="67"/>
      <c r="B46" t="s">
        <v>185</v>
      </c>
      <c r="C46" s="293"/>
      <c r="D46" s="293"/>
      <c r="E46" s="278"/>
    </row>
    <row r="47" spans="1:5" ht="12.75">
      <c r="A47" s="449" t="s">
        <v>395</v>
      </c>
      <c r="B47" t="s">
        <v>187</v>
      </c>
      <c r="C47" s="251">
        <f>SUM(C19:C46)</f>
        <v>563304</v>
      </c>
      <c r="D47" s="251">
        <f>SUM(D19:D46)</f>
        <v>0</v>
      </c>
      <c r="E47" s="251">
        <f>SUM(E19:E46)</f>
        <v>563304</v>
      </c>
    </row>
    <row r="48" ht="12.75">
      <c r="A48" s="67"/>
    </row>
    <row r="49" ht="12.75">
      <c r="A49" s="81" t="s">
        <v>144</v>
      </c>
    </row>
    <row r="51" spans="1:5" ht="12.75">
      <c r="A51" s="71" t="s">
        <v>386</v>
      </c>
      <c r="B51" s="8" t="s">
        <v>186</v>
      </c>
      <c r="C51" s="293"/>
      <c r="D51" s="293"/>
      <c r="E51" s="251">
        <f aca="true" t="shared" si="1" ref="E51:E61">C51-D51</f>
        <v>0</v>
      </c>
    </row>
    <row r="52" spans="1:5" ht="12.75">
      <c r="A52" s="67" t="s">
        <v>452</v>
      </c>
      <c r="B52" s="8" t="s">
        <v>186</v>
      </c>
      <c r="C52" s="293"/>
      <c r="D52" s="293"/>
      <c r="E52" s="251">
        <f t="shared" si="1"/>
        <v>0</v>
      </c>
    </row>
    <row r="53" spans="1:5" ht="12.75">
      <c r="A53" t="s">
        <v>387</v>
      </c>
      <c r="B53" s="8" t="s">
        <v>186</v>
      </c>
      <c r="C53" s="293"/>
      <c r="D53" s="293"/>
      <c r="E53" s="251">
        <f t="shared" si="1"/>
        <v>0</v>
      </c>
    </row>
    <row r="54" spans="1:5" ht="12.75">
      <c r="A54" t="s">
        <v>435</v>
      </c>
      <c r="B54" s="8" t="s">
        <v>186</v>
      </c>
      <c r="C54" s="293"/>
      <c r="D54" s="293"/>
      <c r="E54" s="251">
        <f t="shared" si="1"/>
        <v>0</v>
      </c>
    </row>
    <row r="55" spans="1:5" ht="12.75">
      <c r="A55" s="67" t="s">
        <v>443</v>
      </c>
      <c r="B55" s="8" t="s">
        <v>186</v>
      </c>
      <c r="C55" s="293"/>
      <c r="D55" s="293"/>
      <c r="E55" s="251">
        <f t="shared" si="1"/>
        <v>0</v>
      </c>
    </row>
    <row r="56" spans="1:5" ht="12.75">
      <c r="A56" s="67" t="s">
        <v>455</v>
      </c>
      <c r="B56" s="8" t="s">
        <v>186</v>
      </c>
      <c r="C56" s="293"/>
      <c r="D56" s="293"/>
      <c r="E56" s="251">
        <f t="shared" si="1"/>
        <v>0</v>
      </c>
    </row>
    <row r="57" spans="1:5" ht="12.75">
      <c r="A57" s="2" t="s">
        <v>451</v>
      </c>
      <c r="B57" s="8" t="s">
        <v>186</v>
      </c>
      <c r="C57" s="293">
        <v>103200</v>
      </c>
      <c r="D57" s="293"/>
      <c r="E57" s="251">
        <f t="shared" si="1"/>
        <v>103200</v>
      </c>
    </row>
    <row r="58" spans="1:5" ht="12.75">
      <c r="A58" s="67" t="s">
        <v>454</v>
      </c>
      <c r="B58" s="8" t="s">
        <v>186</v>
      </c>
      <c r="C58" s="293"/>
      <c r="D58" s="293"/>
      <c r="E58" s="251">
        <f t="shared" si="1"/>
        <v>0</v>
      </c>
    </row>
    <row r="59" spans="1:5" ht="12.75">
      <c r="A59" s="513" t="s">
        <v>513</v>
      </c>
      <c r="B59" s="8" t="s">
        <v>186</v>
      </c>
      <c r="C59" s="293">
        <v>318</v>
      </c>
      <c r="D59" s="293"/>
      <c r="E59" s="251">
        <f t="shared" si="1"/>
        <v>318</v>
      </c>
    </row>
    <row r="60" spans="1:5" ht="12.75">
      <c r="A60" s="467" t="s">
        <v>392</v>
      </c>
      <c r="B60" s="8" t="s">
        <v>186</v>
      </c>
      <c r="C60" s="293">
        <v>29046</v>
      </c>
      <c r="D60" s="293"/>
      <c r="E60" s="251">
        <f t="shared" si="1"/>
        <v>29046</v>
      </c>
    </row>
    <row r="61" spans="2:5" ht="12.75">
      <c r="B61" s="8" t="s">
        <v>186</v>
      </c>
      <c r="C61" s="293"/>
      <c r="D61" s="293"/>
      <c r="E61" s="251">
        <f t="shared" si="1"/>
        <v>0</v>
      </c>
    </row>
    <row r="62" spans="1:5" ht="12.75">
      <c r="A62" s="467" t="s">
        <v>385</v>
      </c>
      <c r="B62" s="8" t="s">
        <v>186</v>
      </c>
      <c r="C62" s="293">
        <f>16055+96659</f>
        <v>112714</v>
      </c>
      <c r="D62" s="293"/>
      <c r="E62" s="251">
        <f aca="true" t="shared" si="2" ref="E62:E72">C62-D62</f>
        <v>112714</v>
      </c>
    </row>
    <row r="63" spans="1:5" ht="12.75">
      <c r="A63" s="501" t="s">
        <v>498</v>
      </c>
      <c r="B63" s="8" t="s">
        <v>186</v>
      </c>
      <c r="C63" s="293"/>
      <c r="D63" s="293"/>
      <c r="E63" s="251">
        <f t="shared" si="2"/>
        <v>0</v>
      </c>
    </row>
    <row r="64" spans="1:5" ht="12.75">
      <c r="A64" t="s">
        <v>503</v>
      </c>
      <c r="B64" s="8" t="s">
        <v>186</v>
      </c>
      <c r="C64" s="293"/>
      <c r="D64" s="293"/>
      <c r="E64" s="251">
        <f t="shared" si="2"/>
        <v>0</v>
      </c>
    </row>
    <row r="65" spans="2:5" ht="12.75">
      <c r="B65" s="8" t="s">
        <v>186</v>
      </c>
      <c r="C65" s="293"/>
      <c r="D65" s="293"/>
      <c r="E65" s="251">
        <f t="shared" si="2"/>
        <v>0</v>
      </c>
    </row>
    <row r="66" spans="2:5" ht="12.75">
      <c r="B66" s="8" t="s">
        <v>186</v>
      </c>
      <c r="C66" s="293"/>
      <c r="D66" s="293"/>
      <c r="E66" s="251">
        <f t="shared" si="2"/>
        <v>0</v>
      </c>
    </row>
    <row r="67" spans="1:5" ht="12.75">
      <c r="A67" s="67"/>
      <c r="B67" s="8" t="s">
        <v>186</v>
      </c>
      <c r="C67" s="293"/>
      <c r="D67" s="293"/>
      <c r="E67" s="251">
        <f t="shared" si="2"/>
        <v>0</v>
      </c>
    </row>
    <row r="68" spans="1:5" ht="12.75">
      <c r="A68" s="68" t="s">
        <v>203</v>
      </c>
      <c r="B68" s="8" t="s">
        <v>186</v>
      </c>
      <c r="C68" s="293"/>
      <c r="D68" s="293"/>
      <c r="E68" s="251">
        <f t="shared" si="2"/>
        <v>0</v>
      </c>
    </row>
    <row r="69" spans="1:5" ht="12.75">
      <c r="A69" s="67"/>
      <c r="B69" s="8" t="s">
        <v>186</v>
      </c>
      <c r="C69" s="293"/>
      <c r="D69" s="293"/>
      <c r="E69" s="251">
        <f t="shared" si="2"/>
        <v>0</v>
      </c>
    </row>
    <row r="70" spans="1:5" ht="12.75">
      <c r="A70" s="67"/>
      <c r="B70" s="8" t="s">
        <v>186</v>
      </c>
      <c r="C70" s="293"/>
      <c r="D70" s="293"/>
      <c r="E70" s="251">
        <f t="shared" si="2"/>
        <v>0</v>
      </c>
    </row>
    <row r="71" spans="1:5" ht="12.75">
      <c r="A71" s="67"/>
      <c r="B71" s="8" t="s">
        <v>186</v>
      </c>
      <c r="C71" s="293"/>
      <c r="D71" s="293"/>
      <c r="E71" s="251">
        <f t="shared" si="2"/>
        <v>0</v>
      </c>
    </row>
    <row r="72" spans="1:5" ht="12.75">
      <c r="A72" s="67"/>
      <c r="B72" s="8" t="s">
        <v>186</v>
      </c>
      <c r="C72" s="293"/>
      <c r="D72" s="293"/>
      <c r="E72" s="278">
        <f t="shared" si="2"/>
        <v>0</v>
      </c>
    </row>
    <row r="73" spans="1:5" ht="12.75">
      <c r="A73" s="448" t="s">
        <v>394</v>
      </c>
      <c r="B73" s="8" t="s">
        <v>187</v>
      </c>
      <c r="C73" s="251">
        <f>SUM(C51:C72)</f>
        <v>245278</v>
      </c>
      <c r="D73" s="251">
        <f>SUM(D51:D72)</f>
        <v>0</v>
      </c>
      <c r="E73" s="251">
        <f>SUM(E51:E72)</f>
        <v>245278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1">
      <selection activeCell="C55" sqref="C5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EB-2008-0381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106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305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Centre Wellington Hydro Ltd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2" t="s">
        <v>480</v>
      </c>
      <c r="B8" s="523"/>
      <c r="C8" s="523"/>
      <c r="D8" s="523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111</v>
      </c>
      <c r="B9" s="325"/>
      <c r="C9" s="373">
        <v>0</v>
      </c>
      <c r="D9" s="373"/>
      <c r="E9" s="373">
        <v>400001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482</v>
      </c>
      <c r="B10" s="326"/>
      <c r="C10" s="375" t="s">
        <v>110</v>
      </c>
      <c r="D10" s="375"/>
      <c r="E10" s="375" t="s">
        <v>110</v>
      </c>
      <c r="F10" s="376" t="s">
        <v>476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115</v>
      </c>
      <c r="C11" s="377">
        <v>400000</v>
      </c>
      <c r="D11" s="377"/>
      <c r="E11" s="377">
        <v>1128000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298</v>
      </c>
      <c r="B13" s="409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297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302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258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108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109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112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330</v>
      </c>
      <c r="B21" s="406" t="s">
        <v>481</v>
      </c>
      <c r="C21" s="361">
        <v>7500000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331</v>
      </c>
      <c r="B22" s="407" t="s">
        <v>475</v>
      </c>
      <c r="C22" s="362">
        <v>50000000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6" t="s">
        <v>487</v>
      </c>
      <c r="B23" s="517"/>
      <c r="C23" s="517"/>
      <c r="D23" s="517"/>
      <c r="E23" s="517"/>
      <c r="F23" s="517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483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111</v>
      </c>
      <c r="B27" s="325"/>
      <c r="C27" s="367">
        <v>0</v>
      </c>
      <c r="D27" s="367">
        <v>250001</v>
      </c>
      <c r="E27" s="367">
        <v>400001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439</v>
      </c>
      <c r="B28" s="326"/>
      <c r="C28" s="369" t="s">
        <v>110</v>
      </c>
      <c r="D28" s="369" t="s">
        <v>110</v>
      </c>
      <c r="E28" s="369" t="s">
        <v>110</v>
      </c>
      <c r="F28" s="370" t="s">
        <v>476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115</v>
      </c>
      <c r="C29" s="371">
        <v>250000</v>
      </c>
      <c r="D29" s="371">
        <v>400000</v>
      </c>
      <c r="E29" s="371">
        <v>1128000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114</v>
      </c>
      <c r="B31" s="409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297</v>
      </c>
      <c r="B32" s="409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258</v>
      </c>
      <c r="B34" s="409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108</v>
      </c>
      <c r="B36" s="409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109</v>
      </c>
      <c r="B37" s="409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112</v>
      </c>
      <c r="B38" s="409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485</v>
      </c>
      <c r="B39" s="406" t="s">
        <v>481</v>
      </c>
      <c r="C39" s="361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486</v>
      </c>
      <c r="B40" s="407" t="s">
        <v>475</v>
      </c>
      <c r="C40" s="362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8" t="s">
        <v>333</v>
      </c>
      <c r="B41" s="517"/>
      <c r="C41" s="517"/>
      <c r="D41" s="517"/>
      <c r="E41" s="517"/>
      <c r="F41" s="51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9"/>
      <c r="B42" s="519"/>
      <c r="C42" s="519"/>
      <c r="D42" s="519"/>
      <c r="E42" s="519"/>
      <c r="F42" s="51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484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111</v>
      </c>
      <c r="B45" s="325"/>
      <c r="C45" s="367">
        <v>0</v>
      </c>
      <c r="D45" s="367">
        <v>250001</v>
      </c>
      <c r="E45" s="367">
        <v>400001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110</v>
      </c>
      <c r="D46" s="369" t="s">
        <v>110</v>
      </c>
      <c r="E46" s="369" t="s">
        <v>110</v>
      </c>
      <c r="F46" s="370" t="s">
        <v>476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115</v>
      </c>
      <c r="C47" s="371">
        <v>250000</v>
      </c>
      <c r="D47" s="371">
        <v>400000</v>
      </c>
      <c r="E47" s="371">
        <v>1128000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114</v>
      </c>
      <c r="B49" s="409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297</v>
      </c>
      <c r="B50" s="245"/>
      <c r="C50" s="351"/>
      <c r="D50" s="351"/>
      <c r="E50" s="352">
        <f>TAXREC!C149</f>
        <v>0.35051784704420585</v>
      </c>
      <c r="F50" s="352"/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/>
      <c r="D51" s="353"/>
      <c r="E51" s="354">
        <f>TAXREC!C150</f>
        <v>0.15900319087895712</v>
      </c>
      <c r="F51" s="354"/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258</v>
      </c>
      <c r="B52" s="245"/>
      <c r="C52" s="331">
        <f>SUM(C50:C51)</f>
        <v>0</v>
      </c>
      <c r="D52" s="331">
        <f>SUM(D50:D51)</f>
        <v>0</v>
      </c>
      <c r="E52" s="332">
        <f>SUM(E50:E51)</f>
        <v>0.509521037923163</v>
      </c>
      <c r="F52" s="332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108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109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112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347</v>
      </c>
      <c r="B57" s="406" t="s">
        <v>481</v>
      </c>
      <c r="C57" s="361">
        <v>7500000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348</v>
      </c>
      <c r="B58" s="407" t="s">
        <v>475</v>
      </c>
      <c r="C58" s="362">
        <v>50000000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6" t="s">
        <v>349</v>
      </c>
      <c r="B59" s="520"/>
      <c r="C59" s="520"/>
      <c r="D59" s="520"/>
      <c r="E59" s="520"/>
      <c r="F59" s="52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1"/>
      <c r="B60" s="521"/>
      <c r="C60" s="521"/>
      <c r="D60" s="521"/>
      <c r="E60" s="521"/>
      <c r="F60" s="52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selection activeCell="A18" sqref="A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Centre Wellington Hydro Ltd</v>
      </c>
      <c r="O3" s="416" t="str">
        <f>REGINFO!E1</f>
        <v>Version 2009.1</v>
      </c>
    </row>
    <row r="4" spans="1:15" ht="12.75">
      <c r="A4" s="2" t="str">
        <f>REGINFO!A4</f>
        <v>Reporting period:  2005</v>
      </c>
      <c r="E4" s="417" t="s">
        <v>319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187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7" ht="27" customHeight="1">
      <c r="A12" s="81" t="s">
        <v>396</v>
      </c>
      <c r="B12" s="66" t="s">
        <v>188</v>
      </c>
      <c r="C12" s="395"/>
      <c r="D12" s="391"/>
      <c r="E12" s="395">
        <v>0</v>
      </c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0/12*4</f>
        <v>0</v>
      </c>
      <c r="N12" s="391"/>
      <c r="O12" s="396">
        <f aca="true" t="shared" si="0" ref="O12:O20">SUM(C12:N12)</f>
        <v>0</v>
      </c>
      <c r="Q12" s="22"/>
    </row>
    <row r="13" spans="1:15" ht="27" customHeight="1">
      <c r="A13" s="81" t="s">
        <v>438</v>
      </c>
      <c r="B13" s="66"/>
      <c r="C13" s="395"/>
      <c r="D13" s="95"/>
      <c r="E13" s="395"/>
      <c r="F13" s="95"/>
      <c r="G13" s="395"/>
      <c r="H13" s="95"/>
      <c r="I13" s="395"/>
      <c r="J13" s="391"/>
      <c r="K13" s="395">
        <f>0/12*9</f>
        <v>0</v>
      </c>
      <c r="L13" s="391"/>
      <c r="M13" s="395"/>
      <c r="N13" s="391"/>
      <c r="O13" s="396">
        <f t="shared" si="0"/>
        <v>0</v>
      </c>
    </row>
    <row r="14" spans="1:15" ht="26.25">
      <c r="A14" s="81" t="s">
        <v>397</v>
      </c>
      <c r="B14" s="66" t="s">
        <v>188</v>
      </c>
      <c r="C14" s="395"/>
      <c r="D14" s="391"/>
      <c r="E14" s="395">
        <v>0</v>
      </c>
      <c r="F14" s="95"/>
      <c r="G14" s="395">
        <v>0</v>
      </c>
      <c r="H14" s="95"/>
      <c r="I14" s="428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398</v>
      </c>
      <c r="B15" s="66" t="s">
        <v>188</v>
      </c>
      <c r="C15" s="395"/>
      <c r="D15" s="391"/>
      <c r="E15" s="395">
        <v>0</v>
      </c>
      <c r="F15" s="95"/>
      <c r="G15" s="395">
        <v>0</v>
      </c>
      <c r="H15" s="95"/>
      <c r="I15" s="395">
        <v>0</v>
      </c>
      <c r="J15" s="391"/>
      <c r="K15" s="395">
        <v>0</v>
      </c>
      <c r="L15" s="391"/>
      <c r="M15" s="395">
        <f>TAXCALC!E132</f>
        <v>5546.363682350023</v>
      </c>
      <c r="N15" s="391"/>
      <c r="O15" s="396">
        <f t="shared" si="0"/>
        <v>5546.363682350023</v>
      </c>
    </row>
    <row r="16" spans="1:15" ht="27" customHeight="1">
      <c r="A16" s="81" t="s">
        <v>399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>
        <v>0</v>
      </c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400</v>
      </c>
      <c r="B17" s="66" t="s">
        <v>188</v>
      </c>
      <c r="C17" s="395"/>
      <c r="D17" s="391"/>
      <c r="E17" s="395">
        <v>0</v>
      </c>
      <c r="F17" s="95"/>
      <c r="G17" s="395">
        <v>0</v>
      </c>
      <c r="H17" s="95"/>
      <c r="I17" s="395">
        <v>0</v>
      </c>
      <c r="J17" s="391"/>
      <c r="K17" s="395">
        <v>0</v>
      </c>
      <c r="L17" s="391"/>
      <c r="M17" s="395">
        <f>TAXCALC!E181</f>
        <v>-17473.316340999496</v>
      </c>
      <c r="N17" s="391"/>
      <c r="O17" s="396">
        <f t="shared" si="0"/>
        <v>-17473.316340999496</v>
      </c>
    </row>
    <row r="18" spans="1:15" ht="26.25">
      <c r="A18" s="81" t="s">
        <v>401</v>
      </c>
      <c r="B18" s="66" t="s">
        <v>188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95">
        <v>0</v>
      </c>
      <c r="N18" s="391"/>
      <c r="O18" s="396">
        <f t="shared" si="0"/>
        <v>0</v>
      </c>
    </row>
    <row r="19" spans="1:17" ht="24" customHeight="1">
      <c r="A19" s="432" t="s">
        <v>402</v>
      </c>
      <c r="B19" s="66" t="s">
        <v>188</v>
      </c>
      <c r="C19" s="395"/>
      <c r="D19" s="391"/>
      <c r="E19" s="395">
        <v>0</v>
      </c>
      <c r="F19" s="95"/>
      <c r="G19" s="395">
        <v>0</v>
      </c>
      <c r="H19" s="95"/>
      <c r="I19" s="395">
        <v>0</v>
      </c>
      <c r="J19" s="391"/>
      <c r="K19" s="395">
        <v>0</v>
      </c>
      <c r="L19" s="391"/>
      <c r="M19" s="395">
        <v>0</v>
      </c>
      <c r="N19" s="391"/>
      <c r="O19" s="396">
        <f t="shared" si="0"/>
        <v>0</v>
      </c>
      <c r="Q19" s="22"/>
    </row>
    <row r="20" spans="1:17" ht="24.75" customHeight="1">
      <c r="A20" s="81" t="s">
        <v>466</v>
      </c>
      <c r="B20" s="66" t="s">
        <v>186</v>
      </c>
      <c r="C20" s="395">
        <v>0</v>
      </c>
      <c r="D20" s="391"/>
      <c r="E20" s="395">
        <v>0</v>
      </c>
      <c r="F20" s="95"/>
      <c r="G20" s="395">
        <v>0</v>
      </c>
      <c r="H20" s="95"/>
      <c r="I20" s="395">
        <v>0</v>
      </c>
      <c r="J20" s="391"/>
      <c r="K20" s="395">
        <v>0</v>
      </c>
      <c r="L20" s="391"/>
      <c r="M20" s="395">
        <v>0</v>
      </c>
      <c r="N20" s="391"/>
      <c r="O20" s="396">
        <f t="shared" si="0"/>
        <v>0</v>
      </c>
      <c r="Q20" s="493"/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9" ht="13.5" thickBot="1">
      <c r="A22" s="81" t="s">
        <v>372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-11926.952658649472</v>
      </c>
      <c r="N22" s="390"/>
      <c r="O22" s="488">
        <f>SUM(O11:O20)</f>
        <v>-11926.952658649472</v>
      </c>
      <c r="Q22">
        <v>0</v>
      </c>
      <c r="S22" s="22">
        <f>+Q22-O22</f>
        <v>11926.952658649472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5"/>
      <c r="B24" s="456"/>
      <c r="C24" s="457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8"/>
    </row>
    <row r="25" spans="1:15" ht="12.75">
      <c r="A25" s="433"/>
      <c r="B25" s="434"/>
      <c r="C25" s="459"/>
      <c r="D25" s="459"/>
      <c r="E25" s="459"/>
      <c r="F25" s="459"/>
      <c r="G25" s="459"/>
      <c r="H25" s="459"/>
      <c r="I25" s="459"/>
      <c r="J25" s="460"/>
      <c r="K25" s="459"/>
      <c r="L25" s="461"/>
      <c r="M25" s="462"/>
      <c r="N25" s="461"/>
      <c r="O25" s="462"/>
    </row>
    <row r="26" spans="1:15" ht="12.75">
      <c r="A26" s="433" t="s">
        <v>403</v>
      </c>
      <c r="B26" s="434"/>
      <c r="C26" s="459"/>
      <c r="D26" s="459"/>
      <c r="E26" s="459"/>
      <c r="F26" s="459"/>
      <c r="G26" s="459"/>
      <c r="H26" s="459"/>
      <c r="I26" s="459"/>
      <c r="J26" s="460"/>
      <c r="K26" s="459"/>
      <c r="L26" s="461"/>
      <c r="M26" s="462"/>
      <c r="N26" s="461"/>
      <c r="O26" s="462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404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405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0" t="s">
        <v>406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</row>
    <row r="33" spans="1:19" ht="12.75">
      <c r="A33" s="525" t="s">
        <v>407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0"/>
      <c r="Q33" s="420"/>
      <c r="R33" s="420"/>
      <c r="S33" s="420"/>
    </row>
    <row r="34" spans="1:19" ht="12.75">
      <c r="A34" s="524" t="s">
        <v>408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0"/>
      <c r="Q34" s="420"/>
      <c r="R34" s="420"/>
      <c r="S34" s="420"/>
    </row>
    <row r="35" spans="1:19" ht="12.75">
      <c r="A35" s="524" t="s">
        <v>429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0"/>
      <c r="Q35" s="420"/>
      <c r="R35" s="420"/>
      <c r="S35" s="420"/>
    </row>
    <row r="36" spans="1:19" ht="12.75">
      <c r="A36" s="524" t="s">
        <v>409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0"/>
      <c r="Q36" s="420"/>
      <c r="R36" s="420"/>
      <c r="S36" s="420"/>
    </row>
    <row r="37" spans="1:19" ht="12.75">
      <c r="A37" s="437" t="s">
        <v>369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370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410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411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412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413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414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415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415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420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421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422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423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379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424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425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381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380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382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426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427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428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24" t="s">
        <v>458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34" t="s">
        <v>371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2011-07-08T19:48:10Z</cp:lastPrinted>
  <dcterms:created xsi:type="dcterms:W3CDTF">2001-11-07T16:15:53Z</dcterms:created>
  <dcterms:modified xsi:type="dcterms:W3CDTF">2012-04-01T00:34:53Z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