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135" windowHeight="9210" activeTab="11"/>
  </bookViews>
  <sheets>
    <sheet name="Sum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0">'Sum'!$A$1:$O$34</definedName>
  </definedNames>
  <calcPr fullCalcOnLoad="1"/>
</workbook>
</file>

<file path=xl/sharedStrings.xml><?xml version="1.0" encoding="utf-8"?>
<sst xmlns="http://schemas.openxmlformats.org/spreadsheetml/2006/main" count="944" uniqueCount="49">
  <si>
    <t>Class</t>
  </si>
  <si>
    <t>UoM</t>
  </si>
  <si>
    <t>Residential</t>
  </si>
  <si>
    <t>kWh</t>
  </si>
  <si>
    <t>Notes:</t>
  </si>
  <si>
    <t>GS&lt;50</t>
  </si>
  <si>
    <t>GS&gt;50</t>
  </si>
  <si>
    <t>Sentinel</t>
  </si>
  <si>
    <t>Streetlights</t>
  </si>
  <si>
    <t>kW</t>
  </si>
  <si>
    <t>Unmetered load</t>
  </si>
  <si>
    <t>Allocation to Reg. Asset Recovery figures taken from sheet 3 of RAM.</t>
  </si>
  <si>
    <t>Qty</t>
  </si>
  <si>
    <t>Amount</t>
  </si>
  <si>
    <t>Rate</t>
  </si>
  <si>
    <t>Total</t>
  </si>
  <si>
    <t>April 1, 2004 Rates</t>
  </si>
  <si>
    <t>Aurora Hydro</t>
  </si>
  <si>
    <t>Reg Asset Recovery</t>
  </si>
  <si>
    <t>Allocations:</t>
  </si>
  <si>
    <t xml:space="preserve">PILS </t>
  </si>
  <si>
    <t>GRAND TOTAL</t>
  </si>
  <si>
    <t>Unmetered load is at GS&lt;50kW rate</t>
  </si>
  <si>
    <t>Variable</t>
  </si>
  <si>
    <t>Fixed Monthly</t>
  </si>
  <si>
    <t>QTY</t>
  </si>
  <si>
    <t>Distn Rev</t>
  </si>
  <si>
    <t>Fixed Rate</t>
  </si>
  <si>
    <t>BILLING DATA</t>
  </si>
  <si>
    <t>Month of:</t>
  </si>
  <si>
    <t>April 1/04 rates - Monthly fees were unchanged (adjusted in var rate) so only the variable rate is considered.</t>
  </si>
  <si>
    <t>Fixed Amt</t>
  </si>
  <si>
    <t>Revenue</t>
  </si>
  <si>
    <t>do not enter here</t>
  </si>
  <si>
    <t>Var. Rate</t>
  </si>
  <si>
    <t>Var. Amt</t>
  </si>
  <si>
    <t>Based on actual billings during the month (no accruals).</t>
  </si>
  <si>
    <t xml:space="preserve">to </t>
  </si>
  <si>
    <t># months</t>
  </si>
  <si>
    <t>Variable and fixed distn. Revenue</t>
  </si>
  <si>
    <t>Var+ fixed</t>
  </si>
  <si>
    <t>Net</t>
  </si>
  <si>
    <t>Total net Distribution revenue</t>
  </si>
  <si>
    <t>April 1 2005 Rates</t>
  </si>
  <si>
    <t>Allocation to Reg. Asset Recovery figures taken from RAM.</t>
  </si>
  <si>
    <t>April 1, 2005 Rates</t>
  </si>
  <si>
    <t>2005 YEAR TO DATE</t>
  </si>
  <si>
    <t>Distribution Rate Analysis 2005</t>
  </si>
  <si>
    <t>Dec 31/05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</si>
</sst>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\(#,##0.0000\)"/>
    <numFmt numFmtId="165" formatCode="0.0000"/>
    <numFmt numFmtId="166" formatCode="0.000000000000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[$-409]dddd\,\ mmmm\ dd\,\ yyyy"/>
    <numFmt numFmtId="173" formatCode="mmm\ yyyy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"/>
    <numFmt numFmtId="178" formatCode="#,##0.0"/>
    <numFmt numFmtId="179" formatCode="0.0%"/>
    <numFmt numFmtId="180" formatCode="_(* #,##0.0000_);_(* \(#,##0.0000\);_(* &quot;-&quot;????_);_(@_)"/>
    <numFmt numFmtId="181" formatCode="_(* #,##0.0_);_(* \(#,##0.0\);_(* &quot;-&quot;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64" fontId="0" fillId="2" borderId="0" xfId="15" applyNumberFormat="1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0" xfId="15" applyFont="1" applyFill="1" applyBorder="1" applyAlignment="1">
      <alignment/>
    </xf>
    <xf numFmtId="168" fontId="0" fillId="2" borderId="0" xfId="15" applyNumberFormat="1" applyFill="1" applyAlignment="1">
      <alignment/>
    </xf>
    <xf numFmtId="168" fontId="0" fillId="2" borderId="0" xfId="15" applyNumberFormat="1" applyFill="1" applyBorder="1" applyAlignment="1">
      <alignment/>
    </xf>
    <xf numFmtId="0" fontId="0" fillId="2" borderId="0" xfId="0" applyFill="1" applyAlignment="1">
      <alignment/>
    </xf>
    <xf numFmtId="43" fontId="0" fillId="2" borderId="2" xfId="15" applyFill="1" applyBorder="1" applyAlignment="1">
      <alignment/>
    </xf>
    <xf numFmtId="0" fontId="0" fillId="2" borderId="0" xfId="0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43" fontId="0" fillId="2" borderId="0" xfId="15" applyFill="1" applyAlignment="1">
      <alignment/>
    </xf>
    <xf numFmtId="43" fontId="0" fillId="2" borderId="3" xfId="15" applyFill="1" applyBorder="1" applyAlignment="1">
      <alignment/>
    </xf>
    <xf numFmtId="43" fontId="0" fillId="2" borderId="0" xfId="0" applyNumberFormat="1" applyFill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/>
    </xf>
    <xf numFmtId="175" fontId="0" fillId="0" borderId="0" xfId="15" applyNumberFormat="1" applyAlignment="1">
      <alignment/>
    </xf>
    <xf numFmtId="17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0" fillId="0" borderId="4" xfId="15" applyBorder="1" applyAlignment="1">
      <alignment horizontal="right"/>
    </xf>
    <xf numFmtId="174" fontId="0" fillId="2" borderId="0" xfId="15" applyNumberFormat="1" applyFill="1" applyBorder="1" applyAlignment="1">
      <alignment/>
    </xf>
    <xf numFmtId="173" fontId="1" fillId="0" borderId="0" xfId="0" applyNumberFormat="1" applyFont="1" applyAlignment="1">
      <alignment/>
    </xf>
    <xf numFmtId="43" fontId="0" fillId="0" borderId="0" xfId="15" applyFont="1" applyBorder="1" applyAlignment="1">
      <alignment/>
    </xf>
    <xf numFmtId="179" fontId="0" fillId="2" borderId="0" xfId="21" applyNumberFormat="1" applyFill="1" applyBorder="1" applyAlignment="1">
      <alignment/>
    </xf>
    <xf numFmtId="10" fontId="0" fillId="2" borderId="0" xfId="21" applyNumberFormat="1" applyFill="1" applyBorder="1" applyAlignment="1">
      <alignment/>
    </xf>
    <xf numFmtId="0" fontId="0" fillId="0" borderId="0" xfId="0" applyAlignment="1">
      <alignment horizontal="center"/>
    </xf>
    <xf numFmtId="10" fontId="0" fillId="2" borderId="0" xfId="21" applyNumberFormat="1" applyFill="1" applyAlignment="1">
      <alignment/>
    </xf>
    <xf numFmtId="43" fontId="0" fillId="2" borderId="0" xfId="15" applyFill="1" applyAlignment="1">
      <alignment/>
    </xf>
    <xf numFmtId="43" fontId="0" fillId="0" borderId="0" xfId="0" applyNumberFormat="1" applyAlignment="1">
      <alignment/>
    </xf>
    <xf numFmtId="170" fontId="0" fillId="2" borderId="0" xfId="15" applyNumberFormat="1" applyFill="1" applyAlignment="1">
      <alignment/>
    </xf>
    <xf numFmtId="0" fontId="1" fillId="0" borderId="2" xfId="0" applyFont="1" applyBorder="1" applyAlignment="1">
      <alignment/>
    </xf>
    <xf numFmtId="168" fontId="0" fillId="2" borderId="0" xfId="15" applyNumberFormat="1" applyFill="1" applyBorder="1" applyAlignment="1">
      <alignment/>
    </xf>
    <xf numFmtId="43" fontId="0" fillId="0" borderId="0" xfId="15" applyFill="1" applyAlignment="1">
      <alignment/>
    </xf>
    <xf numFmtId="174" fontId="0" fillId="0" borderId="0" xfId="15" applyNumberFormat="1" applyFont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L46" sqref="L46"/>
    </sheetView>
  </sheetViews>
  <sheetFormatPr defaultColWidth="9.140625" defaultRowHeight="12.75"/>
  <cols>
    <col min="1" max="1" width="16.00390625" style="0" customWidth="1"/>
    <col min="2" max="2" width="4.8515625" style="0" bestFit="1" customWidth="1"/>
    <col min="3" max="3" width="7.00390625" style="0" bestFit="1" customWidth="1"/>
    <col min="4" max="4" width="12.28125" style="0" bestFit="1" customWidth="1"/>
    <col min="5" max="5" width="12.8515625" style="10" bestFit="1" customWidth="1"/>
    <col min="6" max="6" width="1.1484375" style="0" customWidth="1"/>
    <col min="7" max="7" width="7.7109375" style="0" bestFit="1" customWidth="1"/>
    <col min="8" max="8" width="10.57421875" style="0" bestFit="1" customWidth="1"/>
    <col min="9" max="9" width="12.8515625" style="10" bestFit="1" customWidth="1"/>
    <col min="10" max="10" width="1.1484375" style="0" customWidth="1"/>
    <col min="12" max="12" width="12.8515625" style="10" bestFit="1" customWidth="1"/>
    <col min="13" max="13" width="15.140625" style="0" bestFit="1" customWidth="1"/>
    <col min="14" max="14" width="11.28125" style="0" bestFit="1" customWidth="1"/>
    <col min="15" max="15" width="12.8515625" style="10" bestFit="1" customWidth="1"/>
    <col min="16" max="16" width="9.28125" style="0" customWidth="1"/>
  </cols>
  <sheetData>
    <row r="1" spans="1:9" ht="12.75">
      <c r="A1" t="s">
        <v>17</v>
      </c>
      <c r="E1" s="26" t="s">
        <v>46</v>
      </c>
      <c r="G1" s="6"/>
      <c r="H1" s="26" t="s">
        <v>37</v>
      </c>
      <c r="I1" s="26" t="s">
        <v>48</v>
      </c>
    </row>
    <row r="2" spans="1:14" ht="12.75">
      <c r="A2" t="s">
        <v>47</v>
      </c>
      <c r="F2" s="3"/>
      <c r="G2" s="8"/>
      <c r="H2" s="35" t="s">
        <v>38</v>
      </c>
      <c r="I2" s="8">
        <v>12</v>
      </c>
      <c r="J2" s="3"/>
      <c r="K2" s="2" t="s">
        <v>19</v>
      </c>
      <c r="M2" s="16" t="s">
        <v>33</v>
      </c>
      <c r="N2" s="16"/>
    </row>
    <row r="3" spans="3:10" ht="12.75">
      <c r="C3" s="52" t="s">
        <v>28</v>
      </c>
      <c r="D3" s="53"/>
      <c r="E3" s="53"/>
      <c r="F3" s="53"/>
      <c r="G3" s="53"/>
      <c r="H3" s="53"/>
      <c r="I3" s="55"/>
      <c r="J3" s="3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20</v>
      </c>
      <c r="L4" s="53"/>
      <c r="M4" s="53"/>
      <c r="N4" s="53"/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2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34</v>
      </c>
      <c r="L5" s="22" t="s">
        <v>27</v>
      </c>
      <c r="M5" s="21" t="s">
        <v>35</v>
      </c>
      <c r="N5" s="21" t="s">
        <v>31</v>
      </c>
      <c r="O5" s="32" t="s">
        <v>15</v>
      </c>
    </row>
    <row r="6" spans="1:15" ht="12.75">
      <c r="A6" t="s">
        <v>2</v>
      </c>
      <c r="B6" t="s">
        <v>3</v>
      </c>
      <c r="C6" s="11">
        <v>0.0122</v>
      </c>
      <c r="D6" s="28">
        <f>+Jan!D6+Feb!D6+Mar!D6+Apr!D6+May!D6+Jun!D6+Jul!D6+Aug!D6+Sep!D6+Oct!D6+Nov!D6+Dec!D6</f>
        <v>105954714</v>
      </c>
      <c r="E6" s="10">
        <f>+Jan!E6+Feb!E6+Mar!E6+Apr!E6+May!E6+Jun!E6+Jul!E6+Aug!E6+Sep!E6+Oct!E6+Nov!E6+Dec!E6</f>
        <v>2108536.44</v>
      </c>
      <c r="F6" s="4"/>
      <c r="G6" s="12">
        <v>13.25</v>
      </c>
      <c r="H6" s="28">
        <f>+Jan!H6+Feb!H6+Mar!H6+Apr!H6+May!H6+Jun!H6+Jul!H6+Aug!H6+Sep!H6+Oct!H6+Nov!H6+Dec!H6</f>
        <v>115897.3682385035</v>
      </c>
      <c r="I6" s="10">
        <f>+Jan!I6+Feb!I6+Mar!I6+Apr!I6+May!I6+Jun!I6+Jul!I6+Aug!I6+Sep!I6+Oct!I6+Nov!I6+Dec!I6</f>
        <v>1486963.2345</v>
      </c>
      <c r="J6" s="4"/>
      <c r="K6" s="14">
        <v>0.0039</v>
      </c>
      <c r="L6" s="23"/>
      <c r="M6" s="23">
        <f aca="true" t="shared" si="0" ref="M6:M11">+D6*K6</f>
        <v>413223.3846</v>
      </c>
      <c r="N6" s="23">
        <f aca="true" t="shared" si="1" ref="N6:N11">+H6*L6</f>
        <v>0</v>
      </c>
      <c r="O6" s="23">
        <f aca="true" t="shared" si="2" ref="O6:O11">SUM(M6:N6)</f>
        <v>413223.3846</v>
      </c>
    </row>
    <row r="7" spans="1:15" ht="12.75">
      <c r="A7" t="s">
        <v>5</v>
      </c>
      <c r="B7" t="s">
        <v>3</v>
      </c>
      <c r="C7" s="11">
        <v>0.0091</v>
      </c>
      <c r="D7" s="28">
        <f>+Jan!D7+Feb!D7+Mar!D7+Apr!D7+May!D7+Jun!D7+Jul!D7+Aug!D7+Sep!D7+Oct!D7+Nov!D7+Dec!D7</f>
        <v>28053488</v>
      </c>
      <c r="E7" s="10">
        <f>+Jan!E7+Feb!E7+Mar!E7+Apr!E7+May!E7+Jun!E7+Jul!E7+Aug!E7+Sep!E7+Oct!E7+Nov!E7+Dec!E7</f>
        <v>460077.18</v>
      </c>
      <c r="F7" s="5"/>
      <c r="G7" s="13">
        <v>32.21</v>
      </c>
      <c r="H7" s="28">
        <f>+Jan!H7+Feb!H7+Mar!H7+Apr!H7+May!H7+Jun!H7+Jul!H7+Aug!H7+Sep!H7+Oct!H7+Nov!H7+Dec!H7</f>
        <v>9276.938702314965</v>
      </c>
      <c r="I7" s="10">
        <f>+Jan!I7+Feb!I7+Mar!I7+Apr!I7+May!I7+Jun!I7+Jul!I7+Aug!I7+Sep!I7+Oct!I7+Nov!I7+Dec!I7</f>
        <v>284523.70999999996</v>
      </c>
      <c r="J7" s="5"/>
      <c r="K7" s="14">
        <v>0.0034</v>
      </c>
      <c r="L7" s="23"/>
      <c r="M7" s="23">
        <f t="shared" si="0"/>
        <v>95381.85919999999</v>
      </c>
      <c r="N7" s="23">
        <f t="shared" si="1"/>
        <v>0</v>
      </c>
      <c r="O7" s="23">
        <f t="shared" si="2"/>
        <v>95381.85919999999</v>
      </c>
    </row>
    <row r="8" spans="1:15" ht="12.75">
      <c r="A8" t="s">
        <v>6</v>
      </c>
      <c r="B8" t="s">
        <v>9</v>
      </c>
      <c r="C8" s="11">
        <v>1.6919</v>
      </c>
      <c r="D8" s="28">
        <f>+Jan!D8+Feb!D8+Mar!D8+Apr!D8+May!D8+Jun!D8+Jul!D8+Aug!D8+Sep!D8+Oct!D8+Nov!D8+Dec!D8</f>
        <v>390666.09700000007</v>
      </c>
      <c r="E8" s="10">
        <f>+Jan!E8+Feb!E8+Mar!E8+Apr!E8+May!E8+Jun!E8+Jul!E8+Aug!E8+Sep!E8+Oct!E8+Nov!E8+Dec!E8</f>
        <v>1429759.71</v>
      </c>
      <c r="F8" s="4"/>
      <c r="G8" s="12">
        <v>204.28</v>
      </c>
      <c r="H8" s="28">
        <f>+Jan!H8+Feb!H8+Mar!H8+Apr!H8+May!H8+Jun!H8+Jul!H8+Aug!H8+Sep!H8+Oct!H8+Nov!H8+Dec!H8</f>
        <v>1497.4127718648772</v>
      </c>
      <c r="I8" s="10">
        <f>+Jan!I8+Feb!I8+Mar!I8+Apr!I8+May!I8+Jun!I8+Jul!I8+Aug!I8+Sep!I8+Oct!I8+Nov!I8+Dec!I8</f>
        <v>291231.81</v>
      </c>
      <c r="J8" s="4"/>
      <c r="K8" s="14">
        <v>0.3793</v>
      </c>
      <c r="L8" s="23"/>
      <c r="M8" s="23">
        <f t="shared" si="0"/>
        <v>148179.65059210005</v>
      </c>
      <c r="N8" s="23">
        <f t="shared" si="1"/>
        <v>0</v>
      </c>
      <c r="O8" s="23">
        <f t="shared" si="2"/>
        <v>148179.65059210005</v>
      </c>
    </row>
    <row r="9" spans="1:15" ht="12.75">
      <c r="A9" t="s">
        <v>7</v>
      </c>
      <c r="B9" t="s">
        <v>9</v>
      </c>
      <c r="C9" s="11">
        <v>5.2694</v>
      </c>
      <c r="D9" s="28">
        <f>+Jan!D9+Feb!D9+Mar!D9+Apr!D9+May!D9+Jun!D9+Jul!D9+Aug!D9+Sep!D9+Oct!D9+Nov!D9+Dec!D9</f>
        <v>150.962</v>
      </c>
      <c r="E9" s="10">
        <f>+Jan!E9+Feb!E9+Mar!E9+Apr!E9+May!E9+Jun!E9+Jul!E9+Aug!E9+Sep!E9+Oct!E9+Nov!E9+Dec!E9</f>
        <v>1230.0106114999999</v>
      </c>
      <c r="F9" s="5"/>
      <c r="G9" s="13">
        <v>2.96</v>
      </c>
      <c r="H9" s="28">
        <f>+Jan!H9+Feb!H9+Mar!H9+Apr!H9+May!H9+Jun!H9+Jul!H9+Aug!H9+Sep!H9+Oct!H9+Nov!H9+Dec!H9</f>
        <v>375.2684824902724</v>
      </c>
      <c r="I9" s="10">
        <f>+Jan!I9+Feb!I9+Mar!I9+Apr!I9+May!I9+Jun!I9+Jul!I9+Aug!I9+Sep!I9+Oct!I9+Nov!I9+Dec!I9</f>
        <v>964.4399999999999</v>
      </c>
      <c r="J9" s="5"/>
      <c r="K9" s="14">
        <v>2.3721</v>
      </c>
      <c r="L9" s="23"/>
      <c r="M9" s="23">
        <f t="shared" si="0"/>
        <v>358.0969602</v>
      </c>
      <c r="N9" s="23">
        <f t="shared" si="1"/>
        <v>0</v>
      </c>
      <c r="O9" s="23">
        <f t="shared" si="2"/>
        <v>358.0969602</v>
      </c>
    </row>
    <row r="10" spans="1:15" ht="12.75">
      <c r="A10" t="s">
        <v>8</v>
      </c>
      <c r="B10" t="s">
        <v>9</v>
      </c>
      <c r="C10" s="11">
        <v>3.5359</v>
      </c>
      <c r="D10" s="28">
        <f>+Jan!D10+Feb!D10+Mar!D10+Apr!D10+May!D10+Jun!D10+Jul!D10+Aug!D10+Sep!D10+Oct!D10+Nov!D10+Dec!D10</f>
        <v>4805.35</v>
      </c>
      <c r="E10" s="10">
        <f>+Jan!E10+Feb!E10+Mar!E10+Apr!E10+May!E10+Jun!E10+Jul!E10+Aug!E10+Sep!E10+Oct!E10+Nov!E10+Dec!E10</f>
        <v>35508.639196000004</v>
      </c>
      <c r="F10" s="5"/>
      <c r="G10" s="13">
        <v>0.59</v>
      </c>
      <c r="H10" s="28">
        <f>+Jan!H10+Feb!H10+Mar!H10+Apr!H10+May!H10+Jun!H10+Jul!H10+Aug!H10+Sep!H10+Oct!H10+Nov!H10+Dec!H10</f>
        <v>32899.58620689655</v>
      </c>
      <c r="I10" s="10">
        <f>+Jan!I10+Feb!I10+Mar!I10+Apr!I10+May!I10+Jun!I10+Jul!I10+Aug!I10+Sep!I10+Oct!I10+Nov!I10+Dec!I10</f>
        <v>19081.760000000002</v>
      </c>
      <c r="J10" s="5"/>
      <c r="K10" s="14">
        <v>1.5625</v>
      </c>
      <c r="L10" s="23"/>
      <c r="M10" s="23">
        <f t="shared" si="0"/>
        <v>7508.359375000001</v>
      </c>
      <c r="N10" s="23">
        <f t="shared" si="1"/>
        <v>0</v>
      </c>
      <c r="O10" s="23">
        <f t="shared" si="2"/>
        <v>7508.359375000001</v>
      </c>
    </row>
    <row r="11" spans="1:15" ht="12.75">
      <c r="A11" t="s">
        <v>10</v>
      </c>
      <c r="B11" t="s">
        <v>3</v>
      </c>
      <c r="C11" s="11">
        <v>0.0091</v>
      </c>
      <c r="D11" s="28">
        <f>+Jan!D11+Feb!D11+Mar!D11+Apr!D11+May!D11+Jun!D11+Jul!D11+Aug!D11+Sep!D11+Oct!D11+Nov!D11+Dec!D11</f>
        <v>1103476.01</v>
      </c>
      <c r="E11" s="10">
        <f>+Jan!E11+Feb!E11+Mar!E11+Apr!E11+May!E11+Jun!E11+Jul!E11+Aug!E11+Sep!E11+Oct!E11+Nov!E11+Dec!E11</f>
        <v>21959.361500000003</v>
      </c>
      <c r="F11" s="4"/>
      <c r="G11" s="12">
        <f>+G7</f>
        <v>32.21</v>
      </c>
      <c r="H11" s="28">
        <f>+Jan!H11+Feb!H11+Mar!H11+Apr!H11+May!H11+Jun!H11+Jul!H11+Aug!H11+Sep!H11+Oct!H11+Nov!H11+Dec!H11</f>
        <v>1299.2282360612978</v>
      </c>
      <c r="I11" s="10">
        <f>+Jan!I11+Feb!I11+Mar!I11+Apr!I11+May!I11+Jun!I11+Jul!I11+Aug!I11+Sep!I11+Oct!I11+Nov!I11+Dec!I11</f>
        <v>39847.33</v>
      </c>
      <c r="J11" s="4"/>
      <c r="K11" s="14">
        <v>0.0069</v>
      </c>
      <c r="L11" s="23"/>
      <c r="M11" s="23">
        <f t="shared" si="0"/>
        <v>7613.984469</v>
      </c>
      <c r="N11" s="23">
        <f t="shared" si="1"/>
        <v>0</v>
      </c>
      <c r="O11" s="23">
        <f t="shared" si="2"/>
        <v>7613.984469</v>
      </c>
    </row>
    <row r="12" spans="1:15" ht="12.75">
      <c r="A12" t="s">
        <v>15</v>
      </c>
      <c r="E12" s="17">
        <f>SUM(E6:E11)</f>
        <v>4057071.3413075004</v>
      </c>
      <c r="F12" s="3"/>
      <c r="G12" s="8"/>
      <c r="H12" s="8"/>
      <c r="I12" s="17">
        <f>SUM(I6:I11)</f>
        <v>2122612.2845</v>
      </c>
      <c r="J12" s="3"/>
      <c r="K12" s="16"/>
      <c r="L12" s="23"/>
      <c r="M12" s="17">
        <f>SUM(M6:M11)</f>
        <v>672265.3351963001</v>
      </c>
      <c r="N12" s="17">
        <f>SUM(N6:N11)</f>
        <v>0</v>
      </c>
      <c r="O12" s="17">
        <f>SUM(O6:O11)</f>
        <v>672265.3351963001</v>
      </c>
    </row>
    <row r="13" spans="6:15" ht="12.75">
      <c r="F13" s="3"/>
      <c r="G13" s="8"/>
      <c r="H13" s="35" t="s">
        <v>40</v>
      </c>
      <c r="I13" s="19">
        <f>+E12+I12</f>
        <v>6179683.6258075</v>
      </c>
      <c r="J13" s="3"/>
      <c r="O13" s="39"/>
    </row>
    <row r="14" spans="1:15" ht="12.75">
      <c r="A14" s="27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2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2" t="s">
        <v>13</v>
      </c>
      <c r="M15" s="3"/>
      <c r="N15" s="21" t="s">
        <v>14</v>
      </c>
      <c r="O15" s="22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f>+Jan!D16+Feb!D16+Mar!D16+Apr!D16+May!D16+Jun!D16+Jul!D16+Aug!D16+Sep!D16+Oct!D16+Nov!D16+Dec!D16</f>
        <v>56216034</v>
      </c>
      <c r="E16" s="28">
        <f>+Jan!E16+Feb!E16+Mar!E16+Apr!E16+May!E16+Jun!E16+Jul!E16+Aug!E16+Sep!E16+Oct!E16+Nov!E16+Dec!E16</f>
        <v>702830.1975000001</v>
      </c>
      <c r="F16" s="3"/>
      <c r="G16" s="12">
        <v>13.25</v>
      </c>
      <c r="H16" s="28">
        <f>+Jan!H16+Feb!H16+Mar!H16+Apr!H16+May!H16+Jun!H16+Jul!H16+Aug!H16+Sep!H16+Oct!H16+Nov!H16+Dec!H16</f>
        <v>60567.511698113216</v>
      </c>
      <c r="I16" s="10">
        <f>+Jan!I16+Feb!I16+Mar!I16+Apr!I16+May!I16+Jun!I16+Jul!I16+Aug!I16+Sep!I16+Oct!I16+Nov!I16+Dec!I16</f>
        <v>802519.5299999998</v>
      </c>
      <c r="J16" s="3"/>
      <c r="K16" s="16">
        <v>0.001521</v>
      </c>
      <c r="L16" s="23">
        <f aca="true" t="shared" si="3" ref="L16:L21">+$D16*K16</f>
        <v>85504.587714</v>
      </c>
      <c r="M16" s="18"/>
      <c r="N16" s="16">
        <v>0.003957</v>
      </c>
      <c r="O16" s="23">
        <f aca="true" t="shared" si="4" ref="O16:O21">+$D16*N16</f>
        <v>222446.84653799998</v>
      </c>
    </row>
    <row r="17" spans="1:15" ht="12.75">
      <c r="A17" t="s">
        <v>5</v>
      </c>
      <c r="B17" t="s">
        <v>3</v>
      </c>
      <c r="C17" s="16">
        <v>0.0095</v>
      </c>
      <c r="D17" s="28">
        <f>+Jan!D17+Feb!D17+Mar!D17+Apr!D17+May!D17+Jun!D17+Jul!D17+Aug!D17+Sep!D17+Oct!D17+Nov!D17+Dec!D17</f>
        <v>13382767</v>
      </c>
      <c r="E17" s="28">
        <f>+Jan!E17+Feb!E17+Mar!E17+Apr!E17+May!E17+Jun!E17+Jul!E17+Aug!E17+Sep!E17+Oct!E17+Nov!E17+Dec!E17</f>
        <v>127149.02900000002</v>
      </c>
      <c r="F17" s="3"/>
      <c r="G17" s="13">
        <v>32.21</v>
      </c>
      <c r="H17" s="28">
        <f>+Jan!H17+Feb!H17+Mar!H17+Apr!H17+May!H17+Jun!H17+Jul!H17+Aug!H17+Sep!H17+Oct!H17+Nov!H17+Dec!H17</f>
        <v>4244.057435579011</v>
      </c>
      <c r="I17" s="10">
        <f>+Jan!I17+Feb!I17+Mar!I17+Apr!I17+May!I17+Jun!I17+Jul!I17+Aug!I17+Sep!I17+Oct!I17+Nov!I17+Dec!I17</f>
        <v>136701.09000000003</v>
      </c>
      <c r="J17" s="3"/>
      <c r="K17" s="16">
        <v>0.001521</v>
      </c>
      <c r="L17" s="23">
        <f t="shared" si="3"/>
        <v>20355.188607</v>
      </c>
      <c r="M17" s="18"/>
      <c r="N17" s="16">
        <v>0.003281</v>
      </c>
      <c r="O17" s="23">
        <f t="shared" si="4"/>
        <v>43908.858527000004</v>
      </c>
    </row>
    <row r="18" spans="1:15" ht="12.75">
      <c r="A18" t="s">
        <v>6</v>
      </c>
      <c r="B18" t="s">
        <v>9</v>
      </c>
      <c r="C18" s="16">
        <v>2.2816</v>
      </c>
      <c r="D18" s="28">
        <f>+Jan!D18+Feb!D18+Mar!D18+Apr!D18+May!D18+Jun!D18+Jul!D18+Aug!D18+Sep!D18+Oct!D18+Nov!D18+Dec!D18</f>
        <v>170818.739</v>
      </c>
      <c r="E18" s="28">
        <f>+Jan!E18+Feb!E18+Mar!E18+Apr!E18+May!E18+Jun!E18+Jul!E18+Aug!E18+Sep!E18+Oct!E18+Nov!E18+Dec!E18</f>
        <v>390740.0900000001</v>
      </c>
      <c r="F18" s="3"/>
      <c r="G18" s="12">
        <v>204.28</v>
      </c>
      <c r="H18" s="28">
        <f>+Jan!H18+Feb!H18+Mar!H18+Apr!H18+May!H18+Jun!H18+Jul!H18+Aug!H18+Sep!H18+Oct!H18+Nov!H18+Dec!H18</f>
        <v>670.4238789896222</v>
      </c>
      <c r="I18" s="10">
        <f>+Jan!I18+Feb!I18+Mar!I18+Apr!I18+May!I18+Jun!I18+Jul!I18+Aug!I18+Sep!I18+Oct!I18+Nov!I18+Dec!I18</f>
        <v>136954.19</v>
      </c>
      <c r="J18" s="3"/>
      <c r="K18" s="16">
        <v>0.703918</v>
      </c>
      <c r="L18" s="23">
        <f t="shared" si="3"/>
        <v>120242.38511940201</v>
      </c>
      <c r="M18" s="18"/>
      <c r="N18" s="16">
        <v>0.403767</v>
      </c>
      <c r="O18" s="23">
        <f t="shared" si="4"/>
        <v>68970.969789813</v>
      </c>
    </row>
    <row r="19" spans="1:15" ht="12.75">
      <c r="A19" t="s">
        <v>7</v>
      </c>
      <c r="B19" t="s">
        <v>9</v>
      </c>
      <c r="C19" s="16">
        <v>2.3323</v>
      </c>
      <c r="D19" s="28">
        <f>+Jan!D19+Feb!D19+Mar!D19+Apr!D19+May!D19+Jun!D19+Jul!D19+Aug!D19+Sep!D19+Oct!D19+Nov!D19+Dec!D19</f>
        <v>70.29</v>
      </c>
      <c r="E19" s="28">
        <f>+Jan!E19+Feb!E19+Mar!E19+Apr!E19+May!E19+Jun!E19+Jul!E19+Aug!E19+Sep!E19+Oct!E19+Nov!E19+Dec!E19</f>
        <v>322.20000000000005</v>
      </c>
      <c r="F19" s="3"/>
      <c r="G19" s="13">
        <v>2.96</v>
      </c>
      <c r="H19" s="28">
        <f>+Jan!H19+Feb!H19+Mar!H19+Apr!H19+May!H19+Jun!H19+Jul!H19+Aug!H19+Sep!H19+Oct!H19+Nov!H19+Dec!H19</f>
        <v>174.4391891891892</v>
      </c>
      <c r="I19" s="10">
        <f>+Jan!I19+Feb!I19+Mar!I19+Apr!I19+May!I19+Jun!I19+Jul!I19+Aug!I19+Sep!I19+Oct!I19+Nov!I19+Dec!I19</f>
        <v>516.3399999999999</v>
      </c>
      <c r="J19" s="3"/>
      <c r="K19" s="16">
        <v>0.286512</v>
      </c>
      <c r="L19" s="23">
        <f t="shared" si="3"/>
        <v>20.13892848</v>
      </c>
      <c r="M19" s="18"/>
      <c r="N19" s="16">
        <v>1.864886</v>
      </c>
      <c r="O19" s="23">
        <f t="shared" si="4"/>
        <v>131.08283694000002</v>
      </c>
    </row>
    <row r="20" spans="1:15" ht="12.75">
      <c r="A20" t="s">
        <v>8</v>
      </c>
      <c r="B20" t="s">
        <v>9</v>
      </c>
      <c r="C20" s="16">
        <v>3.6587</v>
      </c>
      <c r="D20" s="28">
        <f>+Jan!D20+Feb!D20+Mar!D20+Apr!D20+May!D20+Jun!D20+Jul!D20+Aug!D20+Sep!D20+Oct!D20+Nov!D20+Dec!D20</f>
        <v>2036.9</v>
      </c>
      <c r="E20" s="28">
        <f>+Jan!E20+Feb!E20+Mar!E20+Apr!E20+May!E20+Jun!E20+Jul!E20+Aug!E20+Sep!E20+Oct!E20+Nov!E20+Dec!E20</f>
        <v>7452.401718</v>
      </c>
      <c r="F20" s="3"/>
      <c r="G20" s="13">
        <v>0.59</v>
      </c>
      <c r="H20" s="28">
        <f>+Jan!H20+Feb!H20+Mar!H20+Apr!H20+May!H20+Jun!H20+Jul!H20+Aug!H20+Sep!H20+Oct!H20+Nov!H20+Dec!H20</f>
        <v>14181.084745762711</v>
      </c>
      <c r="I20" s="10">
        <f>+Jan!I20+Feb!I20+Mar!I20+Apr!I20+May!I20+Jun!I20+Jul!I20+Aug!I20+Sep!I20+Oct!I20+Nov!I20+Dec!I20</f>
        <v>8366.84</v>
      </c>
      <c r="J20" s="3"/>
      <c r="K20" s="16">
        <v>0.478809</v>
      </c>
      <c r="L20" s="23">
        <f t="shared" si="3"/>
        <v>975.2860521</v>
      </c>
      <c r="M20" s="18"/>
      <c r="N20" s="16">
        <v>1.188604</v>
      </c>
      <c r="O20" s="23">
        <f t="shared" si="4"/>
        <v>2421.0674876000003</v>
      </c>
    </row>
    <row r="21" spans="1:15" ht="12.75">
      <c r="A21" t="s">
        <v>10</v>
      </c>
      <c r="B21" t="s">
        <v>3</v>
      </c>
      <c r="C21" s="16">
        <v>0.0095</v>
      </c>
      <c r="D21" s="28">
        <f>+Jan!D21+Feb!D21+Mar!D21+Apr!D21+May!D21+Jun!D21+Jul!D21+Aug!D21+Sep!D21+Oct!D21+Nov!D21+Dec!D21</f>
        <v>478721.01</v>
      </c>
      <c r="E21" s="28">
        <f>+Jan!E21+Feb!E21+Mar!E21+Apr!E21+May!E21+Jun!E21+Jul!E21+Aug!E21+Sep!E21+Oct!E21+Nov!E21+Dec!E21</f>
        <v>3399.5599999999995</v>
      </c>
      <c r="F21" s="3"/>
      <c r="G21" s="12">
        <f>+G17</f>
        <v>32.21</v>
      </c>
      <c r="H21" s="28">
        <f>+Jan!H21+Feb!H21+Mar!H21+Apr!H21+May!H21+Jun!H21+Jul!H21+Aug!H21+Sep!H21+Oct!H21+Nov!H21+Dec!H21</f>
        <v>577.4073269171065</v>
      </c>
      <c r="I21" s="10">
        <f>+Jan!I21+Feb!I21+Mar!I21+Apr!I21+May!I21+Jun!I21+Jul!I21+Aug!I21+Sep!I21+Oct!I21+Nov!I21+Dec!I21</f>
        <v>18598.29</v>
      </c>
      <c r="J21" s="3"/>
      <c r="K21" s="16">
        <v>0.001521</v>
      </c>
      <c r="L21" s="23">
        <f t="shared" si="3"/>
        <v>728.13465621</v>
      </c>
      <c r="M21" s="18"/>
      <c r="N21" s="16">
        <f>+N17</f>
        <v>0.003281</v>
      </c>
      <c r="O21" s="23">
        <f t="shared" si="4"/>
        <v>1570.6836338100002</v>
      </c>
    </row>
    <row r="22" spans="1:15" ht="12.75">
      <c r="A22" t="s">
        <v>15</v>
      </c>
      <c r="E22" s="17">
        <f>SUM(E16:E21)</f>
        <v>1231893.4782180001</v>
      </c>
      <c r="F22" s="3"/>
      <c r="G22" s="8"/>
      <c r="H22" s="8"/>
      <c r="I22" s="17">
        <f>SUM(I16:I21)</f>
        <v>1103656.28</v>
      </c>
      <c r="J22" s="3"/>
      <c r="K22" s="16"/>
      <c r="L22" s="17">
        <f>SUM(L16:L21)</f>
        <v>227825.72107719202</v>
      </c>
      <c r="M22" s="16"/>
      <c r="N22" s="16"/>
      <c r="O22" s="17">
        <f>SUM(O16:O21)</f>
        <v>339449.50881316303</v>
      </c>
    </row>
    <row r="23" spans="5:15" ht="12.75">
      <c r="E23" s="19"/>
      <c r="F23" s="3"/>
      <c r="G23" s="8"/>
      <c r="H23" s="35"/>
      <c r="I23" s="19"/>
      <c r="J23" s="3"/>
      <c r="K23" s="16"/>
      <c r="L23" s="19"/>
      <c r="M23" s="37"/>
      <c r="N23" s="16"/>
      <c r="O23" s="36"/>
    </row>
    <row r="24" spans="6:15" ht="12.75">
      <c r="F24" s="3"/>
      <c r="G24" s="8"/>
      <c r="H24" s="8"/>
      <c r="I24" s="8"/>
      <c r="J24" s="3"/>
      <c r="K24" s="16"/>
      <c r="L24" s="23"/>
      <c r="M24" s="16"/>
      <c r="N24" s="16"/>
      <c r="O24" s="23"/>
    </row>
    <row r="25" spans="1:15" ht="13.5" thickBot="1">
      <c r="A25" t="s">
        <v>21</v>
      </c>
      <c r="E25" s="24">
        <f>+E12+E22</f>
        <v>5288964.819525501</v>
      </c>
      <c r="F25" s="3"/>
      <c r="G25" s="8"/>
      <c r="H25" s="8"/>
      <c r="I25" s="24">
        <f>+I12+I22</f>
        <v>3226268.5645000003</v>
      </c>
      <c r="J25" s="3"/>
      <c r="K25" s="16"/>
      <c r="L25" s="24">
        <f>+L22</f>
        <v>227825.72107719202</v>
      </c>
      <c r="M25" s="16"/>
      <c r="N25" s="16"/>
      <c r="O25" s="24">
        <f>+O12+O22</f>
        <v>1011714.8440094631</v>
      </c>
    </row>
    <row r="26" spans="6:10" ht="13.5" thickTop="1">
      <c r="F26" s="3"/>
      <c r="G26" s="8"/>
      <c r="H26" s="8"/>
      <c r="I26" s="8"/>
      <c r="J26" s="3"/>
    </row>
    <row r="27" spans="5:15" ht="13.5" thickBot="1">
      <c r="E27" s="26" t="s">
        <v>39</v>
      </c>
      <c r="F27" s="3"/>
      <c r="G27" s="8"/>
      <c r="H27" s="8"/>
      <c r="I27" s="24">
        <f>+E25+I25</f>
        <v>8515233.384025501</v>
      </c>
      <c r="J27" s="3"/>
      <c r="K27" s="38"/>
      <c r="L27" s="48"/>
      <c r="M27" s="47"/>
      <c r="N27" s="47"/>
      <c r="O27" s="48"/>
    </row>
    <row r="28" spans="1:10" ht="13.5" thickTop="1">
      <c r="A28" s="2" t="s">
        <v>4</v>
      </c>
      <c r="F28" s="3"/>
      <c r="G28" s="8"/>
      <c r="H28" s="8"/>
      <c r="I28" s="35"/>
      <c r="J28" s="3"/>
    </row>
    <row r="29" spans="1:10" ht="12.75">
      <c r="A29" s="27" t="s">
        <v>36</v>
      </c>
      <c r="F29" s="3"/>
      <c r="G29" s="8"/>
      <c r="H29" s="8"/>
      <c r="I29" s="8"/>
      <c r="J29" s="3"/>
    </row>
    <row r="30" spans="1:10" ht="12.75">
      <c r="A30" t="s">
        <v>30</v>
      </c>
      <c r="F30" s="3"/>
      <c r="G30" s="8"/>
      <c r="H30" s="8"/>
      <c r="I30" s="8"/>
      <c r="J30" s="3"/>
    </row>
    <row r="31" spans="1:10" ht="12.75">
      <c r="A31" t="s">
        <v>11</v>
      </c>
      <c r="F31" s="3"/>
      <c r="G31" s="8"/>
      <c r="H31" s="8"/>
      <c r="I31" s="8"/>
      <c r="J31" s="3"/>
    </row>
    <row r="32" spans="1:10" ht="12.75">
      <c r="A32" t="s">
        <v>22</v>
      </c>
      <c r="F32" s="3"/>
      <c r="G32" s="8"/>
      <c r="H32" s="8"/>
      <c r="I32" s="8"/>
      <c r="J32" s="3"/>
    </row>
    <row r="33" spans="6:10" ht="12.75">
      <c r="F33" s="3"/>
      <c r="G33" s="8"/>
      <c r="H33" s="8"/>
      <c r="I33" s="8"/>
      <c r="J33" s="3"/>
    </row>
  </sheetData>
  <mergeCells count="8">
    <mergeCell ref="B14:E14"/>
    <mergeCell ref="K14:L14"/>
    <mergeCell ref="N14:O14"/>
    <mergeCell ref="C3:I3"/>
    <mergeCell ref="B4:E4"/>
    <mergeCell ref="G4:I4"/>
    <mergeCell ref="K4:O4"/>
    <mergeCell ref="G14:I14"/>
  </mergeCells>
  <printOptions/>
  <pageMargins left="0.5" right="0.5" top="1" bottom="0.5" header="0.45" footer="0.11"/>
  <pageSetup fitToHeight="1" fitToWidth="1" horizontalDpi="600" verticalDpi="600" orientation="landscape" scale="86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C1">
      <selection activeCell="I26" sqref="I26"/>
    </sheetView>
  </sheetViews>
  <sheetFormatPr defaultColWidth="9.140625" defaultRowHeight="12.75"/>
  <cols>
    <col min="1" max="1" width="16.421875" style="0" customWidth="1"/>
    <col min="4" max="4" width="12.8515625" style="0" bestFit="1" customWidth="1"/>
    <col min="5" max="5" width="11.28125" style="0" bestFit="1" customWidth="1"/>
    <col min="6" max="6" width="2.28125" style="0" customWidth="1"/>
    <col min="8" max="8" width="10.28125" style="0" bestFit="1" customWidth="1"/>
    <col min="9" max="9" width="11.28125" style="0" bestFit="1" customWidth="1"/>
    <col min="10" max="10" width="2.7109375" style="0" customWidth="1"/>
    <col min="12" max="12" width="11.28125" style="0" bestFit="1" customWidth="1"/>
    <col min="14" max="14" width="9.7109375" style="0" bestFit="1" customWidth="1"/>
    <col min="15" max="15" width="10.28125" style="0" bestFit="1" customWidth="1"/>
  </cols>
  <sheetData>
    <row r="1" spans="1:14" ht="12.75">
      <c r="A1" t="s">
        <v>17</v>
      </c>
      <c r="E1" t="s">
        <v>29</v>
      </c>
      <c r="G1" s="34">
        <v>38596</v>
      </c>
      <c r="H1" s="10"/>
      <c r="I1" s="10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15601626</v>
      </c>
      <c r="E6" s="45">
        <v>310477.47</v>
      </c>
      <c r="F6" s="4"/>
      <c r="G6" s="12">
        <v>12.83</v>
      </c>
      <c r="H6" s="33">
        <f aca="true" t="shared" si="0" ref="H6:H11">+I6/G6</f>
        <v>14823.986749805144</v>
      </c>
      <c r="I6" s="10">
        <v>190191.75</v>
      </c>
      <c r="J6" s="4"/>
      <c r="K6" s="14">
        <v>0.0041</v>
      </c>
      <c r="L6" s="23">
        <f aca="true" t="shared" si="1" ref="L6:L11">+D6*K6</f>
        <v>63966.666600000004</v>
      </c>
      <c r="M6" s="23"/>
      <c r="N6" s="14">
        <v>0.0039</v>
      </c>
      <c r="O6" s="23">
        <f aca="true" t="shared" si="2" ref="O6:O11">+D6*N6</f>
        <v>60846.3414</v>
      </c>
    </row>
    <row r="7" spans="1:15" ht="12.75">
      <c r="A7" t="s">
        <v>5</v>
      </c>
      <c r="B7" t="s">
        <v>3</v>
      </c>
      <c r="C7" s="11">
        <v>0.0164</v>
      </c>
      <c r="D7" s="29">
        <f>3360703</f>
        <v>3360703</v>
      </c>
      <c r="E7" s="45">
        <f>55115.54</f>
        <v>55115.54</v>
      </c>
      <c r="F7" s="5"/>
      <c r="G7" s="13">
        <v>30.67</v>
      </c>
      <c r="H7" s="33">
        <f t="shared" si="0"/>
        <v>1126.112161721552</v>
      </c>
      <c r="I7" s="10">
        <f>34537.86</f>
        <v>34537.86</v>
      </c>
      <c r="J7" s="5"/>
      <c r="K7" s="14">
        <v>0.0041</v>
      </c>
      <c r="L7" s="23">
        <f t="shared" si="1"/>
        <v>13778.882300000001</v>
      </c>
      <c r="M7" s="23"/>
      <c r="N7" s="14">
        <v>0.0034</v>
      </c>
      <c r="O7" s="23">
        <f t="shared" si="2"/>
        <v>11426.3902</v>
      </c>
    </row>
    <row r="8" spans="1:15" ht="12.75">
      <c r="A8" t="s">
        <v>6</v>
      </c>
      <c r="B8" t="s">
        <v>9</v>
      </c>
      <c r="C8" s="11">
        <v>3.6598</v>
      </c>
      <c r="D8" s="29">
        <f>13307.93+33760.9+2030.222</f>
        <v>49099.052</v>
      </c>
      <c r="E8" s="45">
        <f>48704.35+123558.13+7430.19</f>
        <v>179692.67</v>
      </c>
      <c r="F8" s="4"/>
      <c r="G8" s="12">
        <v>194.49</v>
      </c>
      <c r="H8" s="33">
        <f t="shared" si="0"/>
        <v>183.2329682760039</v>
      </c>
      <c r="I8" s="10">
        <f>35636.98</f>
        <v>35636.98</v>
      </c>
      <c r="J8" s="4"/>
      <c r="K8" s="14">
        <v>1.6336</v>
      </c>
      <c r="L8" s="23">
        <f t="shared" si="1"/>
        <v>80208.2113472</v>
      </c>
      <c r="M8" s="23"/>
      <c r="N8" s="14">
        <v>0.3793</v>
      </c>
      <c r="O8" s="23">
        <f t="shared" si="2"/>
        <v>18623.270423600003</v>
      </c>
    </row>
    <row r="9" spans="1:15" ht="12.75">
      <c r="A9" t="s">
        <v>7</v>
      </c>
      <c r="B9" t="s">
        <v>9</v>
      </c>
      <c r="C9" s="11">
        <v>8.1465</v>
      </c>
      <c r="D9" s="29">
        <v>15.402</v>
      </c>
      <c r="E9" s="45">
        <v>125.46</v>
      </c>
      <c r="F9" s="5"/>
      <c r="G9" s="13">
        <v>2.57</v>
      </c>
      <c r="H9" s="33">
        <f t="shared" si="0"/>
        <v>43.373540856031134</v>
      </c>
      <c r="I9" s="10">
        <v>111.47</v>
      </c>
      <c r="J9" s="5"/>
      <c r="K9" s="14">
        <v>0.615</v>
      </c>
      <c r="L9" s="23">
        <f t="shared" si="1"/>
        <v>9.47223</v>
      </c>
      <c r="M9" s="23"/>
      <c r="N9" s="14">
        <v>2.3721</v>
      </c>
      <c r="O9" s="23">
        <f t="shared" si="2"/>
        <v>36.5350842</v>
      </c>
    </row>
    <row r="10" spans="1:15" ht="12.75">
      <c r="A10" t="s">
        <v>8</v>
      </c>
      <c r="B10" t="s">
        <v>9</v>
      </c>
      <c r="C10" s="11">
        <v>7.3894</v>
      </c>
      <c r="D10" s="29">
        <v>620.68</v>
      </c>
      <c r="E10" s="45">
        <v>4586.45</v>
      </c>
      <c r="F10" s="5"/>
      <c r="G10" s="13">
        <v>0.58</v>
      </c>
      <c r="H10" s="33">
        <f t="shared" si="0"/>
        <v>4148.9655172413795</v>
      </c>
      <c r="I10" s="10">
        <v>2406.4</v>
      </c>
      <c r="J10" s="5"/>
      <c r="K10" s="14">
        <v>2.3847</v>
      </c>
      <c r="L10" s="23">
        <f t="shared" si="1"/>
        <v>1480.1355959999999</v>
      </c>
      <c r="M10" s="23"/>
      <c r="N10" s="14">
        <v>1.5625</v>
      </c>
      <c r="O10" s="23">
        <f t="shared" si="2"/>
        <v>969.8124999999999</v>
      </c>
    </row>
    <row r="11" spans="1:15" ht="12.75">
      <c r="A11" t="s">
        <v>10</v>
      </c>
      <c r="B11" t="s">
        <v>3</v>
      </c>
      <c r="C11" s="11">
        <v>0.0199</v>
      </c>
      <c r="D11" s="29">
        <v>97047.01</v>
      </c>
      <c r="E11" s="45">
        <v>1931.2</v>
      </c>
      <c r="F11" s="4"/>
      <c r="G11" s="12">
        <v>30.67</v>
      </c>
      <c r="H11" s="33">
        <f t="shared" si="0"/>
        <v>156.0668405608086</v>
      </c>
      <c r="I11" s="10">
        <v>4786.57</v>
      </c>
      <c r="J11" s="4"/>
      <c r="K11" s="14">
        <v>0.0041</v>
      </c>
      <c r="L11" s="23">
        <f t="shared" si="1"/>
        <v>397.892741</v>
      </c>
      <c r="M11" s="23"/>
      <c r="N11" s="14">
        <v>0.0069</v>
      </c>
      <c r="O11" s="23">
        <f t="shared" si="2"/>
        <v>669.624369</v>
      </c>
    </row>
    <row r="12" spans="1:15" ht="12.75">
      <c r="A12" t="s">
        <v>15</v>
      </c>
      <c r="E12" s="17">
        <f>SUM(E6:E11)</f>
        <v>551928.7899999998</v>
      </c>
      <c r="F12" s="3"/>
      <c r="G12" s="8"/>
      <c r="H12" s="8"/>
      <c r="I12" s="17">
        <f>SUM(I6:I11)</f>
        <v>267671.03</v>
      </c>
      <c r="J12" s="3"/>
      <c r="K12" s="16"/>
      <c r="L12" s="17">
        <f>SUM(L6:L11)</f>
        <v>159841.26081420004</v>
      </c>
      <c r="M12" s="19"/>
      <c r="N12" s="44"/>
      <c r="O12" s="17">
        <f>SUM(O6:O11)</f>
        <v>92571.9739768</v>
      </c>
    </row>
    <row r="13" spans="6:14" ht="12.75">
      <c r="F13" s="3"/>
      <c r="G13" s="8"/>
      <c r="H13" s="8"/>
      <c r="I13" s="8"/>
      <c r="J13" s="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v>1596</v>
      </c>
      <c r="E16" s="10">
        <v>19.96</v>
      </c>
      <c r="F16" s="3"/>
      <c r="G16" s="12">
        <v>13.25</v>
      </c>
      <c r="H16" s="33">
        <f aca="true" t="shared" si="3" ref="H16:H21">I16/G16</f>
        <v>2.4339622641509435</v>
      </c>
      <c r="I16" s="10">
        <v>32.25</v>
      </c>
      <c r="J16" s="3"/>
      <c r="K16" s="16">
        <v>0.001521</v>
      </c>
      <c r="L16" s="23">
        <f aca="true" t="shared" si="4" ref="L16:L21">+$D16*K16</f>
        <v>2.427516</v>
      </c>
      <c r="M16" s="18"/>
      <c r="N16" s="42">
        <v>0.003957</v>
      </c>
      <c r="O16" s="23">
        <f aca="true" t="shared" si="5" ref="O16:O21">+$D16*N16</f>
        <v>6.315371999999999</v>
      </c>
    </row>
    <row r="17" spans="1:15" ht="12.75">
      <c r="A17" t="s">
        <v>5</v>
      </c>
      <c r="B17" t="s">
        <v>3</v>
      </c>
      <c r="C17" s="16">
        <v>0.0095</v>
      </c>
      <c r="D17" s="28"/>
      <c r="E17" s="10">
        <f>+C17*D17</f>
        <v>0</v>
      </c>
      <c r="F17" s="3"/>
      <c r="G17" s="13">
        <v>32.21</v>
      </c>
      <c r="H17" s="33">
        <f t="shared" si="3"/>
        <v>0</v>
      </c>
      <c r="I17" s="10"/>
      <c r="J17" s="3"/>
      <c r="K17" s="16">
        <v>0.001521</v>
      </c>
      <c r="L17" s="23">
        <f t="shared" si="4"/>
        <v>0</v>
      </c>
      <c r="M17" s="18"/>
      <c r="N17" s="42">
        <v>0.003281</v>
      </c>
      <c r="O17" s="23">
        <f t="shared" si="5"/>
        <v>0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>+C18*D18</f>
        <v>0</v>
      </c>
      <c r="F18" s="3"/>
      <c r="G18" s="12">
        <v>204.28</v>
      </c>
      <c r="H18" s="33">
        <f t="shared" si="3"/>
        <v>0</v>
      </c>
      <c r="I18" s="10"/>
      <c r="J18" s="3"/>
      <c r="K18" s="16">
        <v>0.703918</v>
      </c>
      <c r="L18" s="23">
        <f t="shared" si="4"/>
        <v>0</v>
      </c>
      <c r="M18" s="18"/>
      <c r="N18" s="42">
        <v>0.403767</v>
      </c>
      <c r="O18" s="23">
        <f t="shared" si="5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>+C19*D19</f>
        <v>0</v>
      </c>
      <c r="F19" s="3"/>
      <c r="G19" s="13">
        <v>2.96</v>
      </c>
      <c r="H19" s="33">
        <f t="shared" si="3"/>
        <v>0</v>
      </c>
      <c r="I19" s="10"/>
      <c r="J19" s="3"/>
      <c r="K19" s="16">
        <v>0.286512</v>
      </c>
      <c r="L19" s="23">
        <f t="shared" si="4"/>
        <v>0</v>
      </c>
      <c r="M19" s="18"/>
      <c r="N19" s="42">
        <v>1.864886</v>
      </c>
      <c r="O19" s="23">
        <f t="shared" si="5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>+C20*D20</f>
        <v>0</v>
      </c>
      <c r="F20" s="3"/>
      <c r="G20" s="13">
        <v>0.59</v>
      </c>
      <c r="H20" s="33">
        <f t="shared" si="3"/>
        <v>0</v>
      </c>
      <c r="I20" s="10"/>
      <c r="J20" s="3"/>
      <c r="K20" s="16">
        <v>0.478809</v>
      </c>
      <c r="L20" s="23">
        <f t="shared" si="4"/>
        <v>0</v>
      </c>
      <c r="M20" s="18"/>
      <c r="N20" s="42">
        <v>1.188604</v>
      </c>
      <c r="O20" s="23">
        <f t="shared" si="5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>+C21*D21</f>
        <v>0</v>
      </c>
      <c r="F21" s="3"/>
      <c r="G21" s="12">
        <f>+G17</f>
        <v>32.21</v>
      </c>
      <c r="H21" s="33">
        <f t="shared" si="3"/>
        <v>0</v>
      </c>
      <c r="I21" s="10"/>
      <c r="J21" s="3"/>
      <c r="K21" s="16">
        <v>0.001521</v>
      </c>
      <c r="L21" s="23">
        <f t="shared" si="4"/>
        <v>0</v>
      </c>
      <c r="M21" s="18"/>
      <c r="N21" s="42">
        <f>+N17</f>
        <v>0.003281</v>
      </c>
      <c r="O21" s="23">
        <f t="shared" si="5"/>
        <v>0</v>
      </c>
    </row>
    <row r="22" spans="1:15" ht="12.75">
      <c r="A22" t="s">
        <v>15</v>
      </c>
      <c r="E22" s="17">
        <f>SUM(E16:E21)</f>
        <v>19.96</v>
      </c>
      <c r="F22" s="3"/>
      <c r="G22" s="8"/>
      <c r="H22" s="8"/>
      <c r="I22" s="17">
        <f>SUM(I16:I21)</f>
        <v>32.25</v>
      </c>
      <c r="J22" s="3"/>
      <c r="K22" s="16"/>
      <c r="L22" s="17">
        <f>SUM(L16:L21)</f>
        <v>2.427516</v>
      </c>
      <c r="M22" s="19"/>
      <c r="N22" s="42"/>
      <c r="O22" s="17">
        <f>SUM(O16:O21)</f>
        <v>6.315371999999999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551948.7499999998</v>
      </c>
      <c r="F24" s="3"/>
      <c r="G24" s="8"/>
      <c r="H24" s="8"/>
      <c r="I24" s="20">
        <f>+I12+I22</f>
        <v>267703.28</v>
      </c>
      <c r="J24" s="3"/>
      <c r="K24" s="16"/>
      <c r="L24" s="24">
        <f>+L12+L22</f>
        <v>159843.68833020004</v>
      </c>
      <c r="M24" s="16"/>
      <c r="N24" s="23"/>
      <c r="O24" s="24">
        <f>+O12+O22</f>
        <v>92578.2893488</v>
      </c>
    </row>
    <row r="25" spans="6:14" ht="13.5" thickTop="1">
      <c r="F25" s="3"/>
      <c r="G25" s="8"/>
      <c r="H25" s="8"/>
      <c r="I25" s="8"/>
      <c r="J25" s="3"/>
      <c r="N25" s="10"/>
    </row>
    <row r="26" spans="6:14" ht="12.75">
      <c r="F26" s="3"/>
      <c r="G26" s="8"/>
      <c r="H26" s="8"/>
      <c r="I26" s="19">
        <f>+E24+I24</f>
        <v>819652.0299999998</v>
      </c>
      <c r="J26" s="3"/>
      <c r="N26" s="10"/>
    </row>
    <row r="27" spans="1:14" ht="12.75">
      <c r="A27" s="2" t="s">
        <v>4</v>
      </c>
      <c r="F27" s="3"/>
      <c r="G27" s="8"/>
      <c r="H27" s="8"/>
      <c r="I27" s="8"/>
      <c r="J27" s="3"/>
      <c r="N27" s="10"/>
    </row>
    <row r="28" spans="1:14" ht="12.75">
      <c r="A28" s="27" t="s">
        <v>36</v>
      </c>
      <c r="F28" s="3"/>
      <c r="G28" s="8"/>
      <c r="H28" s="8"/>
      <c r="I28" s="8"/>
      <c r="J28" s="3"/>
      <c r="N28" s="10"/>
    </row>
    <row r="29" spans="1:14" ht="12.75">
      <c r="A29" t="s">
        <v>30</v>
      </c>
      <c r="F29" s="3"/>
      <c r="G29" s="8"/>
      <c r="H29" s="8"/>
      <c r="I29" s="8"/>
      <c r="J29" s="3"/>
      <c r="N29" s="10"/>
    </row>
    <row r="30" spans="1:14" ht="12.75">
      <c r="A30" t="s">
        <v>44</v>
      </c>
      <c r="F30" s="3"/>
      <c r="G30" s="8"/>
      <c r="H30" s="8"/>
      <c r="I30" s="8"/>
      <c r="J30" s="3"/>
      <c r="N30" s="10"/>
    </row>
    <row r="31" spans="1:15" ht="12.75">
      <c r="A31" t="s">
        <v>22</v>
      </c>
      <c r="E31" s="10"/>
      <c r="F31" s="3"/>
      <c r="G31" s="8"/>
      <c r="H31" s="8"/>
      <c r="I31" s="8"/>
      <c r="J31" s="3"/>
      <c r="O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24" footer="0.2"/>
  <pageSetup fitToHeight="1" fitToWidth="1" horizontalDpi="600" verticalDpi="600" orientation="landscape" scale="8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D33" sqref="D33"/>
    </sheetView>
  </sheetViews>
  <sheetFormatPr defaultColWidth="9.140625" defaultRowHeight="12.75"/>
  <cols>
    <col min="1" max="1" width="17.28125" style="0" bestFit="1" customWidth="1"/>
    <col min="4" max="4" width="12.8515625" style="0" bestFit="1" customWidth="1"/>
    <col min="5" max="5" width="11.28125" style="0" bestFit="1" customWidth="1"/>
    <col min="6" max="6" width="2.7109375" style="0" customWidth="1"/>
    <col min="8" max="8" width="10.28125" style="0" bestFit="1" customWidth="1"/>
    <col min="9" max="9" width="11.28125" style="0" bestFit="1" customWidth="1"/>
    <col min="10" max="10" width="2.421875" style="0" customWidth="1"/>
    <col min="12" max="12" width="11.28125" style="0" bestFit="1" customWidth="1"/>
    <col min="14" max="14" width="9.7109375" style="0" bestFit="1" customWidth="1"/>
    <col min="15" max="15" width="10.28125" style="0" bestFit="1" customWidth="1"/>
  </cols>
  <sheetData>
    <row r="1" spans="1:14" ht="12.75">
      <c r="A1" t="s">
        <v>17</v>
      </c>
      <c r="E1" t="s">
        <v>29</v>
      </c>
      <c r="G1" s="34">
        <v>38626</v>
      </c>
      <c r="H1" s="10"/>
      <c r="I1" s="10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12771652</v>
      </c>
      <c r="E6" s="45">
        <v>254160.65</v>
      </c>
      <c r="F6" s="4"/>
      <c r="G6" s="12">
        <v>12.83</v>
      </c>
      <c r="H6" s="33">
        <f aca="true" t="shared" si="0" ref="H6:H11">+I6/G6</f>
        <v>14844.409976617302</v>
      </c>
      <c r="I6" s="10">
        <v>190453.78</v>
      </c>
      <c r="J6" s="4"/>
      <c r="K6" s="14">
        <v>0.0041</v>
      </c>
      <c r="L6" s="23">
        <f aca="true" t="shared" si="1" ref="L6:L11">+D6*K6</f>
        <v>52363.7732</v>
      </c>
      <c r="M6" s="23"/>
      <c r="N6" s="14">
        <v>0.0039</v>
      </c>
      <c r="O6" s="23">
        <f aca="true" t="shared" si="2" ref="O6:O11">+D6*N6</f>
        <v>49809.4428</v>
      </c>
    </row>
    <row r="7" spans="1:15" ht="12.75">
      <c r="A7" t="s">
        <v>5</v>
      </c>
      <c r="B7" t="s">
        <v>3</v>
      </c>
      <c r="C7" s="11">
        <v>0.0164</v>
      </c>
      <c r="D7" s="29">
        <v>3278293</v>
      </c>
      <c r="E7" s="45">
        <v>53764.13</v>
      </c>
      <c r="F7" s="5"/>
      <c r="G7" s="13">
        <v>30.67</v>
      </c>
      <c r="H7" s="33">
        <f t="shared" si="0"/>
        <v>1120.3847407890446</v>
      </c>
      <c r="I7" s="10">
        <v>34362.2</v>
      </c>
      <c r="J7" s="5"/>
      <c r="K7" s="14">
        <v>0.0041</v>
      </c>
      <c r="L7" s="23">
        <f t="shared" si="1"/>
        <v>13441.001300000002</v>
      </c>
      <c r="M7" s="23"/>
      <c r="N7" s="14">
        <v>0.0034</v>
      </c>
      <c r="O7" s="23">
        <f t="shared" si="2"/>
        <v>11146.196199999998</v>
      </c>
    </row>
    <row r="8" spans="1:15" ht="12.75">
      <c r="A8" t="s">
        <v>6</v>
      </c>
      <c r="B8" t="s">
        <v>9</v>
      </c>
      <c r="C8" s="11">
        <v>3.6598</v>
      </c>
      <c r="D8" s="29">
        <v>47918.9</v>
      </c>
      <c r="E8" s="45">
        <v>175373.56</v>
      </c>
      <c r="F8" s="4"/>
      <c r="G8" s="12">
        <v>194.49</v>
      </c>
      <c r="H8" s="33">
        <f t="shared" si="0"/>
        <v>178.56630160933724</v>
      </c>
      <c r="I8" s="10">
        <v>34729.36</v>
      </c>
      <c r="J8" s="4"/>
      <c r="K8" s="14">
        <v>1.6336</v>
      </c>
      <c r="L8" s="23">
        <f t="shared" si="1"/>
        <v>78280.31504</v>
      </c>
      <c r="M8" s="23"/>
      <c r="N8" s="14">
        <v>0.3793</v>
      </c>
      <c r="O8" s="23">
        <f t="shared" si="2"/>
        <v>18175.63877</v>
      </c>
    </row>
    <row r="9" spans="1:15" ht="12.75">
      <c r="A9" t="s">
        <v>7</v>
      </c>
      <c r="B9" t="s">
        <v>9</v>
      </c>
      <c r="C9" s="11">
        <v>8.1465</v>
      </c>
      <c r="D9" s="29">
        <v>21.153</v>
      </c>
      <c r="E9" s="45">
        <v>172.31</v>
      </c>
      <c r="F9" s="5"/>
      <c r="G9" s="13">
        <v>2.57</v>
      </c>
      <c r="H9" s="33">
        <f t="shared" si="0"/>
        <v>47.34630350194553</v>
      </c>
      <c r="I9" s="10">
        <v>121.68</v>
      </c>
      <c r="J9" s="5"/>
      <c r="K9" s="14">
        <v>0.615</v>
      </c>
      <c r="L9" s="23">
        <f t="shared" si="1"/>
        <v>13.009094999999999</v>
      </c>
      <c r="M9" s="23"/>
      <c r="N9" s="14">
        <v>2.3721</v>
      </c>
      <c r="O9" s="23">
        <f t="shared" si="2"/>
        <v>50.177031299999996</v>
      </c>
    </row>
    <row r="10" spans="1:15" ht="12.75">
      <c r="A10" t="s">
        <v>8</v>
      </c>
      <c r="B10" t="s">
        <v>9</v>
      </c>
      <c r="C10" s="11">
        <v>7.3894</v>
      </c>
      <c r="D10" s="29">
        <v>576.2</v>
      </c>
      <c r="E10" s="45">
        <v>4257.77</v>
      </c>
      <c r="F10" s="5"/>
      <c r="G10" s="13">
        <v>0.58</v>
      </c>
      <c r="H10" s="33">
        <f t="shared" si="0"/>
        <v>3873.0000000000005</v>
      </c>
      <c r="I10" s="10">
        <v>2246.34</v>
      </c>
      <c r="J10" s="5"/>
      <c r="K10" s="14">
        <v>2.3847</v>
      </c>
      <c r="L10" s="23">
        <f t="shared" si="1"/>
        <v>1374.0641400000002</v>
      </c>
      <c r="M10" s="23"/>
      <c r="N10" s="14">
        <v>1.5625</v>
      </c>
      <c r="O10" s="23">
        <f t="shared" si="2"/>
        <v>900.3125000000001</v>
      </c>
    </row>
    <row r="11" spans="1:15" ht="12.75">
      <c r="A11" t="s">
        <v>10</v>
      </c>
      <c r="B11" t="s">
        <v>3</v>
      </c>
      <c r="C11" s="11">
        <v>0.0199</v>
      </c>
      <c r="D11" s="29">
        <v>132575</v>
      </c>
      <c r="E11" s="45">
        <v>2638.26</v>
      </c>
      <c r="F11" s="4"/>
      <c r="G11" s="12">
        <v>30.67</v>
      </c>
      <c r="H11" s="33">
        <f t="shared" si="0"/>
        <v>158.03325725464623</v>
      </c>
      <c r="I11" s="10">
        <v>4846.88</v>
      </c>
      <c r="J11" s="4"/>
      <c r="K11" s="14">
        <v>0.0041</v>
      </c>
      <c r="L11" s="23">
        <f t="shared" si="1"/>
        <v>543.5575</v>
      </c>
      <c r="M11" s="23"/>
      <c r="N11" s="14">
        <v>0.0069</v>
      </c>
      <c r="O11" s="23">
        <f t="shared" si="2"/>
        <v>914.7675</v>
      </c>
    </row>
    <row r="12" spans="1:15" ht="12.75">
      <c r="A12" t="s">
        <v>15</v>
      </c>
      <c r="E12" s="17">
        <f>SUM(E6:E11)</f>
        <v>490366.68</v>
      </c>
      <c r="F12" s="3"/>
      <c r="G12" s="8"/>
      <c r="H12" s="8"/>
      <c r="I12" s="17">
        <f>SUM(I6:I11)</f>
        <v>266760.23999999993</v>
      </c>
      <c r="J12" s="3"/>
      <c r="K12" s="16"/>
      <c r="L12" s="17">
        <f>SUM(L6:L11)</f>
        <v>146015.720275</v>
      </c>
      <c r="M12" s="19"/>
      <c r="N12" s="44"/>
      <c r="O12" s="17">
        <f>SUM(O6:O11)</f>
        <v>80996.5348013</v>
      </c>
    </row>
    <row r="13" spans="6:14" ht="12.75">
      <c r="F13" s="3"/>
      <c r="G13" s="8"/>
      <c r="H13" s="8"/>
      <c r="I13" s="8"/>
      <c r="J13" s="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v>84</v>
      </c>
      <c r="E16" s="10">
        <v>1.05</v>
      </c>
      <c r="F16" s="3"/>
      <c r="G16" s="12">
        <v>13.25</v>
      </c>
      <c r="H16" s="33">
        <f aca="true" t="shared" si="3" ref="H16:H21">I16/G16</f>
        <v>0.300377358490566</v>
      </c>
      <c r="I16" s="10">
        <v>3.98</v>
      </c>
      <c r="J16" s="3"/>
      <c r="K16" s="16">
        <v>0.001521</v>
      </c>
      <c r="L16" s="23">
        <f aca="true" t="shared" si="4" ref="L16:L21">+$D16*K16</f>
        <v>0.127764</v>
      </c>
      <c r="M16" s="18"/>
      <c r="N16" s="42">
        <v>0.003957</v>
      </c>
      <c r="O16" s="23">
        <f aca="true" t="shared" si="5" ref="O16:O21">+$D16*N16</f>
        <v>0.33238799999999996</v>
      </c>
    </row>
    <row r="17" spans="1:15" ht="12.75">
      <c r="A17" t="s">
        <v>5</v>
      </c>
      <c r="B17" t="s">
        <v>3</v>
      </c>
      <c r="C17" s="16">
        <v>0.0095</v>
      </c>
      <c r="D17" s="28">
        <v>-4532</v>
      </c>
      <c r="E17" s="10">
        <v>-43.05</v>
      </c>
      <c r="F17" s="3"/>
      <c r="G17" s="13">
        <v>32.21</v>
      </c>
      <c r="H17" s="33">
        <f t="shared" si="3"/>
        <v>-0.06674945669046879</v>
      </c>
      <c r="I17" s="10">
        <v>-2.15</v>
      </c>
      <c r="J17" s="3"/>
      <c r="K17" s="16">
        <v>0.001521</v>
      </c>
      <c r="L17" s="23">
        <f t="shared" si="4"/>
        <v>-6.893172</v>
      </c>
      <c r="M17" s="18"/>
      <c r="N17" s="42">
        <v>0.003281</v>
      </c>
      <c r="O17" s="23">
        <f t="shared" si="5"/>
        <v>-14.869492000000001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>+C18*D18</f>
        <v>0</v>
      </c>
      <c r="F18" s="3"/>
      <c r="G18" s="12">
        <v>204.28</v>
      </c>
      <c r="H18" s="33">
        <f t="shared" si="3"/>
        <v>0</v>
      </c>
      <c r="I18" s="10"/>
      <c r="J18" s="3"/>
      <c r="K18" s="16">
        <v>0.703918</v>
      </c>
      <c r="L18" s="23">
        <f t="shared" si="4"/>
        <v>0</v>
      </c>
      <c r="M18" s="18"/>
      <c r="N18" s="42">
        <v>0.403767</v>
      </c>
      <c r="O18" s="23">
        <f t="shared" si="5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>+C19*D19</f>
        <v>0</v>
      </c>
      <c r="F19" s="3"/>
      <c r="G19" s="13">
        <v>2.96</v>
      </c>
      <c r="H19" s="33">
        <f t="shared" si="3"/>
        <v>0</v>
      </c>
      <c r="I19" s="10"/>
      <c r="J19" s="3"/>
      <c r="K19" s="16">
        <v>0.286512</v>
      </c>
      <c r="L19" s="23">
        <f t="shared" si="4"/>
        <v>0</v>
      </c>
      <c r="M19" s="18"/>
      <c r="N19" s="42">
        <v>1.864886</v>
      </c>
      <c r="O19" s="23">
        <f t="shared" si="5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>+C20*D20</f>
        <v>0</v>
      </c>
      <c r="F20" s="3"/>
      <c r="G20" s="13">
        <v>0.59</v>
      </c>
      <c r="H20" s="33">
        <f t="shared" si="3"/>
        <v>0</v>
      </c>
      <c r="I20" s="10"/>
      <c r="J20" s="3"/>
      <c r="K20" s="16">
        <v>0.478809</v>
      </c>
      <c r="L20" s="23">
        <f t="shared" si="4"/>
        <v>0</v>
      </c>
      <c r="M20" s="18"/>
      <c r="N20" s="42">
        <v>1.188604</v>
      </c>
      <c r="O20" s="23">
        <f t="shared" si="5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>+C21*D21</f>
        <v>0</v>
      </c>
      <c r="F21" s="3"/>
      <c r="G21" s="12">
        <f>+G17</f>
        <v>32.21</v>
      </c>
      <c r="H21" s="33">
        <f t="shared" si="3"/>
        <v>0</v>
      </c>
      <c r="I21" s="10"/>
      <c r="J21" s="3"/>
      <c r="K21" s="16">
        <v>0.001521</v>
      </c>
      <c r="L21" s="23">
        <f t="shared" si="4"/>
        <v>0</v>
      </c>
      <c r="M21" s="18"/>
      <c r="N21" s="42">
        <f>+N17</f>
        <v>0.003281</v>
      </c>
      <c r="O21" s="23">
        <f t="shared" si="5"/>
        <v>0</v>
      </c>
    </row>
    <row r="22" spans="1:15" ht="12.75">
      <c r="A22" t="s">
        <v>15</v>
      </c>
      <c r="E22" s="17">
        <f>SUM(E16:E21)</f>
        <v>-42</v>
      </c>
      <c r="F22" s="3"/>
      <c r="G22" s="8"/>
      <c r="H22" s="8"/>
      <c r="I22" s="17">
        <f>SUM(I16:I21)</f>
        <v>1.83</v>
      </c>
      <c r="J22" s="3"/>
      <c r="K22" s="16"/>
      <c r="L22" s="17">
        <f>SUM(L16:L21)</f>
        <v>-6.765408</v>
      </c>
      <c r="M22" s="19"/>
      <c r="N22" s="42"/>
      <c r="O22" s="17">
        <f>SUM(O16:O21)</f>
        <v>-14.537104000000001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490324.68</v>
      </c>
      <c r="F24" s="3"/>
      <c r="G24" s="8"/>
      <c r="H24" s="8"/>
      <c r="I24" s="20">
        <f>+I12+I22</f>
        <v>266762.06999999995</v>
      </c>
      <c r="J24" s="3"/>
      <c r="K24" s="16"/>
      <c r="L24" s="24">
        <f>+L12+L22</f>
        <v>146008.954867</v>
      </c>
      <c r="M24" s="16"/>
      <c r="N24" s="23"/>
      <c r="O24" s="24">
        <f>+O12+O22</f>
        <v>80981.9976973</v>
      </c>
    </row>
    <row r="25" spans="6:14" ht="13.5" thickTop="1">
      <c r="F25" s="3"/>
      <c r="G25" s="8"/>
      <c r="H25" s="8"/>
      <c r="I25" s="8"/>
      <c r="J25" s="3"/>
      <c r="N25" s="10"/>
    </row>
    <row r="26" spans="6:14" ht="12.75">
      <c r="F26" s="3"/>
      <c r="G26" s="8"/>
      <c r="H26" s="8"/>
      <c r="I26" s="19">
        <f>+E24+I24</f>
        <v>757086.75</v>
      </c>
      <c r="J26" s="3"/>
      <c r="N26" s="10"/>
    </row>
    <row r="27" spans="1:14" ht="12.75">
      <c r="A27" s="2" t="s">
        <v>4</v>
      </c>
      <c r="F27" s="3"/>
      <c r="G27" s="8"/>
      <c r="H27" s="8"/>
      <c r="I27" s="8"/>
      <c r="J27" s="3"/>
      <c r="N27" s="10"/>
    </row>
    <row r="28" spans="1:14" ht="12.75">
      <c r="A28" s="27" t="s">
        <v>36</v>
      </c>
      <c r="F28" s="3"/>
      <c r="G28" s="8"/>
      <c r="H28" s="8"/>
      <c r="I28" s="8"/>
      <c r="J28" s="3"/>
      <c r="N28" s="10"/>
    </row>
    <row r="29" spans="1:14" ht="12.75">
      <c r="A29" t="s">
        <v>30</v>
      </c>
      <c r="F29" s="3"/>
      <c r="G29" s="8"/>
      <c r="H29" s="8"/>
      <c r="I29" s="8"/>
      <c r="J29" s="3"/>
      <c r="N29" s="10"/>
    </row>
    <row r="30" spans="1:14" ht="12.75">
      <c r="A30" t="s">
        <v>44</v>
      </c>
      <c r="F30" s="3"/>
      <c r="G30" s="8"/>
      <c r="H30" s="8"/>
      <c r="I30" s="8"/>
      <c r="J30" s="3"/>
      <c r="N30" s="10"/>
    </row>
    <row r="31" spans="1:15" ht="12.75">
      <c r="A31" t="s">
        <v>22</v>
      </c>
      <c r="E31" s="10"/>
      <c r="F31" s="3"/>
      <c r="G31" s="8"/>
      <c r="H31" s="8"/>
      <c r="I31" s="8"/>
      <c r="J31" s="3"/>
      <c r="O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28" footer="0.2"/>
  <pageSetup fitToHeight="1" fitToWidth="1" horizontalDpi="600" verticalDpi="600" orientation="landscape" scale="88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7.28125" style="0" customWidth="1"/>
    <col min="4" max="4" width="12.8515625" style="0" bestFit="1" customWidth="1"/>
    <col min="5" max="5" width="11.28125" style="0" bestFit="1" customWidth="1"/>
    <col min="6" max="6" width="1.28515625" style="0" customWidth="1"/>
    <col min="8" max="8" width="10.28125" style="0" bestFit="1" customWidth="1"/>
    <col min="9" max="9" width="11.28125" style="0" bestFit="1" customWidth="1"/>
    <col min="10" max="10" width="1.28515625" style="0" customWidth="1"/>
    <col min="12" max="12" width="11.28125" style="0" bestFit="1" customWidth="1"/>
    <col min="14" max="14" width="9.7109375" style="0" bestFit="1" customWidth="1"/>
    <col min="15" max="15" width="10.28125" style="0" bestFit="1" customWidth="1"/>
  </cols>
  <sheetData>
    <row r="1" spans="1:14" ht="12.75">
      <c r="A1" t="s">
        <v>17</v>
      </c>
      <c r="E1" t="s">
        <v>29</v>
      </c>
      <c r="G1" s="34">
        <v>38657</v>
      </c>
      <c r="H1" s="10"/>
      <c r="I1" s="10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11292486</v>
      </c>
      <c r="E6" s="45">
        <v>224725.13</v>
      </c>
      <c r="F6" s="4"/>
      <c r="G6" s="12">
        <v>12.83</v>
      </c>
      <c r="H6" s="33">
        <f aca="true" t="shared" si="0" ref="H6:H11">+I6/G6</f>
        <v>14701.450506625097</v>
      </c>
      <c r="I6" s="10">
        <v>188619.61</v>
      </c>
      <c r="J6" s="4"/>
      <c r="K6" s="14">
        <v>0.0041</v>
      </c>
      <c r="L6" s="23">
        <f aca="true" t="shared" si="1" ref="L6:L11">+D6*K6</f>
        <v>46299.1926</v>
      </c>
      <c r="M6" s="23"/>
      <c r="N6" s="14">
        <v>0.0039</v>
      </c>
      <c r="O6" s="23">
        <f aca="true" t="shared" si="2" ref="O6:O11">+D6*N6</f>
        <v>44040.6954</v>
      </c>
    </row>
    <row r="7" spans="1:15" ht="12.75">
      <c r="A7" t="s">
        <v>5</v>
      </c>
      <c r="B7" t="s">
        <v>3</v>
      </c>
      <c r="C7" s="11">
        <v>0.0164</v>
      </c>
      <c r="D7" s="29">
        <f>3048942</f>
        <v>3048942</v>
      </c>
      <c r="E7" s="45">
        <f>50002.68</f>
        <v>50002.68</v>
      </c>
      <c r="F7" s="5"/>
      <c r="G7" s="13">
        <v>30.67</v>
      </c>
      <c r="H7" s="33">
        <f t="shared" si="0"/>
        <v>1123.9338115422238</v>
      </c>
      <c r="I7" s="10">
        <v>34471.05</v>
      </c>
      <c r="J7" s="5"/>
      <c r="K7" s="14">
        <v>0.0041</v>
      </c>
      <c r="L7" s="23">
        <f t="shared" si="1"/>
        <v>12500.6622</v>
      </c>
      <c r="M7" s="23"/>
      <c r="N7" s="14">
        <v>0.0034</v>
      </c>
      <c r="O7" s="23">
        <f t="shared" si="2"/>
        <v>10366.4028</v>
      </c>
    </row>
    <row r="8" spans="1:15" ht="12.75">
      <c r="A8" t="s">
        <v>6</v>
      </c>
      <c r="B8" t="s">
        <v>9</v>
      </c>
      <c r="C8" s="11">
        <v>3.6598</v>
      </c>
      <c r="D8" s="29">
        <f>12328.97+28812.19+1816.572</f>
        <v>42957.731999999996</v>
      </c>
      <c r="E8" s="45">
        <f>45121.52+105446.87+6648.27</f>
        <v>157216.65999999997</v>
      </c>
      <c r="F8" s="4"/>
      <c r="G8" s="12">
        <v>194.49</v>
      </c>
      <c r="H8" s="33">
        <f t="shared" si="0"/>
        <v>180.8327420432927</v>
      </c>
      <c r="I8" s="10">
        <v>35170.16</v>
      </c>
      <c r="J8" s="4"/>
      <c r="K8" s="14">
        <v>1.6336</v>
      </c>
      <c r="L8" s="23">
        <f t="shared" si="1"/>
        <v>70175.7509952</v>
      </c>
      <c r="M8" s="23"/>
      <c r="N8" s="14">
        <v>0.3793</v>
      </c>
      <c r="O8" s="23">
        <f t="shared" si="2"/>
        <v>16293.8677476</v>
      </c>
    </row>
    <row r="9" spans="1:15" ht="12.75">
      <c r="A9" t="s">
        <v>7</v>
      </c>
      <c r="B9" t="s">
        <v>9</v>
      </c>
      <c r="C9" s="11">
        <v>8.1465</v>
      </c>
      <c r="D9" s="29">
        <v>17.393</v>
      </c>
      <c r="E9" s="45">
        <f>+C9*D9</f>
        <v>141.6920745</v>
      </c>
      <c r="F9" s="5"/>
      <c r="G9" s="13">
        <v>2.57</v>
      </c>
      <c r="H9" s="33">
        <f t="shared" si="0"/>
        <v>45.8988326848249</v>
      </c>
      <c r="I9" s="10">
        <v>117.96</v>
      </c>
      <c r="J9" s="5"/>
      <c r="K9" s="14">
        <v>0.615</v>
      </c>
      <c r="L9" s="23">
        <f t="shared" si="1"/>
        <v>10.696695</v>
      </c>
      <c r="M9" s="23"/>
      <c r="N9" s="14">
        <v>2.3721</v>
      </c>
      <c r="O9" s="23">
        <f t="shared" si="2"/>
        <v>41.25793530000001</v>
      </c>
    </row>
    <row r="10" spans="1:15" ht="12.75">
      <c r="A10" t="s">
        <v>8</v>
      </c>
      <c r="B10" t="s">
        <v>9</v>
      </c>
      <c r="C10" s="11">
        <v>7.3894</v>
      </c>
      <c r="D10" s="29">
        <v>602.63</v>
      </c>
      <c r="E10" s="45">
        <f>+C10*D10</f>
        <v>4453.074122</v>
      </c>
      <c r="F10" s="5"/>
      <c r="G10" s="13">
        <v>0.58</v>
      </c>
      <c r="H10" s="33">
        <f t="shared" si="0"/>
        <v>4069.6551724137935</v>
      </c>
      <c r="I10" s="10">
        <v>2360.4</v>
      </c>
      <c r="J10" s="5"/>
      <c r="K10" s="14">
        <v>2.3847</v>
      </c>
      <c r="L10" s="23">
        <f t="shared" si="1"/>
        <v>1437.091761</v>
      </c>
      <c r="M10" s="23"/>
      <c r="N10" s="14">
        <v>1.5625</v>
      </c>
      <c r="O10" s="23">
        <f t="shared" si="2"/>
        <v>941.609375</v>
      </c>
    </row>
    <row r="11" spans="1:15" ht="12.75">
      <c r="A11" t="s">
        <v>10</v>
      </c>
      <c r="B11" t="s">
        <v>3</v>
      </c>
      <c r="C11" s="11">
        <v>0.0199</v>
      </c>
      <c r="D11" s="29">
        <v>132485</v>
      </c>
      <c r="E11" s="45">
        <f>+C11*D11</f>
        <v>2636.4515</v>
      </c>
      <c r="F11" s="4"/>
      <c r="G11" s="12">
        <v>30.67</v>
      </c>
      <c r="H11" s="33">
        <f t="shared" si="0"/>
        <v>157.16661232474732</v>
      </c>
      <c r="I11" s="10">
        <v>4820.3</v>
      </c>
      <c r="J11" s="4"/>
      <c r="K11" s="14">
        <v>0.0041</v>
      </c>
      <c r="L11" s="23">
        <f t="shared" si="1"/>
        <v>543.1885000000001</v>
      </c>
      <c r="M11" s="23"/>
      <c r="N11" s="14">
        <v>0.0069</v>
      </c>
      <c r="O11" s="23">
        <f t="shared" si="2"/>
        <v>914.1465</v>
      </c>
    </row>
    <row r="12" spans="1:15" ht="12.75">
      <c r="A12" t="s">
        <v>15</v>
      </c>
      <c r="E12" s="17">
        <f>SUM(E6:E11)</f>
        <v>439175.68769650004</v>
      </c>
      <c r="F12" s="3"/>
      <c r="G12" s="8"/>
      <c r="H12" s="8"/>
      <c r="I12" s="17">
        <f>SUM(I6:I11)</f>
        <v>265559.48</v>
      </c>
      <c r="J12" s="3"/>
      <c r="K12" s="16"/>
      <c r="L12" s="17">
        <f>SUM(L6:L11)</f>
        <v>130966.58275120001</v>
      </c>
      <c r="M12" s="19"/>
      <c r="N12" s="44"/>
      <c r="O12" s="17">
        <f>SUM(O6:O11)</f>
        <v>72597.9797579</v>
      </c>
    </row>
    <row r="13" spans="6:14" ht="12.75">
      <c r="F13" s="3"/>
      <c r="G13" s="8"/>
      <c r="H13" s="8"/>
      <c r="I13" s="8"/>
      <c r="J13" s="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v>2355</v>
      </c>
      <c r="E16" s="10">
        <f aca="true" t="shared" si="3" ref="E16:E21">+C16*D16</f>
        <v>29.4375</v>
      </c>
      <c r="F16" s="3"/>
      <c r="G16" s="12">
        <v>13.25</v>
      </c>
      <c r="H16" s="33">
        <f aca="true" t="shared" si="4" ref="H16:H21">I16/G16</f>
        <v>-0.800754716981132</v>
      </c>
      <c r="I16" s="10">
        <v>-10.61</v>
      </c>
      <c r="J16" s="3"/>
      <c r="K16" s="16">
        <v>0.001521</v>
      </c>
      <c r="L16" s="23">
        <f aca="true" t="shared" si="5" ref="L16:L21">+$D16*K16</f>
        <v>3.581955</v>
      </c>
      <c r="M16" s="18"/>
      <c r="N16" s="42">
        <v>0.003957</v>
      </c>
      <c r="O16" s="23">
        <f aca="true" t="shared" si="6" ref="O16:O21">+$D16*N16</f>
        <v>9.318734999999998</v>
      </c>
    </row>
    <row r="17" spans="1:15" ht="12.75">
      <c r="A17" t="s">
        <v>5</v>
      </c>
      <c r="B17" t="s">
        <v>3</v>
      </c>
      <c r="C17" s="16">
        <v>0.0095</v>
      </c>
      <c r="D17" s="28">
        <v>4782</v>
      </c>
      <c r="E17" s="10">
        <f t="shared" si="3"/>
        <v>45.429</v>
      </c>
      <c r="F17" s="3"/>
      <c r="G17" s="13">
        <v>32.21</v>
      </c>
      <c r="H17" s="33">
        <f t="shared" si="4"/>
        <v>4.766842595467246</v>
      </c>
      <c r="I17" s="10">
        <v>153.54</v>
      </c>
      <c r="J17" s="3"/>
      <c r="K17" s="16">
        <v>0.001521</v>
      </c>
      <c r="L17" s="23">
        <f t="shared" si="5"/>
        <v>7.273422</v>
      </c>
      <c r="M17" s="18"/>
      <c r="N17" s="42">
        <v>0.003281</v>
      </c>
      <c r="O17" s="23">
        <f t="shared" si="6"/>
        <v>15.689742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 t="shared" si="3"/>
        <v>0</v>
      </c>
      <c r="F18" s="3"/>
      <c r="G18" s="12">
        <v>204.28</v>
      </c>
      <c r="H18" s="33">
        <f t="shared" si="4"/>
        <v>0</v>
      </c>
      <c r="I18" s="10"/>
      <c r="J18" s="3"/>
      <c r="K18" s="16">
        <v>0.703918</v>
      </c>
      <c r="L18" s="23">
        <f t="shared" si="5"/>
        <v>0</v>
      </c>
      <c r="M18" s="18"/>
      <c r="N18" s="42">
        <v>0.403767</v>
      </c>
      <c r="O18" s="23">
        <f t="shared" si="6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 t="shared" si="3"/>
        <v>0</v>
      </c>
      <c r="F19" s="3"/>
      <c r="G19" s="13">
        <v>2.96</v>
      </c>
      <c r="H19" s="33">
        <f t="shared" si="4"/>
        <v>0</v>
      </c>
      <c r="I19" s="10"/>
      <c r="J19" s="3"/>
      <c r="K19" s="16">
        <v>0.286512</v>
      </c>
      <c r="L19" s="23">
        <f t="shared" si="5"/>
        <v>0</v>
      </c>
      <c r="M19" s="18"/>
      <c r="N19" s="42">
        <v>1.864886</v>
      </c>
      <c r="O19" s="23">
        <f t="shared" si="6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 t="shared" si="3"/>
        <v>0</v>
      </c>
      <c r="F20" s="3"/>
      <c r="G20" s="13">
        <v>0.59</v>
      </c>
      <c r="H20" s="33">
        <f t="shared" si="4"/>
        <v>0</v>
      </c>
      <c r="I20" s="10"/>
      <c r="J20" s="3"/>
      <c r="K20" s="16">
        <v>0.478809</v>
      </c>
      <c r="L20" s="23">
        <f t="shared" si="5"/>
        <v>0</v>
      </c>
      <c r="M20" s="18"/>
      <c r="N20" s="42">
        <v>1.188604</v>
      </c>
      <c r="O20" s="23">
        <f t="shared" si="6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 t="shared" si="3"/>
        <v>0</v>
      </c>
      <c r="F21" s="3"/>
      <c r="G21" s="12">
        <f>+G17</f>
        <v>32.21</v>
      </c>
      <c r="H21" s="33">
        <f t="shared" si="4"/>
        <v>0</v>
      </c>
      <c r="I21" s="10"/>
      <c r="J21" s="3"/>
      <c r="K21" s="16">
        <v>0.001521</v>
      </c>
      <c r="L21" s="23">
        <f t="shared" si="5"/>
        <v>0</v>
      </c>
      <c r="M21" s="18"/>
      <c r="N21" s="42">
        <f>+N17</f>
        <v>0.003281</v>
      </c>
      <c r="O21" s="23">
        <f t="shared" si="6"/>
        <v>0</v>
      </c>
    </row>
    <row r="22" spans="1:15" ht="12.75">
      <c r="A22" t="s">
        <v>15</v>
      </c>
      <c r="E22" s="17">
        <f>SUM(E16:E21)</f>
        <v>74.8665</v>
      </c>
      <c r="F22" s="3"/>
      <c r="G22" s="8"/>
      <c r="H22" s="8"/>
      <c r="I22" s="17">
        <f>SUM(I16:I21)</f>
        <v>142.93</v>
      </c>
      <c r="J22" s="3"/>
      <c r="K22" s="16"/>
      <c r="L22" s="17">
        <f>SUM(L16:L21)</f>
        <v>10.855377</v>
      </c>
      <c r="M22" s="19"/>
      <c r="N22" s="42"/>
      <c r="O22" s="17">
        <f>SUM(O16:O21)</f>
        <v>25.008477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439250.55419650004</v>
      </c>
      <c r="F24" s="3"/>
      <c r="G24" s="8"/>
      <c r="H24" s="8"/>
      <c r="I24" s="20">
        <f>+I12+I22</f>
        <v>265702.41</v>
      </c>
      <c r="J24" s="3"/>
      <c r="K24" s="16"/>
      <c r="L24" s="24">
        <f>+L12+L22</f>
        <v>130977.43812820001</v>
      </c>
      <c r="M24" s="16"/>
      <c r="N24" s="23"/>
      <c r="O24" s="24">
        <f>+O12+O22</f>
        <v>72622.9882349</v>
      </c>
    </row>
    <row r="25" spans="6:14" ht="13.5" thickTop="1">
      <c r="F25" s="3"/>
      <c r="G25" s="8"/>
      <c r="H25" s="8"/>
      <c r="I25" s="8"/>
      <c r="J25" s="3"/>
      <c r="N25" s="10"/>
    </row>
    <row r="26" spans="6:14" ht="12.75">
      <c r="F26" s="3"/>
      <c r="G26" s="8"/>
      <c r="H26" s="8"/>
      <c r="I26" s="19">
        <f>+E24+I24</f>
        <v>704952.9641965</v>
      </c>
      <c r="J26" s="3"/>
      <c r="N26" s="10"/>
    </row>
    <row r="27" spans="1:14" ht="12.75">
      <c r="A27" s="2" t="s">
        <v>4</v>
      </c>
      <c r="F27" s="3"/>
      <c r="G27" s="8"/>
      <c r="H27" s="8"/>
      <c r="I27" s="8"/>
      <c r="J27" s="3"/>
      <c r="N27" s="10"/>
    </row>
    <row r="28" spans="1:14" ht="12.75">
      <c r="A28" s="27" t="s">
        <v>36</v>
      </c>
      <c r="F28" s="3"/>
      <c r="G28" s="8"/>
      <c r="H28" s="8"/>
      <c r="I28" s="8"/>
      <c r="J28" s="3"/>
      <c r="N28" s="10"/>
    </row>
    <row r="29" spans="1:14" ht="12.75">
      <c r="A29" t="s">
        <v>30</v>
      </c>
      <c r="F29" s="3"/>
      <c r="G29" s="8"/>
      <c r="H29" s="8"/>
      <c r="I29" s="8"/>
      <c r="J29" s="3"/>
      <c r="N29" s="10"/>
    </row>
    <row r="30" spans="1:14" ht="12.75">
      <c r="A30" t="s">
        <v>44</v>
      </c>
      <c r="F30" s="3"/>
      <c r="G30" s="8"/>
      <c r="H30" s="8"/>
      <c r="I30" s="8"/>
      <c r="J30" s="3"/>
      <c r="N30" s="10"/>
    </row>
    <row r="31" spans="1:15" ht="12.75">
      <c r="A31" t="s">
        <v>22</v>
      </c>
      <c r="E31" s="10"/>
      <c r="F31" s="3"/>
      <c r="G31" s="8"/>
      <c r="H31" s="8"/>
      <c r="I31" s="8"/>
      <c r="J31" s="3"/>
      <c r="O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5" footer="0.3"/>
  <pageSetup horizontalDpi="600" verticalDpi="600" orientation="landscape" scale="90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N6" sqref="N6:N11"/>
    </sheetView>
  </sheetViews>
  <sheetFormatPr defaultColWidth="9.140625" defaultRowHeight="12.75"/>
  <cols>
    <col min="1" max="1" width="17.8515625" style="0" customWidth="1"/>
    <col min="4" max="4" width="12.8515625" style="0" bestFit="1" customWidth="1"/>
    <col min="5" max="5" width="11.28125" style="0" bestFit="1" customWidth="1"/>
    <col min="6" max="6" width="1.8515625" style="0" customWidth="1"/>
    <col min="8" max="8" width="10.28125" style="0" bestFit="1" customWidth="1"/>
    <col min="9" max="9" width="11.28125" style="0" bestFit="1" customWidth="1"/>
    <col min="10" max="10" width="0.9921875" style="0" customWidth="1"/>
    <col min="12" max="12" width="11.28125" style="0" bestFit="1" customWidth="1"/>
    <col min="14" max="14" width="9.7109375" style="0" bestFit="1" customWidth="1"/>
    <col min="15" max="15" width="11.28125" style="0" bestFit="1" customWidth="1"/>
  </cols>
  <sheetData>
    <row r="1" spans="1:14" ht="12.75">
      <c r="A1" t="s">
        <v>17</v>
      </c>
      <c r="E1" t="s">
        <v>29</v>
      </c>
      <c r="G1" s="34">
        <v>38687</v>
      </c>
      <c r="H1" s="10"/>
      <c r="I1" s="10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11953863</v>
      </c>
      <c r="E6" s="45">
        <f>237886.4</f>
        <v>237886.4</v>
      </c>
      <c r="F6" s="4"/>
      <c r="G6" s="12">
        <v>12.83</v>
      </c>
      <c r="H6" s="33">
        <f aca="true" t="shared" si="0" ref="H6:H11">+I6/G6</f>
        <v>14612.99766173032</v>
      </c>
      <c r="I6" s="10">
        <v>187484.76</v>
      </c>
      <c r="J6" s="4"/>
      <c r="K6" s="14">
        <v>0.0041</v>
      </c>
      <c r="L6" s="23">
        <f aca="true" t="shared" si="1" ref="L6:L11">+D6*K6</f>
        <v>49010.8383</v>
      </c>
      <c r="M6" s="23"/>
      <c r="N6" s="14">
        <v>0.0039</v>
      </c>
      <c r="O6" s="23">
        <f aca="true" t="shared" si="2" ref="O6:O11">+D6*N6</f>
        <v>46620.0657</v>
      </c>
    </row>
    <row r="7" spans="1:15" ht="12.75">
      <c r="A7" t="s">
        <v>5</v>
      </c>
      <c r="B7" t="s">
        <v>3</v>
      </c>
      <c r="C7" s="11">
        <v>0.0164</v>
      </c>
      <c r="D7" s="29">
        <f>3431294</f>
        <v>3431294</v>
      </c>
      <c r="E7" s="45">
        <f>56273.31</f>
        <v>56273.31</v>
      </c>
      <c r="F7" s="5"/>
      <c r="G7" s="13">
        <v>30.67</v>
      </c>
      <c r="H7" s="33">
        <f t="shared" si="0"/>
        <v>1111.1545484186502</v>
      </c>
      <c r="I7" s="10">
        <v>34079.11</v>
      </c>
      <c r="J7" s="5"/>
      <c r="K7" s="14">
        <v>0.0041</v>
      </c>
      <c r="L7" s="23">
        <f t="shared" si="1"/>
        <v>14068.305400000001</v>
      </c>
      <c r="M7" s="23"/>
      <c r="N7" s="14">
        <v>0.0034</v>
      </c>
      <c r="O7" s="23">
        <f t="shared" si="2"/>
        <v>11666.399599999999</v>
      </c>
    </row>
    <row r="8" spans="1:15" ht="12.75">
      <c r="A8" t="s">
        <v>6</v>
      </c>
      <c r="B8" t="s">
        <v>9</v>
      </c>
      <c r="C8" s="11">
        <v>3.6598</v>
      </c>
      <c r="D8" s="29">
        <f>13026.99+31804.34+1759.756</f>
        <v>46591.086</v>
      </c>
      <c r="E8" s="45">
        <f>47676.2+116397.5+6440.32</f>
        <v>170514.02000000002</v>
      </c>
      <c r="F8" s="4"/>
      <c r="G8" s="12">
        <v>194.49</v>
      </c>
      <c r="H8" s="33">
        <f t="shared" si="0"/>
        <v>183.2814026428094</v>
      </c>
      <c r="I8" s="10">
        <v>35646.4</v>
      </c>
      <c r="J8" s="4"/>
      <c r="K8" s="14">
        <v>1.6336</v>
      </c>
      <c r="L8" s="23">
        <f t="shared" si="1"/>
        <v>76111.1980896</v>
      </c>
      <c r="M8" s="23"/>
      <c r="N8" s="14">
        <v>0.3793</v>
      </c>
      <c r="O8" s="23">
        <f t="shared" si="2"/>
        <v>17671.998919800004</v>
      </c>
    </row>
    <row r="9" spans="1:15" ht="12.75">
      <c r="A9" t="s">
        <v>7</v>
      </c>
      <c r="B9" t="s">
        <v>9</v>
      </c>
      <c r="C9" s="11">
        <v>8.1465</v>
      </c>
      <c r="D9" s="29">
        <f>17.337</f>
        <v>17.337</v>
      </c>
      <c r="E9" s="45">
        <v>141.22</v>
      </c>
      <c r="F9" s="5"/>
      <c r="G9" s="13">
        <v>2.57</v>
      </c>
      <c r="H9" s="33">
        <f t="shared" si="0"/>
        <v>41.88326848249027</v>
      </c>
      <c r="I9" s="10">
        <v>107.64</v>
      </c>
      <c r="J9" s="5"/>
      <c r="K9" s="14">
        <v>0.615</v>
      </c>
      <c r="L9" s="23">
        <f t="shared" si="1"/>
        <v>10.662255</v>
      </c>
      <c r="M9" s="23"/>
      <c r="N9" s="14">
        <v>2.3721</v>
      </c>
      <c r="O9" s="23">
        <f t="shared" si="2"/>
        <v>41.1250977</v>
      </c>
    </row>
    <row r="10" spans="1:15" ht="12.75">
      <c r="A10" t="s">
        <v>8</v>
      </c>
      <c r="B10" t="s">
        <v>9</v>
      </c>
      <c r="C10" s="11">
        <v>7.3894</v>
      </c>
      <c r="D10" s="29">
        <v>583.19</v>
      </c>
      <c r="E10" s="45">
        <v>4309.42</v>
      </c>
      <c r="F10" s="5"/>
      <c r="G10" s="13">
        <v>0.58</v>
      </c>
      <c r="H10" s="33">
        <f t="shared" si="0"/>
        <v>3934</v>
      </c>
      <c r="I10" s="10">
        <v>2281.72</v>
      </c>
      <c r="J10" s="5"/>
      <c r="K10" s="14">
        <v>2.3847</v>
      </c>
      <c r="L10" s="23">
        <f t="shared" si="1"/>
        <v>1390.7331930000003</v>
      </c>
      <c r="M10" s="23"/>
      <c r="N10" s="14">
        <v>1.5625</v>
      </c>
      <c r="O10" s="23">
        <f t="shared" si="2"/>
        <v>911.2343750000001</v>
      </c>
    </row>
    <row r="11" spans="1:15" ht="12.75">
      <c r="A11" t="s">
        <v>10</v>
      </c>
      <c r="B11" t="s">
        <v>3</v>
      </c>
      <c r="C11" s="11">
        <v>0.0199</v>
      </c>
      <c r="D11" s="29">
        <v>130127</v>
      </c>
      <c r="E11" s="45">
        <v>2589.57</v>
      </c>
      <c r="F11" s="4"/>
      <c r="G11" s="12">
        <v>30.67</v>
      </c>
      <c r="H11" s="33">
        <f t="shared" si="0"/>
        <v>152.0332572546462</v>
      </c>
      <c r="I11" s="10">
        <v>4662.86</v>
      </c>
      <c r="J11" s="4"/>
      <c r="K11" s="14">
        <v>0.0041</v>
      </c>
      <c r="L11" s="23">
        <f t="shared" si="1"/>
        <v>533.5207</v>
      </c>
      <c r="M11" s="23"/>
      <c r="N11" s="14">
        <v>0.0069</v>
      </c>
      <c r="O11" s="23">
        <f t="shared" si="2"/>
        <v>897.8763</v>
      </c>
    </row>
    <row r="12" spans="1:15" ht="12.75">
      <c r="A12" t="s">
        <v>15</v>
      </c>
      <c r="E12" s="17">
        <f>SUM(E6:E11)</f>
        <v>471713.93999999994</v>
      </c>
      <c r="F12" s="3"/>
      <c r="G12" s="8"/>
      <c r="H12" s="8"/>
      <c r="I12" s="17">
        <f>SUM(I6:I11)</f>
        <v>264262.49</v>
      </c>
      <c r="J12" s="3"/>
      <c r="K12" s="16"/>
      <c r="L12" s="17">
        <f>SUM(L6:L11)</f>
        <v>141125.2579376</v>
      </c>
      <c r="M12" s="19"/>
      <c r="N12" s="44"/>
      <c r="O12" s="17">
        <f>SUM(O6:O11)</f>
        <v>77808.6999925</v>
      </c>
    </row>
    <row r="13" spans="6:14" ht="12.75">
      <c r="F13" s="3"/>
      <c r="G13" s="8"/>
      <c r="H13" s="8"/>
      <c r="I13" s="8"/>
      <c r="J13" s="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/>
      <c r="E16" s="10">
        <f aca="true" t="shared" si="3" ref="E16:E21">+C16*D16</f>
        <v>0</v>
      </c>
      <c r="F16" s="3"/>
      <c r="G16" s="12">
        <v>13.25</v>
      </c>
      <c r="H16" s="33">
        <f aca="true" t="shared" si="4" ref="H16:H21">I16/G16</f>
        <v>0</v>
      </c>
      <c r="I16" s="10"/>
      <c r="J16" s="3"/>
      <c r="K16" s="16">
        <v>0.001521</v>
      </c>
      <c r="L16" s="23">
        <f aca="true" t="shared" si="5" ref="L16:L21">+$D16*K16</f>
        <v>0</v>
      </c>
      <c r="M16" s="18"/>
      <c r="N16" s="42">
        <v>0.003957</v>
      </c>
      <c r="O16" s="23">
        <f aca="true" t="shared" si="6" ref="O16:O21">+$D16*N16</f>
        <v>0</v>
      </c>
    </row>
    <row r="17" spans="1:15" ht="12.75">
      <c r="A17" t="s">
        <v>5</v>
      </c>
      <c r="B17" t="s">
        <v>3</v>
      </c>
      <c r="C17" s="16">
        <v>0.0095</v>
      </c>
      <c r="D17" s="28"/>
      <c r="E17" s="10">
        <f t="shared" si="3"/>
        <v>0</v>
      </c>
      <c r="F17" s="3"/>
      <c r="G17" s="13">
        <v>32.21</v>
      </c>
      <c r="H17" s="33">
        <f t="shared" si="4"/>
        <v>0</v>
      </c>
      <c r="I17" s="10"/>
      <c r="J17" s="3"/>
      <c r="K17" s="16">
        <v>0.001521</v>
      </c>
      <c r="L17" s="23">
        <f t="shared" si="5"/>
        <v>0</v>
      </c>
      <c r="M17" s="18"/>
      <c r="N17" s="42">
        <v>0.003281</v>
      </c>
      <c r="O17" s="23">
        <f t="shared" si="6"/>
        <v>0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 t="shared" si="3"/>
        <v>0</v>
      </c>
      <c r="F18" s="3"/>
      <c r="G18" s="12">
        <v>204.28</v>
      </c>
      <c r="H18" s="33">
        <f t="shared" si="4"/>
        <v>0</v>
      </c>
      <c r="I18" s="10"/>
      <c r="J18" s="3"/>
      <c r="K18" s="16">
        <v>0.703918</v>
      </c>
      <c r="L18" s="23">
        <f t="shared" si="5"/>
        <v>0</v>
      </c>
      <c r="M18" s="18"/>
      <c r="N18" s="42">
        <v>0.403767</v>
      </c>
      <c r="O18" s="23">
        <f t="shared" si="6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 t="shared" si="3"/>
        <v>0</v>
      </c>
      <c r="F19" s="3"/>
      <c r="G19" s="13">
        <v>2.96</v>
      </c>
      <c r="H19" s="33">
        <f t="shared" si="4"/>
        <v>0</v>
      </c>
      <c r="I19" s="10"/>
      <c r="J19" s="3"/>
      <c r="K19" s="16">
        <v>0.286512</v>
      </c>
      <c r="L19" s="23">
        <f t="shared" si="5"/>
        <v>0</v>
      </c>
      <c r="M19" s="18"/>
      <c r="N19" s="42">
        <v>1.864886</v>
      </c>
      <c r="O19" s="23">
        <f t="shared" si="6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 t="shared" si="3"/>
        <v>0</v>
      </c>
      <c r="F20" s="3"/>
      <c r="G20" s="13">
        <v>0.59</v>
      </c>
      <c r="H20" s="33">
        <f t="shared" si="4"/>
        <v>0</v>
      </c>
      <c r="I20" s="10"/>
      <c r="J20" s="3"/>
      <c r="K20" s="16">
        <v>0.478809</v>
      </c>
      <c r="L20" s="23">
        <f t="shared" si="5"/>
        <v>0</v>
      </c>
      <c r="M20" s="18"/>
      <c r="N20" s="42">
        <v>1.188604</v>
      </c>
      <c r="O20" s="23">
        <f t="shared" si="6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 t="shared" si="3"/>
        <v>0</v>
      </c>
      <c r="F21" s="3"/>
      <c r="G21" s="12">
        <f>+G17</f>
        <v>32.21</v>
      </c>
      <c r="H21" s="33">
        <f t="shared" si="4"/>
        <v>0</v>
      </c>
      <c r="I21" s="10"/>
      <c r="J21" s="3"/>
      <c r="K21" s="16">
        <v>0.001521</v>
      </c>
      <c r="L21" s="23">
        <f t="shared" si="5"/>
        <v>0</v>
      </c>
      <c r="M21" s="18"/>
      <c r="N21" s="42">
        <f>+N17</f>
        <v>0.003281</v>
      </c>
      <c r="O21" s="23">
        <f t="shared" si="6"/>
        <v>0</v>
      </c>
    </row>
    <row r="22" spans="1:15" ht="12.75">
      <c r="A22" t="s">
        <v>15</v>
      </c>
      <c r="E22" s="17">
        <f>SUM(E16:E21)</f>
        <v>0</v>
      </c>
      <c r="F22" s="3"/>
      <c r="G22" s="8"/>
      <c r="H22" s="8"/>
      <c r="I22" s="17">
        <f>SUM(I16:I21)</f>
        <v>0</v>
      </c>
      <c r="J22" s="3"/>
      <c r="K22" s="16"/>
      <c r="L22" s="17">
        <f>SUM(L16:L21)</f>
        <v>0</v>
      </c>
      <c r="M22" s="19"/>
      <c r="N22" s="42"/>
      <c r="O22" s="17">
        <f>SUM(O16:O21)</f>
        <v>0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471713.93999999994</v>
      </c>
      <c r="F24" s="3"/>
      <c r="G24" s="8"/>
      <c r="H24" s="8"/>
      <c r="I24" s="20">
        <f>+I12+I22</f>
        <v>264262.49</v>
      </c>
      <c r="J24" s="3"/>
      <c r="K24" s="16"/>
      <c r="L24" s="24">
        <f>+L12+L22</f>
        <v>141125.2579376</v>
      </c>
      <c r="M24" s="16"/>
      <c r="N24" s="23"/>
      <c r="O24" s="24">
        <f>+O12+O22</f>
        <v>77808.6999925</v>
      </c>
    </row>
    <row r="25" spans="6:14" ht="13.5" thickTop="1">
      <c r="F25" s="3"/>
      <c r="G25" s="8"/>
      <c r="H25" s="8"/>
      <c r="I25" s="8"/>
      <c r="J25" s="3"/>
      <c r="N25" s="10"/>
    </row>
    <row r="26" spans="6:14" ht="12.75">
      <c r="F26" s="3"/>
      <c r="G26" s="8"/>
      <c r="H26" s="8"/>
      <c r="I26" s="19">
        <f>+E24+I24</f>
        <v>735976.4299999999</v>
      </c>
      <c r="J26" s="3"/>
      <c r="N26" s="10"/>
    </row>
    <row r="27" spans="1:14" ht="12.75">
      <c r="A27" s="2" t="s">
        <v>4</v>
      </c>
      <c r="F27" s="3"/>
      <c r="G27" s="8"/>
      <c r="H27" s="8"/>
      <c r="I27" s="8"/>
      <c r="J27" s="3"/>
      <c r="N27" s="10"/>
    </row>
    <row r="28" spans="1:14" ht="12.75">
      <c r="A28" s="27" t="s">
        <v>36</v>
      </c>
      <c r="F28" s="3"/>
      <c r="G28" s="8"/>
      <c r="H28" s="8"/>
      <c r="I28" s="8"/>
      <c r="J28" s="3"/>
      <c r="N28" s="10"/>
    </row>
    <row r="29" spans="1:14" ht="12.75">
      <c r="A29" t="s">
        <v>30</v>
      </c>
      <c r="F29" s="3"/>
      <c r="G29" s="8"/>
      <c r="H29" s="8"/>
      <c r="I29" s="8"/>
      <c r="J29" s="3"/>
      <c r="N29" s="10"/>
    </row>
    <row r="30" spans="1:14" ht="12.75">
      <c r="A30" t="s">
        <v>44</v>
      </c>
      <c r="F30" s="3"/>
      <c r="G30" s="8"/>
      <c r="H30" s="8"/>
      <c r="I30" s="8"/>
      <c r="J30" s="3"/>
      <c r="N30" s="10"/>
    </row>
    <row r="31" spans="1:15" ht="12.75">
      <c r="A31" t="s">
        <v>22</v>
      </c>
      <c r="E31" s="10"/>
      <c r="F31" s="3"/>
      <c r="G31" s="8"/>
      <c r="H31" s="8"/>
      <c r="I31" s="8"/>
      <c r="J31" s="3"/>
      <c r="O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5" footer="0.2"/>
  <pageSetup fitToHeight="1" fitToWidth="1" horizontalDpi="600" verticalDpi="600" orientation="landscape" scale="8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O24" sqref="O24"/>
    </sheetView>
  </sheetViews>
  <sheetFormatPr defaultColWidth="9.140625" defaultRowHeight="12.75"/>
  <cols>
    <col min="1" max="1" width="18.00390625" style="0" customWidth="1"/>
    <col min="2" max="2" width="6.7109375" style="0" customWidth="1"/>
    <col min="3" max="3" width="7.00390625" style="0" bestFit="1" customWidth="1"/>
    <col min="4" max="5" width="11.28125" style="0" bestFit="1" customWidth="1"/>
    <col min="6" max="6" width="0.9921875" style="0" customWidth="1"/>
    <col min="7" max="7" width="8.421875" style="0" bestFit="1" customWidth="1"/>
    <col min="8" max="8" width="10.28125" style="10" bestFit="1" customWidth="1"/>
    <col min="9" max="9" width="11.28125" style="10" bestFit="1" customWidth="1"/>
    <col min="10" max="10" width="1.1484375" style="0" customWidth="1"/>
    <col min="12" max="12" width="10.00390625" style="0" bestFit="1" customWidth="1"/>
    <col min="13" max="13" width="10.28125" style="0" bestFit="1" customWidth="1"/>
    <col min="14" max="15" width="11.28125" style="0" bestFit="1" customWidth="1"/>
  </cols>
  <sheetData>
    <row r="1" spans="1:7" ht="12.75">
      <c r="A1" t="s">
        <v>17</v>
      </c>
      <c r="E1" t="s">
        <v>29</v>
      </c>
      <c r="G1" s="6">
        <v>38353</v>
      </c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16"/>
    </row>
    <row r="3" spans="3:10" ht="12.75">
      <c r="C3" s="52" t="s">
        <v>28</v>
      </c>
      <c r="D3" s="53"/>
      <c r="E3" s="53"/>
      <c r="F3" s="53"/>
      <c r="G3" s="53"/>
      <c r="H3" s="53"/>
      <c r="I3" s="55"/>
      <c r="J3" s="3"/>
    </row>
    <row r="4" spans="1:15" ht="12.75">
      <c r="A4" s="2" t="s">
        <v>45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9"/>
      <c r="N4" s="54" t="s">
        <v>20</v>
      </c>
      <c r="O4" s="54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2" t="s">
        <v>13</v>
      </c>
      <c r="M5" s="3"/>
      <c r="N5" s="21" t="s">
        <v>14</v>
      </c>
      <c r="O5" s="22" t="s">
        <v>13</v>
      </c>
    </row>
    <row r="6" spans="1:15" ht="12.75">
      <c r="A6" t="s">
        <v>2</v>
      </c>
      <c r="B6" t="s">
        <v>3</v>
      </c>
      <c r="C6" s="11"/>
      <c r="D6" s="28"/>
      <c r="E6" s="10"/>
      <c r="F6" s="4"/>
      <c r="G6" s="12"/>
      <c r="H6" s="12"/>
      <c r="J6" s="4"/>
      <c r="K6" s="14"/>
      <c r="L6" s="23"/>
      <c r="M6" s="23"/>
      <c r="N6" s="23"/>
      <c r="O6" s="25"/>
    </row>
    <row r="7" spans="1:15" ht="12.75">
      <c r="A7" t="s">
        <v>5</v>
      </c>
      <c r="B7" t="s">
        <v>3</v>
      </c>
      <c r="C7" s="11"/>
      <c r="D7" s="28"/>
      <c r="E7" s="26"/>
      <c r="F7" s="5"/>
      <c r="G7" s="13"/>
      <c r="H7" s="12"/>
      <c r="J7" s="5"/>
      <c r="K7" s="14"/>
      <c r="L7" s="23"/>
      <c r="M7" s="23"/>
      <c r="N7" s="23"/>
      <c r="O7" s="25"/>
    </row>
    <row r="8" spans="1:15" ht="12.75">
      <c r="A8" t="s">
        <v>6</v>
      </c>
      <c r="B8" t="s">
        <v>9</v>
      </c>
      <c r="C8" s="11"/>
      <c r="D8" s="28"/>
      <c r="E8" s="10"/>
      <c r="F8" s="4"/>
      <c r="G8" s="12"/>
      <c r="H8" s="12"/>
      <c r="J8" s="4"/>
      <c r="K8" s="14"/>
      <c r="L8" s="23"/>
      <c r="M8" s="23"/>
      <c r="N8" s="23"/>
      <c r="O8" s="25"/>
    </row>
    <row r="9" spans="1:15" ht="12.75">
      <c r="A9" t="s">
        <v>7</v>
      </c>
      <c r="B9" t="s">
        <v>9</v>
      </c>
      <c r="C9" s="11"/>
      <c r="D9" s="28"/>
      <c r="E9" s="26"/>
      <c r="F9" s="5"/>
      <c r="G9" s="13"/>
      <c r="H9" s="12"/>
      <c r="J9" s="5"/>
      <c r="K9" s="14"/>
      <c r="L9" s="23"/>
      <c r="M9" s="23"/>
      <c r="N9" s="23"/>
      <c r="O9" s="25"/>
    </row>
    <row r="10" spans="1:15" ht="12.75">
      <c r="A10" t="s">
        <v>8</v>
      </c>
      <c r="B10" t="s">
        <v>9</v>
      </c>
      <c r="C10" s="11"/>
      <c r="D10" s="28"/>
      <c r="E10" s="26"/>
      <c r="F10" s="5"/>
      <c r="G10" s="13"/>
      <c r="H10" s="12"/>
      <c r="J10" s="5"/>
      <c r="K10" s="14"/>
      <c r="L10" s="23"/>
      <c r="M10" s="23"/>
      <c r="N10" s="23"/>
      <c r="O10" s="25"/>
    </row>
    <row r="11" spans="1:15" ht="12.75">
      <c r="A11" t="s">
        <v>10</v>
      </c>
      <c r="B11" t="s">
        <v>3</v>
      </c>
      <c r="C11" s="11"/>
      <c r="D11" s="28"/>
      <c r="E11" s="10"/>
      <c r="F11" s="4"/>
      <c r="G11" s="12"/>
      <c r="H11" s="12"/>
      <c r="J11" s="4"/>
      <c r="K11" s="15"/>
      <c r="L11" s="23"/>
      <c r="M11" s="23"/>
      <c r="N11" s="23"/>
      <c r="O11" s="25"/>
    </row>
    <row r="12" spans="1:15" ht="12.75">
      <c r="A12" t="s">
        <v>15</v>
      </c>
      <c r="E12" s="17">
        <f>SUM(E6:E11)</f>
        <v>0</v>
      </c>
      <c r="F12" s="3"/>
      <c r="G12" s="8"/>
      <c r="H12" s="8"/>
      <c r="I12" s="17">
        <f>SUM(I6:I11)</f>
        <v>0</v>
      </c>
      <c r="J12" s="3"/>
      <c r="K12" s="16"/>
      <c r="L12" s="16"/>
      <c r="M12" s="17">
        <f>SUM(M6:M11)</f>
        <v>0</v>
      </c>
      <c r="N12" s="17">
        <f>SUM(N6:N11)</f>
        <v>0</v>
      </c>
      <c r="O12" s="17">
        <f>SUM(O6:O11)</f>
        <v>0</v>
      </c>
    </row>
    <row r="13" spans="6:10" ht="12.75">
      <c r="F13" s="3"/>
      <c r="G13" s="8"/>
      <c r="H13" s="8"/>
      <c r="I13" s="8"/>
      <c r="J13" s="3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1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>
        <f>1598740+13159225</f>
        <v>14757965</v>
      </c>
      <c r="E16">
        <f>19992.35+164515.76</f>
        <v>184508.11000000002</v>
      </c>
      <c r="F16" s="3"/>
      <c r="G16" s="12">
        <v>13.25</v>
      </c>
      <c r="H16" s="12">
        <f aca="true" t="shared" si="0" ref="H16:H21">I16/G16</f>
        <v>15306.135094339623</v>
      </c>
      <c r="I16" s="30">
        <f>18559.9+184246.39</f>
        <v>202806.29</v>
      </c>
      <c r="J16" s="3"/>
      <c r="K16" s="16">
        <v>0.001521</v>
      </c>
      <c r="L16" s="40">
        <f aca="true" t="shared" si="1" ref="L16:L21">+$D16*K16</f>
        <v>22446.864765</v>
      </c>
      <c r="M16" s="18"/>
      <c r="N16" s="16">
        <v>0.003957</v>
      </c>
      <c r="O16" s="40">
        <f aca="true" t="shared" si="2" ref="O16:O21">+$D16*N16</f>
        <v>58397.267504999996</v>
      </c>
    </row>
    <row r="17" spans="1:15" ht="12.75">
      <c r="A17" t="s">
        <v>5</v>
      </c>
      <c r="B17" t="s">
        <v>3</v>
      </c>
      <c r="C17" s="16">
        <v>0.0095</v>
      </c>
      <c r="D17">
        <f>915438+2725947</f>
        <v>3641385</v>
      </c>
      <c r="E17">
        <f>8696.89+25896.55</f>
        <v>34593.44</v>
      </c>
      <c r="F17" s="3"/>
      <c r="G17" s="13">
        <v>32.21</v>
      </c>
      <c r="H17" s="12">
        <f t="shared" si="0"/>
        <v>1178.7215150574357</v>
      </c>
      <c r="I17" s="30">
        <f>9274.74+28691.88</f>
        <v>37966.62</v>
      </c>
      <c r="J17" s="3"/>
      <c r="K17" s="16">
        <v>0.001521</v>
      </c>
      <c r="L17" s="40">
        <f t="shared" si="1"/>
        <v>5538.546585</v>
      </c>
      <c r="M17" s="18"/>
      <c r="N17" s="16">
        <v>0.003281</v>
      </c>
      <c r="O17" s="40">
        <f t="shared" si="2"/>
        <v>11947.384185</v>
      </c>
    </row>
    <row r="18" spans="1:15" ht="12.75">
      <c r="A18" t="s">
        <v>6</v>
      </c>
      <c r="B18" t="s">
        <v>9</v>
      </c>
      <c r="C18" s="16">
        <v>2.2816</v>
      </c>
      <c r="D18">
        <f>22199.11+1476.932+10354.42+453.5+10585.9+3979.233</f>
        <v>49049.095</v>
      </c>
      <c r="E18">
        <f>50649.48+3369.73+24624.63+1034.73+24152.77+9079.02</f>
        <v>112910.36000000002</v>
      </c>
      <c r="F18" s="3"/>
      <c r="G18" s="12">
        <v>204.28</v>
      </c>
      <c r="H18" s="12">
        <f t="shared" si="0"/>
        <v>187.96646759349912</v>
      </c>
      <c r="I18" s="30">
        <f>10139.21+28258.58</f>
        <v>38397.79</v>
      </c>
      <c r="J18" s="3"/>
      <c r="K18" s="16">
        <v>0.703918</v>
      </c>
      <c r="L18" s="40">
        <f t="shared" si="1"/>
        <v>34526.540854210005</v>
      </c>
      <c r="M18" s="18"/>
      <c r="N18" s="16">
        <v>0.403767</v>
      </c>
      <c r="O18" s="40">
        <f t="shared" si="2"/>
        <v>19804.405940865</v>
      </c>
    </row>
    <row r="19" spans="1:15" ht="12.75">
      <c r="A19" t="s">
        <v>7</v>
      </c>
      <c r="B19" t="s">
        <v>9</v>
      </c>
      <c r="C19" s="16">
        <v>2.3323</v>
      </c>
      <c r="D19">
        <f>5.318+14.373</f>
        <v>19.691</v>
      </c>
      <c r="E19">
        <f>24.37+65.87</f>
        <v>90.24000000000001</v>
      </c>
      <c r="F19" s="3"/>
      <c r="G19" s="13">
        <v>2.96</v>
      </c>
      <c r="H19" s="12">
        <f t="shared" si="0"/>
        <v>49.41216216216216</v>
      </c>
      <c r="I19" s="30">
        <f>39.51+106.75</f>
        <v>146.26</v>
      </c>
      <c r="J19" s="3"/>
      <c r="K19" s="16">
        <v>0.286512</v>
      </c>
      <c r="L19" s="40">
        <f t="shared" si="1"/>
        <v>5.641707791999999</v>
      </c>
      <c r="M19" s="18"/>
      <c r="N19" s="16">
        <v>1.864886</v>
      </c>
      <c r="O19" s="40">
        <f t="shared" si="2"/>
        <v>36.721470226</v>
      </c>
    </row>
    <row r="20" spans="1:15" ht="12.75">
      <c r="A20" t="s">
        <v>8</v>
      </c>
      <c r="B20" t="s">
        <v>9</v>
      </c>
      <c r="C20" s="16">
        <v>3.6587</v>
      </c>
      <c r="D20">
        <f>183.53+385.41</f>
        <v>568.94</v>
      </c>
      <c r="E20">
        <f>671.48+1410.1</f>
        <v>2081.58</v>
      </c>
      <c r="F20" s="3"/>
      <c r="G20" s="13">
        <v>0.59</v>
      </c>
      <c r="H20" s="12">
        <f t="shared" si="0"/>
        <v>3968.101694915254</v>
      </c>
      <c r="I20" s="30">
        <f>767.6+1573.58</f>
        <v>2341.18</v>
      </c>
      <c r="J20" s="3"/>
      <c r="K20" s="16">
        <v>0.478809</v>
      </c>
      <c r="L20" s="40">
        <f t="shared" si="1"/>
        <v>272.41359246</v>
      </c>
      <c r="M20" s="18"/>
      <c r="N20" s="16">
        <v>1.188604</v>
      </c>
      <c r="O20" s="40">
        <f t="shared" si="2"/>
        <v>676.2443597600001</v>
      </c>
    </row>
    <row r="21" spans="1:15" ht="12.75">
      <c r="A21" t="s">
        <v>10</v>
      </c>
      <c r="B21" t="s">
        <v>3</v>
      </c>
      <c r="C21" s="16">
        <v>0.0095</v>
      </c>
      <c r="D21">
        <f>47789.01+111606</f>
        <v>159395.01</v>
      </c>
      <c r="E21">
        <f>339.21+792.6</f>
        <v>1131.81</v>
      </c>
      <c r="F21" s="3"/>
      <c r="G21" s="12">
        <f>+G17</f>
        <v>32.21</v>
      </c>
      <c r="H21" s="12">
        <f t="shared" si="0"/>
        <v>155.0332194970506</v>
      </c>
      <c r="I21" s="30">
        <f>1497.3+3496.32</f>
        <v>4993.62</v>
      </c>
      <c r="J21" s="3"/>
      <c r="K21" s="16">
        <v>0.001521</v>
      </c>
      <c r="L21" s="40">
        <f t="shared" si="1"/>
        <v>242.43981021000002</v>
      </c>
      <c r="M21" s="18"/>
      <c r="N21" s="16">
        <f>+N17</f>
        <v>0.003281</v>
      </c>
      <c r="O21" s="40">
        <f t="shared" si="2"/>
        <v>522.97502781</v>
      </c>
    </row>
    <row r="22" spans="1:15" ht="12.75">
      <c r="A22" t="s">
        <v>15</v>
      </c>
      <c r="E22" s="17">
        <f>SUM(E16:E21)</f>
        <v>335315.54000000004</v>
      </c>
      <c r="F22" s="3"/>
      <c r="G22" s="8"/>
      <c r="H22" s="8"/>
      <c r="I22" s="17">
        <f>SUM(I16:I21)</f>
        <v>286651.76</v>
      </c>
      <c r="J22" s="3"/>
      <c r="K22" s="16"/>
      <c r="L22" s="17">
        <f>SUM(L16:L21)</f>
        <v>63032.447314672</v>
      </c>
      <c r="M22" s="19"/>
      <c r="N22" s="16"/>
      <c r="O22" s="17">
        <f>SUM(O16:O21)</f>
        <v>91384.99848866099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16"/>
      <c r="O23" s="23"/>
    </row>
    <row r="24" spans="1:15" ht="13.5" thickBot="1">
      <c r="A24" t="s">
        <v>21</v>
      </c>
      <c r="E24" s="20">
        <f>+E12+E22</f>
        <v>335315.54000000004</v>
      </c>
      <c r="F24" s="3"/>
      <c r="G24" s="8"/>
      <c r="H24" s="8"/>
      <c r="I24" s="20">
        <f>+I12+I22</f>
        <v>286651.76</v>
      </c>
      <c r="J24" s="3"/>
      <c r="K24" s="16"/>
      <c r="L24" s="24">
        <f>+L22</f>
        <v>63032.447314672</v>
      </c>
      <c r="M24" s="16"/>
      <c r="N24" s="16"/>
      <c r="O24" s="24">
        <f>+O12+O22</f>
        <v>91384.99848866099</v>
      </c>
    </row>
    <row r="25" spans="6:10" ht="13.5" thickTop="1">
      <c r="F25" s="3"/>
      <c r="G25" s="8"/>
      <c r="H25" s="8"/>
      <c r="I25" s="8"/>
      <c r="J25" s="3"/>
    </row>
    <row r="26" spans="1:10" ht="12.75">
      <c r="A26" t="s">
        <v>41</v>
      </c>
      <c r="E26" s="25">
        <f>+E24-L24-O24</f>
        <v>180898.09419666705</v>
      </c>
      <c r="F26" s="3"/>
      <c r="G26" s="8"/>
      <c r="H26" s="8"/>
      <c r="I26" s="8"/>
      <c r="J26" s="3"/>
    </row>
    <row r="27" spans="1:10" ht="12.75">
      <c r="A27" t="s">
        <v>42</v>
      </c>
      <c r="E27" s="41"/>
      <c r="F27" s="3"/>
      <c r="G27" s="8"/>
      <c r="H27" s="8"/>
      <c r="I27" s="19">
        <f>+I24+E26</f>
        <v>467549.8541966671</v>
      </c>
      <c r="J27" s="3"/>
    </row>
    <row r="28" spans="6:10" ht="12.75">
      <c r="F28" s="3"/>
      <c r="G28" s="8"/>
      <c r="H28" s="8"/>
      <c r="I28" s="8"/>
      <c r="J28" s="3"/>
    </row>
    <row r="29" spans="1:10" ht="12.75">
      <c r="A29" s="2" t="s">
        <v>4</v>
      </c>
      <c r="F29" s="3"/>
      <c r="G29" s="8"/>
      <c r="H29" s="8"/>
      <c r="I29" s="8"/>
      <c r="J29" s="3"/>
    </row>
    <row r="30" spans="1:10" ht="12.75">
      <c r="A30" s="27" t="s">
        <v>36</v>
      </c>
      <c r="F30" s="3"/>
      <c r="G30" s="8"/>
      <c r="H30" s="8"/>
      <c r="I30" s="8"/>
      <c r="J30" s="3"/>
    </row>
    <row r="31" spans="1:10" ht="12.75">
      <c r="A31" t="s">
        <v>30</v>
      </c>
      <c r="F31" s="3"/>
      <c r="G31" s="8"/>
      <c r="H31" s="8"/>
      <c r="I31" s="8"/>
      <c r="J31" s="3"/>
    </row>
    <row r="32" spans="1:10" ht="12.75">
      <c r="A32" t="s">
        <v>11</v>
      </c>
      <c r="F32" s="3"/>
      <c r="G32" s="8"/>
      <c r="H32" s="8"/>
      <c r="I32" s="8"/>
      <c r="J32" s="3"/>
    </row>
    <row r="33" spans="1:10" ht="12.75">
      <c r="A33" t="s">
        <v>22</v>
      </c>
      <c r="F33" s="3"/>
      <c r="G33" s="8"/>
      <c r="H33" s="8"/>
      <c r="I33" s="8"/>
      <c r="J33" s="3"/>
    </row>
    <row r="34" spans="6:10" ht="12.75">
      <c r="F34" s="3"/>
      <c r="G34" s="8"/>
      <c r="H34" s="8"/>
      <c r="I34" s="8"/>
      <c r="J34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22" footer="0.2"/>
  <pageSetup fitToHeight="1" fitToWidth="1" horizontalDpi="600" verticalDpi="600" orientation="landscape" scale="94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K4" sqref="K4:O5"/>
    </sheetView>
  </sheetViews>
  <sheetFormatPr defaultColWidth="9.140625" defaultRowHeight="12.75"/>
  <cols>
    <col min="1" max="1" width="17.57421875" style="0" customWidth="1"/>
    <col min="2" max="2" width="4.8515625" style="0" bestFit="1" customWidth="1"/>
    <col min="4" max="4" width="14.00390625" style="0" bestFit="1" customWidth="1"/>
    <col min="5" max="5" width="11.28125" style="0" bestFit="1" customWidth="1"/>
    <col min="6" max="6" width="1.1484375" style="0" customWidth="1"/>
    <col min="8" max="8" width="10.28125" style="0" bestFit="1" customWidth="1"/>
    <col min="9" max="9" width="11.28125" style="10" bestFit="1" customWidth="1"/>
    <col min="10" max="10" width="2.00390625" style="0" customWidth="1"/>
    <col min="12" max="12" width="11.140625" style="10" bestFit="1" customWidth="1"/>
    <col min="13" max="13" width="11.140625" style="0" customWidth="1"/>
    <col min="14" max="14" width="10.28125" style="0" bestFit="1" customWidth="1"/>
    <col min="15" max="15" width="11.28125" style="10" bestFit="1" customWidth="1"/>
  </cols>
  <sheetData>
    <row r="1" spans="1:8" ht="12.75">
      <c r="A1" t="s">
        <v>17</v>
      </c>
      <c r="E1" t="s">
        <v>29</v>
      </c>
      <c r="G1" s="6">
        <v>38384</v>
      </c>
      <c r="H1" s="10"/>
    </row>
    <row r="2" spans="1:14" ht="12.75">
      <c r="A2" t="s">
        <v>47</v>
      </c>
      <c r="E2" s="6"/>
      <c r="F2" s="3"/>
      <c r="H2" s="8"/>
      <c r="I2" s="8"/>
      <c r="J2" s="3"/>
      <c r="K2" s="2" t="s">
        <v>19</v>
      </c>
      <c r="M2" s="16" t="s">
        <v>33</v>
      </c>
      <c r="N2" s="16"/>
    </row>
    <row r="3" spans="3:10" ht="12.75">
      <c r="C3" s="52" t="s">
        <v>28</v>
      </c>
      <c r="D3" s="53"/>
      <c r="E3" s="53"/>
      <c r="F3" s="53"/>
      <c r="G3" s="53"/>
      <c r="H3" s="53"/>
      <c r="I3" s="55"/>
      <c r="J3" s="3"/>
    </row>
    <row r="4" spans="1:15" ht="12.75">
      <c r="A4" s="2" t="s">
        <v>45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9"/>
      <c r="N4" s="54" t="s">
        <v>20</v>
      </c>
      <c r="O4" s="54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2" t="s">
        <v>13</v>
      </c>
      <c r="M5" s="3"/>
      <c r="N5" s="21" t="s">
        <v>14</v>
      </c>
      <c r="O5" s="22" t="s">
        <v>13</v>
      </c>
    </row>
    <row r="6" spans="1:15" ht="12.75">
      <c r="A6" t="s">
        <v>2</v>
      </c>
      <c r="B6" t="s">
        <v>3</v>
      </c>
      <c r="C6" s="11"/>
      <c r="D6" s="29"/>
      <c r="E6" s="30"/>
      <c r="F6" s="4"/>
      <c r="G6" s="12"/>
      <c r="H6" s="12"/>
      <c r="J6" s="4"/>
      <c r="K6" s="14"/>
      <c r="L6" s="23"/>
      <c r="M6" s="23"/>
      <c r="N6" s="23"/>
      <c r="O6" s="23"/>
    </row>
    <row r="7" spans="1:15" ht="12.75">
      <c r="A7" t="s">
        <v>5</v>
      </c>
      <c r="B7" t="s">
        <v>3</v>
      </c>
      <c r="C7" s="11"/>
      <c r="D7" s="29"/>
      <c r="E7" s="31"/>
      <c r="F7" s="5"/>
      <c r="G7" s="13"/>
      <c r="H7" s="12"/>
      <c r="J7" s="5"/>
      <c r="K7" s="14"/>
      <c r="L7" s="23"/>
      <c r="M7" s="23"/>
      <c r="N7" s="23"/>
      <c r="O7" s="23"/>
    </row>
    <row r="8" spans="1:15" ht="12.75">
      <c r="A8" t="s">
        <v>6</v>
      </c>
      <c r="B8" t="s">
        <v>9</v>
      </c>
      <c r="C8" s="11"/>
      <c r="D8" s="29"/>
      <c r="E8" s="30"/>
      <c r="F8" s="4"/>
      <c r="G8" s="12"/>
      <c r="H8" s="12"/>
      <c r="J8" s="4"/>
      <c r="K8" s="14"/>
      <c r="L8" s="23"/>
      <c r="M8" s="23"/>
      <c r="N8" s="23"/>
      <c r="O8" s="23"/>
    </row>
    <row r="9" spans="1:15" ht="12.75">
      <c r="A9" t="s">
        <v>7</v>
      </c>
      <c r="B9" t="s">
        <v>9</v>
      </c>
      <c r="C9" s="11"/>
      <c r="D9" s="29"/>
      <c r="E9" s="31"/>
      <c r="F9" s="5"/>
      <c r="G9" s="13"/>
      <c r="H9" s="12"/>
      <c r="J9" s="5"/>
      <c r="K9" s="14"/>
      <c r="L9" s="23"/>
      <c r="M9" s="23"/>
      <c r="N9" s="23"/>
      <c r="O9" s="23"/>
    </row>
    <row r="10" spans="1:15" ht="12.75">
      <c r="A10" t="s">
        <v>8</v>
      </c>
      <c r="B10" t="s">
        <v>9</v>
      </c>
      <c r="C10" s="11"/>
      <c r="D10" s="29"/>
      <c r="E10" s="31"/>
      <c r="F10" s="5"/>
      <c r="G10" s="13"/>
      <c r="H10" s="12"/>
      <c r="J10" s="5"/>
      <c r="K10" s="14"/>
      <c r="L10" s="23"/>
      <c r="M10" s="23"/>
      <c r="N10" s="23"/>
      <c r="O10" s="23"/>
    </row>
    <row r="11" spans="1:15" ht="12.75">
      <c r="A11" t="s">
        <v>10</v>
      </c>
      <c r="B11" t="s">
        <v>3</v>
      </c>
      <c r="C11" s="11"/>
      <c r="D11" s="29"/>
      <c r="E11" s="30"/>
      <c r="F11" s="4"/>
      <c r="G11" s="12"/>
      <c r="H11" s="12"/>
      <c r="J11" s="4"/>
      <c r="K11" s="15"/>
      <c r="L11" s="23"/>
      <c r="M11" s="23"/>
      <c r="N11" s="23"/>
      <c r="O11" s="23"/>
    </row>
    <row r="12" spans="1:15" ht="12.75">
      <c r="A12" t="s">
        <v>15</v>
      </c>
      <c r="E12" s="17">
        <f>SUM(E6:E11)</f>
        <v>0</v>
      </c>
      <c r="F12" s="3"/>
      <c r="G12" s="8"/>
      <c r="H12" s="8"/>
      <c r="I12" s="17">
        <f>SUM(I6:I11)</f>
        <v>0</v>
      </c>
      <c r="J12" s="3"/>
      <c r="K12" s="16"/>
      <c r="L12" s="23"/>
      <c r="M12" s="17">
        <f>SUM(M6:M11)</f>
        <v>0</v>
      </c>
      <c r="N12" s="17">
        <f>SUM(N6:N11)</f>
        <v>0</v>
      </c>
      <c r="O12" s="17">
        <f>SUM(O6:O11)</f>
        <v>0</v>
      </c>
    </row>
    <row r="13" spans="6:10" ht="12.75">
      <c r="F13" s="3"/>
      <c r="G13" s="8"/>
      <c r="H13" s="8"/>
      <c r="I13" s="8"/>
      <c r="J13" s="3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2" t="s">
        <v>13</v>
      </c>
      <c r="M15" s="3"/>
      <c r="N15" s="21" t="s">
        <v>14</v>
      </c>
      <c r="O15" s="22" t="s">
        <v>13</v>
      </c>
    </row>
    <row r="16" spans="1:15" ht="12.75">
      <c r="A16" t="s">
        <v>2</v>
      </c>
      <c r="B16" t="s">
        <v>3</v>
      </c>
      <c r="C16" s="16">
        <v>0.0125</v>
      </c>
      <c r="D16">
        <f>2007+440+2641234+649220+3780+760+9641072+1703652</f>
        <v>14642165</v>
      </c>
      <c r="E16">
        <f>25.11+5.5+33024.78+8116.32+47.26+9.5+120532.44+21298</f>
        <v>183058.91</v>
      </c>
      <c r="F16" s="3"/>
      <c r="G16" s="12">
        <v>13.25</v>
      </c>
      <c r="H16" s="12">
        <f aca="true" t="shared" si="0" ref="H16:H21">I16/G16</f>
        <v>14703.64075471698</v>
      </c>
      <c r="I16" s="10">
        <f>45.94+8.39+137351.81+14420.86+27.4+4.86+38006.76+4957.22</f>
        <v>194823.24</v>
      </c>
      <c r="J16" s="3"/>
      <c r="K16" s="16">
        <v>0.001521</v>
      </c>
      <c r="L16" s="23">
        <f aca="true" t="shared" si="1" ref="L16:L21">+$D16*K16</f>
        <v>22270.732965</v>
      </c>
      <c r="M16" s="18"/>
      <c r="N16" s="16">
        <v>0.003957</v>
      </c>
      <c r="O16" s="23">
        <f aca="true" t="shared" si="2" ref="O16:O21">+$D16*N16</f>
        <v>57939.046904999996</v>
      </c>
    </row>
    <row r="17" spans="1:15" ht="12.75">
      <c r="A17" t="s">
        <v>5</v>
      </c>
      <c r="B17" t="s">
        <v>3</v>
      </c>
      <c r="C17" s="16">
        <v>0.0095</v>
      </c>
      <c r="D17">
        <f>32731+44108+12748+12480+400+10080+2909255+50106+282920+340008+31800</f>
        <v>3726636</v>
      </c>
      <c r="E17">
        <f>310.95+419.02+121.11+118.58+3.8+95.76+27639.29+476+2687.74+3230.09+302.1</f>
        <v>35404.439999999995</v>
      </c>
      <c r="F17" s="3"/>
      <c r="G17" s="13">
        <v>32.21</v>
      </c>
      <c r="H17" s="12">
        <f t="shared" si="0"/>
        <v>1121.1154920832037</v>
      </c>
      <c r="I17" s="10">
        <f>32.21+30.06+30.06+32609.87+208.29+1051.14+1019.99+64.42+449.87+590.52+24.7</f>
        <v>36111.12999999999</v>
      </c>
      <c r="J17" s="3"/>
      <c r="K17" s="16">
        <v>0.001521</v>
      </c>
      <c r="L17" s="23">
        <f t="shared" si="1"/>
        <v>5668.213356</v>
      </c>
      <c r="M17" s="18"/>
      <c r="N17" s="16">
        <v>0.003281</v>
      </c>
      <c r="O17" s="23">
        <f t="shared" si="2"/>
        <v>12227.092716000001</v>
      </c>
    </row>
    <row r="18" spans="1:15" ht="12.75">
      <c r="A18" t="s">
        <v>6</v>
      </c>
      <c r="B18" t="s">
        <v>9</v>
      </c>
      <c r="C18" s="16">
        <v>2.2816</v>
      </c>
      <c r="D18">
        <f>230.04-6.61-77.84-255.96+1233.53+1676.16+2416.1+3524.62+217+1284.03+738.46+1886.04+9310.16+34.5+613.81+633.36+443.88+216.83+129.99+2915.69+18627.83</f>
        <v>45791.62000000001</v>
      </c>
      <c r="E18">
        <f>524.86-15.08-177.59-584+2814.41+3824.34+5512.58+8041.77+495.11+2929.64+1684.86+4303.2+21242.08+78.72+1400.46+1445.07+1012.76+494.72+296.59+6652.43+42501.25</f>
        <v>104478.18000000001</v>
      </c>
      <c r="F18" s="3"/>
      <c r="G18" s="12">
        <v>204.28</v>
      </c>
      <c r="H18" s="12">
        <f t="shared" si="0"/>
        <v>173.23252398668492</v>
      </c>
      <c r="I18" s="10">
        <f>204.28+388.13+204.28+633.24+190.65+422.16+2676.1+2757.82+3779.15+2696.47+211.08+612.81+633.24+8211.96+9335.78+2519.36+844.32+204.28+585.61+149.8-1872.58</f>
        <v>35387.939999999995</v>
      </c>
      <c r="J18" s="3"/>
      <c r="K18" s="16">
        <v>0.703918</v>
      </c>
      <c r="L18" s="23">
        <f t="shared" si="1"/>
        <v>32233.54556716001</v>
      </c>
      <c r="M18" s="18"/>
      <c r="N18" s="16">
        <v>0.403767</v>
      </c>
      <c r="O18" s="23">
        <f t="shared" si="2"/>
        <v>18489.145032540004</v>
      </c>
    </row>
    <row r="19" spans="1:15" ht="12.75">
      <c r="A19" t="s">
        <v>7</v>
      </c>
      <c r="B19" t="s">
        <v>9</v>
      </c>
      <c r="C19" s="16">
        <v>2.3323</v>
      </c>
      <c r="D19">
        <v>18.37</v>
      </c>
      <c r="E19">
        <v>84.22</v>
      </c>
      <c r="F19" s="3"/>
      <c r="G19" s="13">
        <v>2.96</v>
      </c>
      <c r="H19" s="12">
        <f t="shared" si="0"/>
        <v>44.648648648648646</v>
      </c>
      <c r="I19" s="10">
        <v>132.16</v>
      </c>
      <c r="J19" s="3"/>
      <c r="K19" s="16">
        <v>0.286512</v>
      </c>
      <c r="L19" s="23">
        <f t="shared" si="1"/>
        <v>5.26322544</v>
      </c>
      <c r="M19" s="18"/>
      <c r="N19" s="16">
        <v>1.864886</v>
      </c>
      <c r="O19" s="23">
        <f t="shared" si="2"/>
        <v>34.25795582</v>
      </c>
    </row>
    <row r="20" spans="1:15" ht="12.75">
      <c r="A20" t="s">
        <v>8</v>
      </c>
      <c r="B20" t="s">
        <v>9</v>
      </c>
      <c r="C20" s="16">
        <v>3.6587</v>
      </c>
      <c r="D20">
        <v>568.94</v>
      </c>
      <c r="E20">
        <v>2081.58</v>
      </c>
      <c r="F20" s="3"/>
      <c r="G20" s="13">
        <v>0.59</v>
      </c>
      <c r="H20" s="12">
        <f t="shared" si="0"/>
        <v>3968.101694915254</v>
      </c>
      <c r="I20" s="10">
        <v>2341.18</v>
      </c>
      <c r="J20" s="3"/>
      <c r="K20" s="16">
        <v>0.478809</v>
      </c>
      <c r="L20" s="23">
        <f t="shared" si="1"/>
        <v>272.41359246</v>
      </c>
      <c r="M20" s="18"/>
      <c r="N20" s="16">
        <v>1.188604</v>
      </c>
      <c r="O20" s="23">
        <f t="shared" si="2"/>
        <v>676.2443597600001</v>
      </c>
    </row>
    <row r="21" spans="1:15" ht="12.75">
      <c r="A21" t="s">
        <v>10</v>
      </c>
      <c r="B21" t="s">
        <v>3</v>
      </c>
      <c r="C21" s="16">
        <v>0.0095</v>
      </c>
      <c r="D21">
        <f>-55216+136095</f>
        <v>80879</v>
      </c>
      <c r="E21">
        <f>-392+966.41</f>
        <v>574.41</v>
      </c>
      <c r="F21" s="3"/>
      <c r="G21" s="12">
        <f>+G17</f>
        <v>32.21</v>
      </c>
      <c r="H21" s="12">
        <f t="shared" si="0"/>
        <v>155.75970195591432</v>
      </c>
      <c r="I21" s="26">
        <f>5017.25-0.23</f>
        <v>5017.02</v>
      </c>
      <c r="J21" s="3"/>
      <c r="K21" s="16">
        <v>0.001521</v>
      </c>
      <c r="L21" s="23">
        <f t="shared" si="1"/>
        <v>123.016959</v>
      </c>
      <c r="M21" s="18"/>
      <c r="N21" s="16">
        <f>+N17</f>
        <v>0.003281</v>
      </c>
      <c r="O21" s="23">
        <f t="shared" si="2"/>
        <v>265.363999</v>
      </c>
    </row>
    <row r="22" spans="1:15" ht="12.75">
      <c r="A22" t="s">
        <v>15</v>
      </c>
      <c r="E22" s="17">
        <f>SUM(E16:E21)</f>
        <v>325681.74</v>
      </c>
      <c r="F22" s="3"/>
      <c r="G22" s="8"/>
      <c r="H22" s="8"/>
      <c r="I22" s="17">
        <f>SUM(I16:I21)</f>
        <v>273812.67</v>
      </c>
      <c r="J22" s="3"/>
      <c r="K22" s="16"/>
      <c r="L22" s="17">
        <f>SUM(L16:L21)</f>
        <v>60573.18566506001</v>
      </c>
      <c r="M22" s="19"/>
      <c r="N22" s="16"/>
      <c r="O22" s="17">
        <f>SUM(O16:O21)</f>
        <v>89631.15096812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16"/>
      <c r="O23" s="23"/>
    </row>
    <row r="24" spans="1:15" ht="13.5" thickBot="1">
      <c r="A24" t="s">
        <v>21</v>
      </c>
      <c r="E24" s="20">
        <f>+E12+E22</f>
        <v>325681.74</v>
      </c>
      <c r="F24" s="3"/>
      <c r="G24" s="8"/>
      <c r="H24" s="8"/>
      <c r="I24" s="20">
        <f>+I12+I22</f>
        <v>273812.67</v>
      </c>
      <c r="J24" s="3"/>
      <c r="K24" s="16"/>
      <c r="L24" s="24">
        <f>+L22</f>
        <v>60573.18566506001</v>
      </c>
      <c r="M24" s="16"/>
      <c r="N24" s="16"/>
      <c r="O24" s="24">
        <f>+O12+O22</f>
        <v>89631.15096812</v>
      </c>
    </row>
    <row r="25" spans="6:10" ht="13.5" thickTop="1">
      <c r="F25" s="3"/>
      <c r="G25" s="8"/>
      <c r="H25" s="8"/>
      <c r="I25" s="8"/>
      <c r="J25" s="3"/>
    </row>
    <row r="26" spans="1:10" ht="12.75">
      <c r="A26" t="s">
        <v>41</v>
      </c>
      <c r="E26" s="25">
        <f>+E24-L24-O24</f>
        <v>175477.40336681998</v>
      </c>
      <c r="F26" s="3"/>
      <c r="G26" s="8"/>
      <c r="H26" s="8"/>
      <c r="I26" s="8"/>
      <c r="J26" s="3"/>
    </row>
    <row r="27" spans="1:10" ht="12.75">
      <c r="A27" t="s">
        <v>42</v>
      </c>
      <c r="F27" s="3"/>
      <c r="G27" s="8"/>
      <c r="H27" s="8"/>
      <c r="I27" s="19">
        <f>+I24+E26</f>
        <v>449290.07336682</v>
      </c>
      <c r="J27" s="3"/>
    </row>
    <row r="28" spans="6:10" ht="12.75">
      <c r="F28" s="3"/>
      <c r="G28" s="8"/>
      <c r="H28" s="8"/>
      <c r="I28" s="8"/>
      <c r="J28" s="3"/>
    </row>
    <row r="29" spans="1:10" ht="12.75">
      <c r="A29" s="2" t="s">
        <v>4</v>
      </c>
      <c r="F29" s="3"/>
      <c r="G29" s="8"/>
      <c r="H29" s="8"/>
      <c r="I29" s="8"/>
      <c r="J29" s="3"/>
    </row>
    <row r="30" spans="1:10" ht="12.75">
      <c r="A30" s="27" t="s">
        <v>36</v>
      </c>
      <c r="F30" s="3"/>
      <c r="G30" s="8"/>
      <c r="H30" s="8"/>
      <c r="I30" s="8"/>
      <c r="J30" s="3"/>
    </row>
    <row r="31" spans="1:10" ht="12.75">
      <c r="A31" t="s">
        <v>30</v>
      </c>
      <c r="F31" s="3"/>
      <c r="G31" s="8"/>
      <c r="H31" s="8"/>
      <c r="I31" s="8"/>
      <c r="J31" s="3"/>
    </row>
    <row r="32" spans="1:10" ht="12.75">
      <c r="A32" t="s">
        <v>11</v>
      </c>
      <c r="F32" s="3"/>
      <c r="G32" s="8"/>
      <c r="H32" s="8"/>
      <c r="I32" s="8"/>
      <c r="J32" s="3"/>
    </row>
    <row r="33" spans="1:10" ht="12.75">
      <c r="A33" t="s">
        <v>22</v>
      </c>
      <c r="F33" s="3"/>
      <c r="G33" s="8"/>
      <c r="H33" s="8"/>
      <c r="I33" s="8"/>
      <c r="J33" s="3"/>
    </row>
    <row r="34" spans="6:10" ht="12.75">
      <c r="F34" s="3"/>
      <c r="G34" s="8"/>
      <c r="H34" s="8"/>
      <c r="I34" s="8"/>
      <c r="J34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34" footer="0.2"/>
  <pageSetup fitToHeight="1" fitToWidth="1" horizontalDpi="600" verticalDpi="600" orientation="landscape" scale="8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2" max="2" width="4.8515625" style="0" bestFit="1" customWidth="1"/>
    <col min="3" max="3" width="7.00390625" style="0" bestFit="1" customWidth="1"/>
    <col min="4" max="4" width="14.00390625" style="0" bestFit="1" customWidth="1"/>
    <col min="5" max="5" width="11.28125" style="0" bestFit="1" customWidth="1"/>
    <col min="6" max="6" width="0.85546875" style="0" customWidth="1"/>
    <col min="7" max="7" width="9.00390625" style="0" bestFit="1" customWidth="1"/>
    <col min="8" max="8" width="10.28125" style="0" bestFit="1" customWidth="1"/>
    <col min="9" max="9" width="11.28125" style="0" bestFit="1" customWidth="1"/>
    <col min="10" max="10" width="1.421875" style="0" customWidth="1"/>
    <col min="11" max="11" width="9.8515625" style="0" customWidth="1"/>
    <col min="12" max="12" width="10.28125" style="0" bestFit="1" customWidth="1"/>
    <col min="13" max="13" width="3.7109375" style="0" customWidth="1"/>
    <col min="14" max="14" width="10.28125" style="10" bestFit="1" customWidth="1"/>
    <col min="15" max="15" width="10.28125" style="0" bestFit="1" customWidth="1"/>
  </cols>
  <sheetData>
    <row r="1" spans="1:9" ht="12.75">
      <c r="A1" t="s">
        <v>17</v>
      </c>
      <c r="E1" t="s">
        <v>29</v>
      </c>
      <c r="G1" s="34">
        <v>38412</v>
      </c>
      <c r="H1" s="10"/>
      <c r="I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0" ht="12.75">
      <c r="C3" s="52" t="s">
        <v>28</v>
      </c>
      <c r="D3" s="53"/>
      <c r="E3" s="53"/>
      <c r="F3" s="53"/>
      <c r="G3" s="53"/>
      <c r="H3" s="53"/>
      <c r="I3" s="55"/>
      <c r="J3" s="3"/>
    </row>
    <row r="4" spans="1:15" ht="12.75">
      <c r="A4" s="2" t="s">
        <v>45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/>
      <c r="E6" s="40">
        <f aca="true" t="shared" si="0" ref="E6:E11">+C6*D6</f>
        <v>0</v>
      </c>
      <c r="F6" s="4"/>
      <c r="G6" s="12">
        <v>12.83</v>
      </c>
      <c r="H6" s="33">
        <f aca="true" t="shared" si="1" ref="H6:H11">+I6/G6</f>
        <v>0</v>
      </c>
      <c r="I6" s="10"/>
      <c r="J6" s="4"/>
      <c r="K6" s="14">
        <v>0.0041</v>
      </c>
      <c r="L6" s="23">
        <f aca="true" t="shared" si="2" ref="L6:L11">+D6*K6</f>
        <v>0</v>
      </c>
      <c r="M6" s="23"/>
      <c r="N6" s="14">
        <v>0.0039</v>
      </c>
      <c r="O6" s="23">
        <f aca="true" t="shared" si="3" ref="O6:O11">+D6*N6</f>
        <v>0</v>
      </c>
    </row>
    <row r="7" spans="1:15" ht="12.75">
      <c r="A7" t="s">
        <v>5</v>
      </c>
      <c r="B7" t="s">
        <v>3</v>
      </c>
      <c r="C7" s="11">
        <v>0.0164</v>
      </c>
      <c r="D7" s="29"/>
      <c r="E7" s="40">
        <f t="shared" si="0"/>
        <v>0</v>
      </c>
      <c r="F7" s="5"/>
      <c r="G7" s="13">
        <v>30.67</v>
      </c>
      <c r="H7" s="33">
        <f t="shared" si="1"/>
        <v>0</v>
      </c>
      <c r="I7" s="10"/>
      <c r="J7" s="5"/>
      <c r="K7" s="14">
        <v>0.0041</v>
      </c>
      <c r="L7" s="23">
        <f t="shared" si="2"/>
        <v>0</v>
      </c>
      <c r="M7" s="23"/>
      <c r="N7" s="14">
        <v>0.0034</v>
      </c>
      <c r="O7" s="23">
        <f t="shared" si="3"/>
        <v>0</v>
      </c>
    </row>
    <row r="8" spans="1:15" ht="12.75">
      <c r="A8" t="s">
        <v>6</v>
      </c>
      <c r="B8" t="s">
        <v>9</v>
      </c>
      <c r="C8" s="11">
        <v>3.6598</v>
      </c>
      <c r="D8" s="29"/>
      <c r="E8" s="40">
        <f t="shared" si="0"/>
        <v>0</v>
      </c>
      <c r="F8" s="4"/>
      <c r="G8" s="12">
        <v>194.49</v>
      </c>
      <c r="H8" s="33">
        <f t="shared" si="1"/>
        <v>0</v>
      </c>
      <c r="I8" s="10"/>
      <c r="J8" s="4"/>
      <c r="K8" s="14">
        <v>1.6336</v>
      </c>
      <c r="L8" s="23">
        <f t="shared" si="2"/>
        <v>0</v>
      </c>
      <c r="M8" s="23"/>
      <c r="N8" s="14">
        <v>0.3796</v>
      </c>
      <c r="O8" s="23">
        <f t="shared" si="3"/>
        <v>0</v>
      </c>
    </row>
    <row r="9" spans="1:15" ht="12.75">
      <c r="A9" t="s">
        <v>7</v>
      </c>
      <c r="B9" t="s">
        <v>9</v>
      </c>
      <c r="C9" s="11">
        <v>8.1465</v>
      </c>
      <c r="D9" s="29"/>
      <c r="E9" s="40">
        <f t="shared" si="0"/>
        <v>0</v>
      </c>
      <c r="F9" s="5"/>
      <c r="G9" s="13">
        <v>2.57</v>
      </c>
      <c r="H9" s="33">
        <f t="shared" si="1"/>
        <v>0</v>
      </c>
      <c r="I9" s="10"/>
      <c r="J9" s="5"/>
      <c r="K9" s="14">
        <v>0.615</v>
      </c>
      <c r="L9" s="23">
        <f t="shared" si="2"/>
        <v>0</v>
      </c>
      <c r="M9" s="23"/>
      <c r="N9" s="14">
        <v>2.3721</v>
      </c>
      <c r="O9" s="23">
        <f t="shared" si="3"/>
        <v>0</v>
      </c>
    </row>
    <row r="10" spans="1:15" ht="12.75">
      <c r="A10" t="s">
        <v>8</v>
      </c>
      <c r="B10" t="s">
        <v>9</v>
      </c>
      <c r="C10" s="11">
        <v>7.3894</v>
      </c>
      <c r="D10" s="29"/>
      <c r="E10" s="40">
        <f t="shared" si="0"/>
        <v>0</v>
      </c>
      <c r="F10" s="5"/>
      <c r="G10" s="13">
        <v>0.58</v>
      </c>
      <c r="H10" s="33">
        <f t="shared" si="1"/>
        <v>0</v>
      </c>
      <c r="I10" s="10"/>
      <c r="J10" s="5"/>
      <c r="K10" s="14">
        <v>2.3847</v>
      </c>
      <c r="L10" s="23">
        <f t="shared" si="2"/>
        <v>0</v>
      </c>
      <c r="M10" s="23"/>
      <c r="N10" s="14">
        <v>1.5625</v>
      </c>
      <c r="O10" s="23">
        <f t="shared" si="3"/>
        <v>0</v>
      </c>
    </row>
    <row r="11" spans="1:15" ht="12.75">
      <c r="A11" t="s">
        <v>10</v>
      </c>
      <c r="B11" t="s">
        <v>3</v>
      </c>
      <c r="C11" s="11">
        <v>0.0199</v>
      </c>
      <c r="D11" s="29"/>
      <c r="E11" s="40">
        <f t="shared" si="0"/>
        <v>0</v>
      </c>
      <c r="F11" s="4"/>
      <c r="G11" s="12">
        <v>30.67</v>
      </c>
      <c r="H11" s="33">
        <f t="shared" si="1"/>
        <v>0</v>
      </c>
      <c r="I11" s="10"/>
      <c r="J11" s="4"/>
      <c r="K11" s="14">
        <v>0.0041</v>
      </c>
      <c r="L11" s="23">
        <f t="shared" si="2"/>
        <v>0</v>
      </c>
      <c r="M11" s="23"/>
      <c r="N11" s="14">
        <v>0.0069</v>
      </c>
      <c r="O11" s="23">
        <f t="shared" si="3"/>
        <v>0</v>
      </c>
    </row>
    <row r="12" spans="1:15" ht="12.75">
      <c r="A12" t="s">
        <v>15</v>
      </c>
      <c r="E12" s="17">
        <f>SUM(E6:E11)</f>
        <v>0</v>
      </c>
      <c r="F12" s="3"/>
      <c r="G12" s="8"/>
      <c r="H12" s="8"/>
      <c r="I12" s="17">
        <f>SUM(I6:I11)</f>
        <v>0</v>
      </c>
      <c r="J12" s="3"/>
      <c r="K12" s="16"/>
      <c r="L12" s="17">
        <f>SUM(L6:L11)</f>
        <v>0</v>
      </c>
      <c r="M12" s="19"/>
      <c r="N12" s="44"/>
      <c r="O12" s="17">
        <f>SUM(O6:O11)</f>
        <v>0</v>
      </c>
    </row>
    <row r="13" spans="6:10" ht="12.75">
      <c r="F13" s="3"/>
      <c r="G13" s="8"/>
      <c r="H13" s="8"/>
      <c r="I13" s="8"/>
      <c r="J13" s="3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>
        <f>30896+12985515</f>
        <v>13016411</v>
      </c>
      <c r="E16">
        <f>386.27+162348.24</f>
        <v>162734.50999999998</v>
      </c>
      <c r="F16" s="3"/>
      <c r="G16" s="12">
        <v>13.25</v>
      </c>
      <c r="H16" s="12">
        <f aca="true" t="shared" si="4" ref="H16:H21">I16/G16</f>
        <v>13980.692830188678</v>
      </c>
      <c r="I16" s="10">
        <f>384.74+184859.44</f>
        <v>185244.18</v>
      </c>
      <c r="J16" s="3"/>
      <c r="K16" s="16">
        <v>0.001521</v>
      </c>
      <c r="L16" s="23">
        <f aca="true" t="shared" si="5" ref="L16:L21">+$D16*K16</f>
        <v>19797.961131</v>
      </c>
      <c r="M16" s="18"/>
      <c r="N16" s="42">
        <v>0.003957</v>
      </c>
      <c r="O16" s="23">
        <f aca="true" t="shared" si="6" ref="O16:O21">+$D16*N16</f>
        <v>51505.938326999996</v>
      </c>
    </row>
    <row r="17" spans="1:15" ht="12.75">
      <c r="A17" t="s">
        <v>5</v>
      </c>
      <c r="B17" t="s">
        <v>3</v>
      </c>
      <c r="C17" s="16">
        <v>0.0095</v>
      </c>
      <c r="D17">
        <f>9842+3347594</f>
        <v>3357436</v>
      </c>
      <c r="E17">
        <f>93.5+31803.55</f>
        <v>31897.05</v>
      </c>
      <c r="F17" s="3"/>
      <c r="G17" s="13">
        <v>32.21</v>
      </c>
      <c r="H17" s="12">
        <f t="shared" si="4"/>
        <v>1034.1130083824899</v>
      </c>
      <c r="I17" s="10">
        <f>152.46+33156.32</f>
        <v>33308.78</v>
      </c>
      <c r="J17" s="3"/>
      <c r="K17" s="16">
        <v>0.001521</v>
      </c>
      <c r="L17" s="23">
        <f t="shared" si="5"/>
        <v>5106.660156</v>
      </c>
      <c r="M17" s="18"/>
      <c r="N17" s="42">
        <v>0.003281</v>
      </c>
      <c r="O17" s="23">
        <f t="shared" si="6"/>
        <v>11015.747516</v>
      </c>
    </row>
    <row r="18" spans="1:15" ht="12.75">
      <c r="A18" t="s">
        <v>6</v>
      </c>
      <c r="B18" t="s">
        <v>9</v>
      </c>
      <c r="C18" s="16">
        <v>2.2816</v>
      </c>
      <c r="D18">
        <f>11702.76+30423.06</f>
        <v>42125.82</v>
      </c>
      <c r="E18">
        <f>26701.03+69413.25</f>
        <v>96114.28</v>
      </c>
      <c r="F18" s="3"/>
      <c r="G18" s="12">
        <v>204.28</v>
      </c>
      <c r="H18" s="12">
        <f t="shared" si="4"/>
        <v>167.02550420990798</v>
      </c>
      <c r="I18" s="10">
        <v>34119.97</v>
      </c>
      <c r="J18" s="3"/>
      <c r="K18" s="16">
        <v>0.703918</v>
      </c>
      <c r="L18" s="23">
        <f t="shared" si="5"/>
        <v>29653.12296276</v>
      </c>
      <c r="M18" s="18"/>
      <c r="N18" s="42">
        <v>0.403767</v>
      </c>
      <c r="O18" s="23">
        <f t="shared" si="6"/>
        <v>17009.01596394</v>
      </c>
    </row>
    <row r="19" spans="1:15" ht="12.75">
      <c r="A19" t="s">
        <v>7</v>
      </c>
      <c r="B19" t="s">
        <v>9</v>
      </c>
      <c r="C19" s="16">
        <v>2.3323</v>
      </c>
      <c r="D19">
        <v>17.634</v>
      </c>
      <c r="E19">
        <v>80.84</v>
      </c>
      <c r="F19" s="3"/>
      <c r="G19" s="13">
        <v>2.96</v>
      </c>
      <c r="H19" s="12">
        <f t="shared" si="4"/>
        <v>43.16216216216216</v>
      </c>
      <c r="I19" s="10">
        <v>127.76</v>
      </c>
      <c r="J19" s="3"/>
      <c r="K19" s="16">
        <v>0.286512</v>
      </c>
      <c r="L19" s="23">
        <f t="shared" si="5"/>
        <v>5.052352608</v>
      </c>
      <c r="M19" s="18"/>
      <c r="N19" s="42">
        <v>1.864886</v>
      </c>
      <c r="O19" s="23">
        <f t="shared" si="6"/>
        <v>32.885399724</v>
      </c>
    </row>
    <row r="20" spans="1:15" ht="12.75">
      <c r="A20" t="s">
        <v>8</v>
      </c>
      <c r="B20" t="s">
        <v>9</v>
      </c>
      <c r="C20" s="16">
        <v>3.6587</v>
      </c>
      <c r="D20">
        <v>513.88</v>
      </c>
      <c r="E20">
        <v>1880.13</v>
      </c>
      <c r="F20" s="3"/>
      <c r="G20" s="13">
        <v>0.59</v>
      </c>
      <c r="H20" s="12">
        <f t="shared" si="4"/>
        <v>3577.796610169492</v>
      </c>
      <c r="I20" s="10">
        <v>2110.9</v>
      </c>
      <c r="J20" s="3"/>
      <c r="K20" s="16">
        <v>0.478809</v>
      </c>
      <c r="L20" s="23">
        <f t="shared" si="5"/>
        <v>246.05036891999998</v>
      </c>
      <c r="M20" s="18"/>
      <c r="N20" s="42">
        <v>1.188604</v>
      </c>
      <c r="O20" s="23">
        <f t="shared" si="6"/>
        <v>610.79982352</v>
      </c>
    </row>
    <row r="21" spans="1:15" ht="12.75">
      <c r="A21" t="s">
        <v>10</v>
      </c>
      <c r="B21" t="s">
        <v>3</v>
      </c>
      <c r="C21" s="16">
        <v>0.0095</v>
      </c>
      <c r="D21">
        <v>142992</v>
      </c>
      <c r="E21">
        <v>1015.39</v>
      </c>
      <c r="F21" s="3"/>
      <c r="G21" s="12">
        <f>+G17</f>
        <v>32.21</v>
      </c>
      <c r="H21" s="12">
        <f t="shared" si="4"/>
        <v>156.66687364172617</v>
      </c>
      <c r="I21" s="10">
        <v>5046.24</v>
      </c>
      <c r="J21" s="3"/>
      <c r="K21" s="16">
        <v>0.001521</v>
      </c>
      <c r="L21" s="23">
        <f t="shared" si="5"/>
        <v>217.490832</v>
      </c>
      <c r="M21" s="18"/>
      <c r="N21" s="42">
        <f>+N17</f>
        <v>0.003281</v>
      </c>
      <c r="O21" s="23">
        <f t="shared" si="6"/>
        <v>469.156752</v>
      </c>
    </row>
    <row r="22" spans="1:15" ht="12.75">
      <c r="A22" t="s">
        <v>15</v>
      </c>
      <c r="E22" s="17">
        <f>SUM(E16:E21)</f>
        <v>293722.2</v>
      </c>
      <c r="F22" s="3"/>
      <c r="G22" s="8"/>
      <c r="H22" s="8"/>
      <c r="I22" s="17">
        <f>SUM(I16:I21)</f>
        <v>259957.83</v>
      </c>
      <c r="J22" s="3"/>
      <c r="K22" s="16"/>
      <c r="L22" s="17">
        <f>SUM(L16:L21)</f>
        <v>55026.337803288</v>
      </c>
      <c r="M22" s="19"/>
      <c r="N22" s="42"/>
      <c r="O22" s="17">
        <f>SUM(O16:O21)</f>
        <v>80643.54378218399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293722.2</v>
      </c>
      <c r="F24" s="3"/>
      <c r="G24" s="8"/>
      <c r="H24" s="8"/>
      <c r="I24" s="20">
        <f>+I12+I22</f>
        <v>259957.83</v>
      </c>
      <c r="J24" s="3"/>
      <c r="K24" s="16"/>
      <c r="L24" s="24">
        <f>+L12+L22</f>
        <v>55026.337803288</v>
      </c>
      <c r="M24" s="16"/>
      <c r="N24" s="23"/>
      <c r="O24" s="24">
        <f>+O12+O22</f>
        <v>80643.54378218399</v>
      </c>
    </row>
    <row r="25" spans="6:10" ht="13.5" thickTop="1">
      <c r="F25" s="3"/>
      <c r="G25" s="8"/>
      <c r="H25" s="8"/>
      <c r="I25" s="8"/>
      <c r="J25" s="3"/>
    </row>
    <row r="26" spans="6:10" ht="12.75">
      <c r="F26" s="3"/>
      <c r="G26" s="8"/>
      <c r="H26" s="8"/>
      <c r="I26" s="8"/>
      <c r="J26" s="3"/>
    </row>
    <row r="27" spans="1:10" ht="12.75">
      <c r="A27" s="2" t="s">
        <v>4</v>
      </c>
      <c r="F27" s="3"/>
      <c r="G27" s="8"/>
      <c r="H27" s="8"/>
      <c r="I27" s="8"/>
      <c r="J27" s="3"/>
    </row>
    <row r="28" spans="1:10" ht="12.75">
      <c r="A28" s="27" t="s">
        <v>36</v>
      </c>
      <c r="F28" s="3"/>
      <c r="G28" s="8"/>
      <c r="H28" s="8"/>
      <c r="I28" s="8"/>
      <c r="J28" s="3"/>
    </row>
    <row r="29" spans="1:10" ht="12.75">
      <c r="A29" t="s">
        <v>30</v>
      </c>
      <c r="F29" s="3"/>
      <c r="G29" s="8"/>
      <c r="H29" s="8"/>
      <c r="I29" s="8"/>
      <c r="J29" s="3"/>
    </row>
    <row r="30" spans="1:10" ht="12.75">
      <c r="A30" t="s">
        <v>11</v>
      </c>
      <c r="F30" s="3"/>
      <c r="G30" s="8"/>
      <c r="H30" s="8"/>
      <c r="I30" s="8"/>
      <c r="J30" s="3"/>
    </row>
    <row r="31" spans="1:10" ht="12.75">
      <c r="A31" t="s">
        <v>22</v>
      </c>
      <c r="F31" s="3"/>
      <c r="G31" s="8"/>
      <c r="H31" s="8"/>
      <c r="I31" s="8"/>
      <c r="J31" s="3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3" footer="0.2"/>
  <pageSetup fitToHeight="1" fitToWidth="1" horizontalDpi="600" verticalDpi="600" orientation="landscape" scale="97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2" sqref="A2"/>
    </sheetView>
  </sheetViews>
  <sheetFormatPr defaultColWidth="9.140625" defaultRowHeight="12.75"/>
  <cols>
    <col min="1" max="1" width="17.28125" style="0" customWidth="1"/>
    <col min="2" max="2" width="4.8515625" style="0" bestFit="1" customWidth="1"/>
    <col min="3" max="3" width="7.00390625" style="0" bestFit="1" customWidth="1"/>
    <col min="4" max="4" width="12.8515625" style="0" bestFit="1" customWidth="1"/>
    <col min="5" max="5" width="11.28125" style="0" bestFit="1" customWidth="1"/>
    <col min="6" max="6" width="2.28125" style="0" customWidth="1"/>
    <col min="8" max="8" width="9.00390625" style="0" customWidth="1"/>
    <col min="9" max="9" width="11.28125" style="0" bestFit="1" customWidth="1"/>
    <col min="10" max="10" width="1.57421875" style="0" customWidth="1"/>
    <col min="12" max="12" width="11.140625" style="10" bestFit="1" customWidth="1"/>
    <col min="13" max="15" width="10.28125" style="0" bestFit="1" customWidth="1"/>
  </cols>
  <sheetData>
    <row r="1" spans="1:14" ht="12.75">
      <c r="A1" t="s">
        <v>17</v>
      </c>
      <c r="E1" t="s">
        <v>29</v>
      </c>
      <c r="G1" s="34">
        <v>38443</v>
      </c>
      <c r="H1" s="10"/>
      <c r="I1" s="10"/>
      <c r="L1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L2"/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L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837413</v>
      </c>
      <c r="E6" s="40">
        <v>16666.49</v>
      </c>
      <c r="F6" s="4"/>
      <c r="G6" s="12">
        <v>12.83</v>
      </c>
      <c r="H6" s="33">
        <f aca="true" t="shared" si="0" ref="H6:H11">+I6/G6</f>
        <v>897.5510522213561</v>
      </c>
      <c r="I6" s="10">
        <v>11515.58</v>
      </c>
      <c r="J6" s="4"/>
      <c r="K6" s="14">
        <v>0.0041</v>
      </c>
      <c r="L6" s="23">
        <f aca="true" t="shared" si="1" ref="L6:L11">+D6*K6</f>
        <v>3433.3933</v>
      </c>
      <c r="M6" s="23"/>
      <c r="N6" s="14">
        <v>0.0039</v>
      </c>
      <c r="O6" s="23">
        <f aca="true" t="shared" si="2" ref="O6:O11">+D6*N6</f>
        <v>3265.9107</v>
      </c>
    </row>
    <row r="7" spans="1:15" ht="12.75">
      <c r="A7" t="s">
        <v>5</v>
      </c>
      <c r="B7" t="s">
        <v>3</v>
      </c>
      <c r="C7" s="11">
        <v>0.0164</v>
      </c>
      <c r="D7" s="29">
        <v>725522</v>
      </c>
      <c r="E7" s="40">
        <v>11898.42</v>
      </c>
      <c r="F7" s="5"/>
      <c r="G7" s="13">
        <v>30.67</v>
      </c>
      <c r="H7" s="33">
        <f t="shared" si="0"/>
        <v>232.21747636126506</v>
      </c>
      <c r="I7" s="10">
        <v>7122.11</v>
      </c>
      <c r="J7" s="5"/>
      <c r="K7" s="14">
        <v>0.0041</v>
      </c>
      <c r="L7" s="23">
        <f t="shared" si="1"/>
        <v>2974.6402000000003</v>
      </c>
      <c r="M7" s="23"/>
      <c r="N7" s="14">
        <v>0.0034</v>
      </c>
      <c r="O7" s="23">
        <f t="shared" si="2"/>
        <v>2466.7747999999997</v>
      </c>
    </row>
    <row r="8" spans="1:15" ht="12.75">
      <c r="A8" t="s">
        <v>6</v>
      </c>
      <c r="B8" t="s">
        <v>9</v>
      </c>
      <c r="C8" s="11">
        <v>3.6598</v>
      </c>
      <c r="D8" s="29">
        <v>12563.5</v>
      </c>
      <c r="E8" s="40">
        <v>45979.86</v>
      </c>
      <c r="F8" s="4"/>
      <c r="G8" s="12">
        <v>194.49</v>
      </c>
      <c r="H8" s="33">
        <f t="shared" si="0"/>
        <v>42.03120983083963</v>
      </c>
      <c r="I8" s="10">
        <v>8174.65</v>
      </c>
      <c r="J8" s="4"/>
      <c r="K8" s="14">
        <v>1.6336</v>
      </c>
      <c r="L8" s="23">
        <f t="shared" si="1"/>
        <v>20523.7336</v>
      </c>
      <c r="M8" s="23"/>
      <c r="N8" s="14">
        <v>0.3793</v>
      </c>
      <c r="O8" s="23">
        <f t="shared" si="2"/>
        <v>4765.335550000001</v>
      </c>
    </row>
    <row r="9" spans="1:15" ht="12.75">
      <c r="A9" t="s">
        <v>7</v>
      </c>
      <c r="B9" t="s">
        <v>9</v>
      </c>
      <c r="C9" s="11">
        <v>8.1465</v>
      </c>
      <c r="D9" s="29">
        <v>4.5</v>
      </c>
      <c r="E9" s="40">
        <v>36.94</v>
      </c>
      <c r="F9" s="5"/>
      <c r="G9" s="13">
        <v>2.57</v>
      </c>
      <c r="H9" s="33">
        <f t="shared" si="0"/>
        <v>10.373540856031129</v>
      </c>
      <c r="I9" s="10">
        <v>26.66</v>
      </c>
      <c r="J9" s="5"/>
      <c r="K9" s="14">
        <v>0.615</v>
      </c>
      <c r="L9" s="23">
        <f t="shared" si="1"/>
        <v>2.7675</v>
      </c>
      <c r="M9" s="23"/>
      <c r="N9" s="14">
        <v>2.3721</v>
      </c>
      <c r="O9" s="23">
        <f t="shared" si="2"/>
        <v>10.67445</v>
      </c>
    </row>
    <row r="10" spans="1:15" ht="12.75">
      <c r="A10" t="s">
        <v>8</v>
      </c>
      <c r="B10" t="s">
        <v>9</v>
      </c>
      <c r="C10" s="11">
        <v>7.3894</v>
      </c>
      <c r="D10" s="29">
        <v>183.4</v>
      </c>
      <c r="E10" s="40">
        <v>1355.22</v>
      </c>
      <c r="F10" s="5"/>
      <c r="G10" s="13">
        <v>0.58</v>
      </c>
      <c r="H10" s="33">
        <f t="shared" si="0"/>
        <v>1257.2758620689656</v>
      </c>
      <c r="I10" s="10">
        <v>729.22</v>
      </c>
      <c r="J10" s="5"/>
      <c r="K10" s="14">
        <v>2.3847</v>
      </c>
      <c r="L10" s="23">
        <f t="shared" si="1"/>
        <v>437.35398000000004</v>
      </c>
      <c r="M10" s="23"/>
      <c r="N10" s="14">
        <v>1.5625</v>
      </c>
      <c r="O10" s="23">
        <f t="shared" si="2"/>
        <v>286.5625</v>
      </c>
    </row>
    <row r="11" spans="1:15" ht="12.75">
      <c r="A11" t="s">
        <v>10</v>
      </c>
      <c r="B11" t="s">
        <v>3</v>
      </c>
      <c r="C11" s="11">
        <v>0.0199</v>
      </c>
      <c r="D11" s="29">
        <v>42761</v>
      </c>
      <c r="E11" s="40">
        <v>851.07</v>
      </c>
      <c r="F11" s="4"/>
      <c r="G11" s="12">
        <v>30.67</v>
      </c>
      <c r="H11" s="33">
        <f t="shared" si="0"/>
        <v>47.12813824584284</v>
      </c>
      <c r="I11" s="10">
        <v>1445.42</v>
      </c>
      <c r="J11" s="4"/>
      <c r="K11" s="14">
        <v>0.0041</v>
      </c>
      <c r="L11" s="23">
        <f t="shared" si="1"/>
        <v>175.32010000000002</v>
      </c>
      <c r="M11" s="23"/>
      <c r="N11" s="14">
        <v>0.0069</v>
      </c>
      <c r="O11" s="23">
        <f t="shared" si="2"/>
        <v>295.0509</v>
      </c>
    </row>
    <row r="12" spans="1:15" ht="12.75">
      <c r="A12" t="s">
        <v>15</v>
      </c>
      <c r="E12" s="17">
        <f>SUM(E6:E11)</f>
        <v>76788.00000000001</v>
      </c>
      <c r="F12" s="3"/>
      <c r="G12" s="8"/>
      <c r="H12" s="8"/>
      <c r="I12" s="17">
        <f>SUM(I6:I11)</f>
        <v>29013.64</v>
      </c>
      <c r="J12" s="3"/>
      <c r="K12" s="16"/>
      <c r="L12" s="17">
        <f>SUM(L6:L11)</f>
        <v>27547.208680000003</v>
      </c>
      <c r="M12" s="19"/>
      <c r="N12" s="44"/>
      <c r="O12" s="17">
        <f>SUM(O6:O11)</f>
        <v>11090.3089</v>
      </c>
    </row>
    <row r="13" spans="6:14" ht="12.75">
      <c r="F13" s="3"/>
      <c r="G13" s="8"/>
      <c r="H13" s="8"/>
      <c r="I13" s="8"/>
      <c r="J13" s="3"/>
      <c r="L1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9">
        <v>11141388</v>
      </c>
      <c r="E16" s="10">
        <v>139292.65</v>
      </c>
      <c r="F16" s="3"/>
      <c r="G16" s="12">
        <v>13.25</v>
      </c>
      <c r="H16" s="33">
        <f aca="true" t="shared" si="3" ref="H16:H21">I16/G16</f>
        <v>13080.223396226414</v>
      </c>
      <c r="I16" s="10">
        <v>173312.96</v>
      </c>
      <c r="J16" s="3"/>
      <c r="K16" s="16">
        <v>0.001521</v>
      </c>
      <c r="L16" s="23">
        <f aca="true" t="shared" si="4" ref="L16:L21">+$D16*K16</f>
        <v>16946.051148</v>
      </c>
      <c r="M16" s="18"/>
      <c r="N16" s="42">
        <v>0.003957</v>
      </c>
      <c r="O16" s="23">
        <f aca="true" t="shared" si="5" ref="O16:O21">+$D16*N16</f>
        <v>44086.47231599999</v>
      </c>
    </row>
    <row r="17" spans="1:15" ht="12.75">
      <c r="A17" t="s">
        <v>5</v>
      </c>
      <c r="B17" t="s">
        <v>3</v>
      </c>
      <c r="C17" s="16">
        <v>0.0095</v>
      </c>
      <c r="D17" s="29">
        <v>2669177</v>
      </c>
      <c r="E17" s="10">
        <v>25366.83</v>
      </c>
      <c r="F17" s="3"/>
      <c r="G17" s="13">
        <v>32.21</v>
      </c>
      <c r="H17" s="33">
        <f t="shared" si="3"/>
        <v>887.707544240919</v>
      </c>
      <c r="I17" s="10">
        <v>28593.06</v>
      </c>
      <c r="J17" s="3"/>
      <c r="K17" s="16">
        <v>0.001521</v>
      </c>
      <c r="L17" s="23">
        <f t="shared" si="4"/>
        <v>4059.818217</v>
      </c>
      <c r="M17" s="18"/>
      <c r="N17" s="42">
        <v>0.003281</v>
      </c>
      <c r="O17" s="23">
        <f t="shared" si="5"/>
        <v>8757.569737</v>
      </c>
    </row>
    <row r="18" spans="1:15" ht="12.75">
      <c r="A18" t="s">
        <v>6</v>
      </c>
      <c r="B18" t="s">
        <v>9</v>
      </c>
      <c r="C18" s="16">
        <v>2.2816</v>
      </c>
      <c r="D18" s="29">
        <v>33654.78</v>
      </c>
      <c r="E18" s="10">
        <v>76786.83</v>
      </c>
      <c r="F18" s="3"/>
      <c r="G18" s="12">
        <v>204.28</v>
      </c>
      <c r="H18" s="33">
        <f t="shared" si="3"/>
        <v>141.89940278049735</v>
      </c>
      <c r="I18" s="10">
        <v>28987.21</v>
      </c>
      <c r="J18" s="3"/>
      <c r="K18" s="16">
        <v>0.703918</v>
      </c>
      <c r="L18" s="23">
        <f t="shared" si="4"/>
        <v>23690.20542804</v>
      </c>
      <c r="M18" s="18"/>
      <c r="N18" s="42">
        <v>0.403767</v>
      </c>
      <c r="O18" s="23">
        <f t="shared" si="5"/>
        <v>13588.689556259998</v>
      </c>
    </row>
    <row r="19" spans="1:15" ht="12.75">
      <c r="A19" t="s">
        <v>7</v>
      </c>
      <c r="B19" t="s">
        <v>9</v>
      </c>
      <c r="C19" s="16">
        <v>4.5825</v>
      </c>
      <c r="D19" s="29">
        <v>14.595</v>
      </c>
      <c r="E19" s="10">
        <v>66.9</v>
      </c>
      <c r="F19" s="3"/>
      <c r="G19" s="13">
        <v>2.96</v>
      </c>
      <c r="H19" s="33">
        <f t="shared" si="3"/>
        <v>37.21621621621622</v>
      </c>
      <c r="I19" s="10">
        <v>110.16</v>
      </c>
      <c r="J19" s="3"/>
      <c r="K19" s="16">
        <v>0.286512</v>
      </c>
      <c r="L19" s="23">
        <f t="shared" si="4"/>
        <v>4.18164264</v>
      </c>
      <c r="M19" s="18"/>
      <c r="N19" s="42">
        <v>1.864886</v>
      </c>
      <c r="O19" s="23">
        <f t="shared" si="5"/>
        <v>27.21801117</v>
      </c>
    </row>
    <row r="20" spans="1:15" ht="12.75">
      <c r="A20" t="s">
        <v>8</v>
      </c>
      <c r="B20" t="s">
        <v>9</v>
      </c>
      <c r="C20" s="16">
        <v>3.6587</v>
      </c>
      <c r="D20" s="29">
        <v>385.14</v>
      </c>
      <c r="E20" s="10">
        <f>+C20*D20</f>
        <v>1409.1117179999999</v>
      </c>
      <c r="F20" s="3"/>
      <c r="G20" s="13">
        <v>0.59</v>
      </c>
      <c r="H20" s="33">
        <f t="shared" si="3"/>
        <v>2667.084745762712</v>
      </c>
      <c r="I20" s="10">
        <v>1573.58</v>
      </c>
      <c r="J20" s="3"/>
      <c r="K20" s="16">
        <v>0.478809</v>
      </c>
      <c r="L20" s="23">
        <f t="shared" si="4"/>
        <v>184.40849826</v>
      </c>
      <c r="M20" s="18"/>
      <c r="N20" s="42">
        <v>1.188604</v>
      </c>
      <c r="O20" s="23">
        <f t="shared" si="5"/>
        <v>457.77894455999996</v>
      </c>
    </row>
    <row r="21" spans="1:15" ht="12.75">
      <c r="A21" t="s">
        <v>10</v>
      </c>
      <c r="B21" t="s">
        <v>3</v>
      </c>
      <c r="C21" s="16">
        <v>0.0071</v>
      </c>
      <c r="D21" s="29">
        <v>95455</v>
      </c>
      <c r="E21" s="10">
        <v>677.95</v>
      </c>
      <c r="F21" s="3"/>
      <c r="G21" s="12">
        <f>+G17</f>
        <v>32.21</v>
      </c>
      <c r="H21" s="33">
        <f t="shared" si="3"/>
        <v>109.94753182241539</v>
      </c>
      <c r="I21" s="10">
        <v>3541.41</v>
      </c>
      <c r="J21" s="3"/>
      <c r="K21" s="16">
        <v>0.001521</v>
      </c>
      <c r="L21" s="23">
        <f t="shared" si="4"/>
        <v>145.187055</v>
      </c>
      <c r="M21" s="18"/>
      <c r="N21" s="42">
        <f>+N17</f>
        <v>0.003281</v>
      </c>
      <c r="O21" s="23">
        <f t="shared" si="5"/>
        <v>313.187855</v>
      </c>
    </row>
    <row r="22" spans="1:15" ht="12.75">
      <c r="A22" t="s">
        <v>15</v>
      </c>
      <c r="E22" s="17">
        <f>SUM(E16:E21)</f>
        <v>243600.271718</v>
      </c>
      <c r="F22" s="3"/>
      <c r="G22" s="8"/>
      <c r="H22" s="8"/>
      <c r="I22" s="17">
        <f>SUM(I16:I21)</f>
        <v>236118.37999999998</v>
      </c>
      <c r="J22" s="3"/>
      <c r="K22" s="16"/>
      <c r="L22" s="17">
        <f>SUM(L16:L21)</f>
        <v>45029.85198894</v>
      </c>
      <c r="M22" s="19"/>
      <c r="N22" s="42"/>
      <c r="O22" s="17">
        <f>SUM(O16:O21)</f>
        <v>67230.91641999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320388.271718</v>
      </c>
      <c r="F24" s="3"/>
      <c r="G24" s="8"/>
      <c r="H24" s="8"/>
      <c r="I24" s="20">
        <f>+I12+I22</f>
        <v>265132.01999999996</v>
      </c>
      <c r="J24" s="3"/>
      <c r="K24" s="16"/>
      <c r="L24" s="24">
        <f>+L12+L22</f>
        <v>72577.06066894</v>
      </c>
      <c r="M24" s="16"/>
      <c r="N24" s="23"/>
      <c r="O24" s="24">
        <f>+O12+O22</f>
        <v>78321.22531999</v>
      </c>
    </row>
    <row r="25" spans="6:14" ht="13.5" thickTop="1">
      <c r="F25" s="3"/>
      <c r="G25" s="8"/>
      <c r="H25" s="8"/>
      <c r="I25" s="8"/>
      <c r="J25" s="3"/>
      <c r="L25"/>
      <c r="N25" s="10"/>
    </row>
    <row r="26" spans="6:14" ht="12.75">
      <c r="F26" s="3"/>
      <c r="G26" s="8"/>
      <c r="H26" s="8"/>
      <c r="I26" s="8"/>
      <c r="J26" s="3"/>
      <c r="L26"/>
      <c r="N26" s="10"/>
    </row>
    <row r="27" spans="1:14" ht="12.75">
      <c r="A27" s="2" t="s">
        <v>4</v>
      </c>
      <c r="F27" s="3"/>
      <c r="G27" s="8"/>
      <c r="H27" s="8"/>
      <c r="I27" s="8"/>
      <c r="J27" s="3"/>
      <c r="L27"/>
      <c r="N27" s="10"/>
    </row>
    <row r="28" spans="1:14" ht="12.75">
      <c r="A28" s="27" t="s">
        <v>36</v>
      </c>
      <c r="F28" s="3"/>
      <c r="G28" s="8"/>
      <c r="H28" s="8"/>
      <c r="I28" s="8"/>
      <c r="J28" s="3"/>
      <c r="L28"/>
      <c r="N28" s="10"/>
    </row>
    <row r="29" spans="1:14" ht="12.75">
      <c r="A29" t="s">
        <v>30</v>
      </c>
      <c r="F29" s="3"/>
      <c r="G29" s="8"/>
      <c r="H29" s="8"/>
      <c r="I29" s="8"/>
      <c r="J29" s="3"/>
      <c r="L29"/>
      <c r="N29" s="10"/>
    </row>
    <row r="30" spans="1:14" ht="12.75">
      <c r="A30" t="s">
        <v>11</v>
      </c>
      <c r="F30" s="3"/>
      <c r="G30" s="8"/>
      <c r="H30" s="8"/>
      <c r="I30" s="8"/>
      <c r="J30" s="3"/>
      <c r="L30"/>
      <c r="N30" s="10"/>
    </row>
    <row r="31" spans="1:14" ht="12.75">
      <c r="A31" t="s">
        <v>22</v>
      </c>
      <c r="F31" s="3"/>
      <c r="G31" s="8"/>
      <c r="H31" s="8"/>
      <c r="I31" s="8"/>
      <c r="J31" s="3"/>
      <c r="L31"/>
      <c r="N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19" footer="0.2"/>
  <pageSetup fitToHeight="1" fitToWidth="1" horizontalDpi="600" verticalDpi="600" orientation="landscape" scale="94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4" max="4" width="11.8515625" style="0" bestFit="1" customWidth="1"/>
    <col min="5" max="5" width="11.28125" style="10" bestFit="1" customWidth="1"/>
    <col min="6" max="6" width="1.1484375" style="0" customWidth="1"/>
    <col min="7" max="7" width="9.28125" style="0" bestFit="1" customWidth="1"/>
    <col min="9" max="9" width="11.28125" style="0" bestFit="1" customWidth="1"/>
    <col min="10" max="10" width="1.421875" style="0" customWidth="1"/>
    <col min="12" max="12" width="11.28125" style="10" bestFit="1" customWidth="1"/>
    <col min="14" max="14" width="9.7109375" style="0" bestFit="1" customWidth="1"/>
    <col min="15" max="15" width="10.28125" style="10" bestFit="1" customWidth="1"/>
  </cols>
  <sheetData>
    <row r="1" spans="1:15" ht="12.75">
      <c r="A1" t="s">
        <v>17</v>
      </c>
      <c r="E1" t="s">
        <v>29</v>
      </c>
      <c r="G1" s="34">
        <v>38473</v>
      </c>
      <c r="H1" s="10"/>
      <c r="I1" s="10"/>
      <c r="L1"/>
      <c r="N1" s="10"/>
      <c r="O1"/>
    </row>
    <row r="2" spans="1:15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L2"/>
      <c r="M2" s="16" t="s">
        <v>33</v>
      </c>
      <c r="N2" s="23"/>
      <c r="O2"/>
    </row>
    <row r="3" spans="3:15" ht="12.75">
      <c r="C3" s="52" t="s">
        <v>28</v>
      </c>
      <c r="D3" s="53"/>
      <c r="E3" s="53"/>
      <c r="F3" s="53"/>
      <c r="G3" s="53"/>
      <c r="H3" s="53"/>
      <c r="I3" s="55"/>
      <c r="J3" s="3"/>
      <c r="L3"/>
      <c r="N3" s="10"/>
      <c r="O3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8231437</v>
      </c>
      <c r="E6" s="45">
        <v>163807.48</v>
      </c>
      <c r="F6" s="4"/>
      <c r="G6" s="12">
        <v>12.83</v>
      </c>
      <c r="H6" s="33">
        <f aca="true" t="shared" si="0" ref="H6:H11">+I6/G6</f>
        <v>11116.574785658613</v>
      </c>
      <c r="I6" s="10">
        <v>142625.6545</v>
      </c>
      <c r="J6" s="4"/>
      <c r="K6" s="14">
        <v>0.0041</v>
      </c>
      <c r="L6" s="23">
        <f aca="true" t="shared" si="1" ref="L6:L11">+D6*K6</f>
        <v>33748.8917</v>
      </c>
      <c r="M6" s="23"/>
      <c r="N6" s="14">
        <v>0.0039</v>
      </c>
      <c r="O6" s="23">
        <f aca="true" t="shared" si="2" ref="O6:O11">+D6*N6</f>
        <v>32102.6043</v>
      </c>
    </row>
    <row r="7" spans="1:15" ht="12.75">
      <c r="A7" t="s">
        <v>5</v>
      </c>
      <c r="B7" t="s">
        <v>3</v>
      </c>
      <c r="C7" s="11">
        <v>0.0164</v>
      </c>
      <c r="D7" s="29">
        <v>3344267</v>
      </c>
      <c r="E7" s="45">
        <v>54846.01</v>
      </c>
      <c r="F7" s="5"/>
      <c r="G7" s="13">
        <v>30.67</v>
      </c>
      <c r="H7" s="33">
        <f t="shared" si="0"/>
        <v>1172.4365829801106</v>
      </c>
      <c r="I7" s="10">
        <v>35958.63</v>
      </c>
      <c r="J7" s="5"/>
      <c r="K7" s="14">
        <v>0.0041</v>
      </c>
      <c r="L7" s="23">
        <f t="shared" si="1"/>
        <v>13711.494700000001</v>
      </c>
      <c r="M7" s="23"/>
      <c r="N7" s="14">
        <v>0.0034</v>
      </c>
      <c r="O7" s="23">
        <f t="shared" si="2"/>
        <v>11370.5078</v>
      </c>
    </row>
    <row r="8" spans="1:15" ht="12.75">
      <c r="A8" t="s">
        <v>6</v>
      </c>
      <c r="B8" t="s">
        <v>9</v>
      </c>
      <c r="C8" s="11">
        <v>3.6598</v>
      </c>
      <c r="D8" s="29">
        <f>31413.59+1946.319+12874.54</f>
        <v>46234.449</v>
      </c>
      <c r="E8" s="45">
        <f>47118.24+114967.44+7123.14</f>
        <v>169208.82</v>
      </c>
      <c r="F8" s="4"/>
      <c r="G8" s="12">
        <v>194.49</v>
      </c>
      <c r="H8" s="33">
        <f t="shared" si="0"/>
        <v>186.06704714895366</v>
      </c>
      <c r="I8" s="10">
        <f>17731.06+18457.12</f>
        <v>36188.18</v>
      </c>
      <c r="J8" s="4"/>
      <c r="K8" s="14">
        <v>1.6336</v>
      </c>
      <c r="L8" s="23">
        <f t="shared" si="1"/>
        <v>75528.5958864</v>
      </c>
      <c r="M8" s="23"/>
      <c r="N8" s="14">
        <v>0.3793</v>
      </c>
      <c r="O8" s="23">
        <f t="shared" si="2"/>
        <v>17536.7265057</v>
      </c>
    </row>
    <row r="9" spans="1:15" ht="12.75">
      <c r="A9" t="s">
        <v>7</v>
      </c>
      <c r="B9" t="s">
        <v>9</v>
      </c>
      <c r="C9" s="11">
        <v>8.1465</v>
      </c>
      <c r="D9" s="29">
        <v>19.478</v>
      </c>
      <c r="E9" s="45">
        <v>158.66</v>
      </c>
      <c r="F9" s="5"/>
      <c r="G9" s="13">
        <v>2.57</v>
      </c>
      <c r="H9" s="33">
        <f t="shared" si="0"/>
        <v>47.05058365758755</v>
      </c>
      <c r="I9" s="10">
        <v>120.92</v>
      </c>
      <c r="J9" s="5"/>
      <c r="K9" s="14">
        <v>0.615</v>
      </c>
      <c r="L9" s="23">
        <f t="shared" si="1"/>
        <v>11.97897</v>
      </c>
      <c r="M9" s="23"/>
      <c r="N9" s="14">
        <v>2.3721</v>
      </c>
      <c r="O9" s="23">
        <f t="shared" si="2"/>
        <v>46.203763800000004</v>
      </c>
    </row>
    <row r="10" spans="1:15" ht="12.75">
      <c r="A10" t="s">
        <v>8</v>
      </c>
      <c r="B10" t="s">
        <v>9</v>
      </c>
      <c r="C10" s="11">
        <v>7.3894</v>
      </c>
      <c r="D10" s="29">
        <v>550.77</v>
      </c>
      <c r="E10" s="45">
        <f>+C10*D10</f>
        <v>4069.859838</v>
      </c>
      <c r="F10" s="5"/>
      <c r="G10" s="13">
        <v>0.58</v>
      </c>
      <c r="H10" s="33">
        <f t="shared" si="0"/>
        <v>3838</v>
      </c>
      <c r="I10" s="10">
        <v>2226.04</v>
      </c>
      <c r="J10" s="5"/>
      <c r="K10" s="14">
        <v>2.3847</v>
      </c>
      <c r="L10" s="23">
        <f t="shared" si="1"/>
        <v>1313.421219</v>
      </c>
      <c r="M10" s="23"/>
      <c r="N10" s="14">
        <v>1.5625</v>
      </c>
      <c r="O10" s="23">
        <f t="shared" si="2"/>
        <v>860.578125</v>
      </c>
    </row>
    <row r="11" spans="1:15" ht="12.75">
      <c r="A11" t="s">
        <v>10</v>
      </c>
      <c r="B11" t="s">
        <v>3</v>
      </c>
      <c r="C11" s="11">
        <v>0.0199</v>
      </c>
      <c r="D11" s="29">
        <v>142592</v>
      </c>
      <c r="E11" s="45">
        <v>2837.59</v>
      </c>
      <c r="F11" s="4"/>
      <c r="G11" s="12">
        <v>30.67</v>
      </c>
      <c r="H11" s="33">
        <f t="shared" si="0"/>
        <v>156.99999999999997</v>
      </c>
      <c r="I11" s="10">
        <v>4815.19</v>
      </c>
      <c r="J11" s="4"/>
      <c r="K11" s="14">
        <v>0.0041</v>
      </c>
      <c r="L11" s="23">
        <f t="shared" si="1"/>
        <v>584.6272</v>
      </c>
      <c r="M11" s="23"/>
      <c r="N11" s="14">
        <v>0.0069</v>
      </c>
      <c r="O11" s="23">
        <f t="shared" si="2"/>
        <v>983.8847999999999</v>
      </c>
    </row>
    <row r="12" spans="1:15" ht="12.75">
      <c r="A12" t="s">
        <v>15</v>
      </c>
      <c r="E12" s="17">
        <f>SUM(E6:E11)</f>
        <v>394928.41983800003</v>
      </c>
      <c r="F12" s="3"/>
      <c r="G12" s="8"/>
      <c r="H12" s="8"/>
      <c r="I12" s="17">
        <f>SUM(I6:I11)</f>
        <v>221934.61450000003</v>
      </c>
      <c r="J12" s="3"/>
      <c r="K12" s="16"/>
      <c r="L12" s="17">
        <f>SUM(L6:L11)</f>
        <v>124899.0096754</v>
      </c>
      <c r="M12" s="19"/>
      <c r="N12" s="44"/>
      <c r="O12" s="17">
        <f>SUM(O6:O11)</f>
        <v>62900.5052945</v>
      </c>
    </row>
    <row r="13" spans="5:15" ht="12.75">
      <c r="E13"/>
      <c r="F13" s="3"/>
      <c r="G13" s="8"/>
      <c r="H13" s="8"/>
      <c r="I13" s="8"/>
      <c r="J13" s="3"/>
      <c r="L13"/>
      <c r="N13" s="10"/>
      <c r="O13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f>2652838-379</f>
        <v>2652459</v>
      </c>
      <c r="E16" s="10">
        <f>33170.13-4.73</f>
        <v>33165.399999999994</v>
      </c>
      <c r="F16" s="3"/>
      <c r="G16" s="12">
        <v>13.25</v>
      </c>
      <c r="H16" s="33">
        <f aca="true" t="shared" si="3" ref="H16:H21">I16/G16</f>
        <v>3478.8822641509437</v>
      </c>
      <c r="I16" s="10">
        <f>46101.71-6.52</f>
        <v>46095.19</v>
      </c>
      <c r="J16" s="3"/>
      <c r="K16" s="16">
        <v>0.001521</v>
      </c>
      <c r="L16" s="23">
        <f aca="true" t="shared" si="4" ref="L16:L21">+$D16*K16</f>
        <v>4034.390139</v>
      </c>
      <c r="M16" s="18"/>
      <c r="N16" s="42">
        <v>0.003957</v>
      </c>
      <c r="O16" s="23">
        <f aca="true" t="shared" si="5" ref="O16:O21">+$D16*N16</f>
        <v>10495.780262999999</v>
      </c>
    </row>
    <row r="17" spans="1:15" ht="12.75">
      <c r="A17" t="s">
        <v>5</v>
      </c>
      <c r="B17" t="s">
        <v>3</v>
      </c>
      <c r="C17" s="16">
        <v>0.0095</v>
      </c>
      <c r="D17" s="28">
        <f>37118-103612</f>
        <v>-66494</v>
      </c>
      <c r="E17" s="10">
        <f>352.65-984.33</f>
        <v>-631.6800000000001</v>
      </c>
      <c r="F17" s="3"/>
      <c r="G17" s="13">
        <v>32.21</v>
      </c>
      <c r="H17" s="33">
        <f t="shared" si="3"/>
        <v>11.033529959639862</v>
      </c>
      <c r="I17" s="10">
        <f>447.73-92.34</f>
        <v>355.39</v>
      </c>
      <c r="J17" s="3"/>
      <c r="K17" s="16">
        <v>0.001521</v>
      </c>
      <c r="L17" s="23">
        <f t="shared" si="4"/>
        <v>-101.137374</v>
      </c>
      <c r="M17" s="18"/>
      <c r="N17" s="42">
        <v>0.003281</v>
      </c>
      <c r="O17" s="23">
        <f t="shared" si="5"/>
        <v>-218.16681400000002</v>
      </c>
    </row>
    <row r="18" spans="1:15" ht="12.75">
      <c r="A18" t="s">
        <v>6</v>
      </c>
      <c r="B18" t="s">
        <v>9</v>
      </c>
      <c r="C18" s="16">
        <v>2.2816</v>
      </c>
      <c r="D18" s="28">
        <v>197.424</v>
      </c>
      <c r="E18" s="10">
        <v>450.44</v>
      </c>
      <c r="F18" s="3"/>
      <c r="G18" s="12">
        <v>204.28</v>
      </c>
      <c r="H18" s="33">
        <f t="shared" si="3"/>
        <v>0.29998041903270023</v>
      </c>
      <c r="I18" s="10">
        <f>61.28</f>
        <v>61.28</v>
      </c>
      <c r="J18" s="3"/>
      <c r="K18" s="16">
        <v>0.703918</v>
      </c>
      <c r="L18" s="23">
        <f t="shared" si="4"/>
        <v>138.970307232</v>
      </c>
      <c r="M18" s="18"/>
      <c r="N18" s="42">
        <v>0.403767</v>
      </c>
      <c r="O18" s="23">
        <f t="shared" si="5"/>
        <v>79.713296208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>+C19*D19</f>
        <v>0</v>
      </c>
      <c r="F19" s="3"/>
      <c r="G19" s="13">
        <v>2.96</v>
      </c>
      <c r="H19" s="33">
        <f t="shared" si="3"/>
        <v>0</v>
      </c>
      <c r="I19" s="10"/>
      <c r="J19" s="3"/>
      <c r="K19" s="16">
        <v>0.286512</v>
      </c>
      <c r="L19" s="23">
        <f t="shared" si="4"/>
        <v>0</v>
      </c>
      <c r="M19" s="18"/>
      <c r="N19" s="42">
        <v>1.864886</v>
      </c>
      <c r="O19" s="23">
        <f t="shared" si="5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>+C20*D20</f>
        <v>0</v>
      </c>
      <c r="F20" s="3"/>
      <c r="G20" s="13">
        <v>0.59</v>
      </c>
      <c r="H20" s="33">
        <f t="shared" si="3"/>
        <v>0</v>
      </c>
      <c r="I20" s="10"/>
      <c r="J20" s="3"/>
      <c r="K20" s="16">
        <v>0.478809</v>
      </c>
      <c r="L20" s="23">
        <f t="shared" si="4"/>
        <v>0</v>
      </c>
      <c r="M20" s="18"/>
      <c r="N20" s="42">
        <v>1.188604</v>
      </c>
      <c r="O20" s="23">
        <f t="shared" si="5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>+C21*D21</f>
        <v>0</v>
      </c>
      <c r="F21" s="3"/>
      <c r="G21" s="12">
        <f>+G17</f>
        <v>32.21</v>
      </c>
      <c r="H21" s="33">
        <f t="shared" si="3"/>
        <v>0</v>
      </c>
      <c r="I21" s="10"/>
      <c r="J21" s="3"/>
      <c r="K21" s="16">
        <v>0.001521</v>
      </c>
      <c r="L21" s="23">
        <f t="shared" si="4"/>
        <v>0</v>
      </c>
      <c r="M21" s="18"/>
      <c r="N21" s="42">
        <f>+N17</f>
        <v>0.003281</v>
      </c>
      <c r="O21" s="23">
        <f t="shared" si="5"/>
        <v>0</v>
      </c>
    </row>
    <row r="22" spans="1:15" ht="12.75">
      <c r="A22" t="s">
        <v>15</v>
      </c>
      <c r="E22" s="17">
        <f>SUM(E16:E21)</f>
        <v>32984.159999999996</v>
      </c>
      <c r="F22" s="3"/>
      <c r="G22" s="8"/>
      <c r="H22" s="8"/>
      <c r="I22" s="17">
        <f>SUM(I16:I21)</f>
        <v>46511.86</v>
      </c>
      <c r="J22" s="3"/>
      <c r="K22" s="16"/>
      <c r="L22" s="17">
        <f>SUM(L16:L21)</f>
        <v>4072.223072232</v>
      </c>
      <c r="M22" s="19"/>
      <c r="N22" s="42"/>
      <c r="O22" s="17">
        <f>SUM(O16:O21)</f>
        <v>10357.326745207998</v>
      </c>
    </row>
    <row r="23" spans="5:15" ht="12.75">
      <c r="E23"/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427912.579838</v>
      </c>
      <c r="F24" s="3"/>
      <c r="G24" s="8"/>
      <c r="H24" s="8"/>
      <c r="I24" s="20">
        <f>+I12+I22</f>
        <v>268446.4745</v>
      </c>
      <c r="J24" s="3"/>
      <c r="K24" s="16"/>
      <c r="L24" s="24">
        <f>+L12+L22</f>
        <v>128971.23274763199</v>
      </c>
      <c r="M24" s="16"/>
      <c r="N24" s="23"/>
      <c r="O24" s="24">
        <f>+O12+O22</f>
        <v>73257.832039708</v>
      </c>
    </row>
    <row r="25" spans="5:15" ht="13.5" thickTop="1">
      <c r="E25"/>
      <c r="F25" s="3"/>
      <c r="G25" s="8"/>
      <c r="H25" s="8"/>
      <c r="I25" s="8"/>
      <c r="J25" s="3"/>
      <c r="L25"/>
      <c r="N25" s="10"/>
      <c r="O25"/>
    </row>
    <row r="26" spans="5:15" ht="12.75">
      <c r="E26"/>
      <c r="F26" s="3"/>
      <c r="G26" s="8"/>
      <c r="H26" s="8"/>
      <c r="I26" s="19">
        <f>+E24+I24</f>
        <v>696359.054338</v>
      </c>
      <c r="J26" s="3"/>
      <c r="L26"/>
      <c r="N26" s="10"/>
      <c r="O26"/>
    </row>
    <row r="27" spans="1:15" ht="12.75">
      <c r="A27" s="2" t="s">
        <v>4</v>
      </c>
      <c r="E27"/>
      <c r="F27" s="3"/>
      <c r="G27" s="8"/>
      <c r="H27" s="8"/>
      <c r="I27" s="8"/>
      <c r="J27" s="3"/>
      <c r="L27"/>
      <c r="N27" s="10"/>
      <c r="O27"/>
    </row>
    <row r="28" spans="1:15" ht="12.75">
      <c r="A28" s="27" t="s">
        <v>36</v>
      </c>
      <c r="E28"/>
      <c r="F28" s="3"/>
      <c r="G28" s="8"/>
      <c r="H28" s="8"/>
      <c r="I28" s="8"/>
      <c r="J28" s="3"/>
      <c r="L28"/>
      <c r="N28" s="10"/>
      <c r="O28"/>
    </row>
    <row r="29" spans="1:15" ht="12.75">
      <c r="A29" t="s">
        <v>30</v>
      </c>
      <c r="E29"/>
      <c r="F29" s="3"/>
      <c r="G29" s="8"/>
      <c r="H29" s="8"/>
      <c r="I29" s="8"/>
      <c r="J29" s="3"/>
      <c r="L29"/>
      <c r="N29" s="10"/>
      <c r="O29"/>
    </row>
    <row r="30" spans="1:15" ht="12.75">
      <c r="A30" t="s">
        <v>44</v>
      </c>
      <c r="E30"/>
      <c r="F30" s="3"/>
      <c r="G30" s="8"/>
      <c r="H30" s="8"/>
      <c r="I30" s="8"/>
      <c r="J30" s="3"/>
      <c r="L30"/>
      <c r="N30" s="10"/>
      <c r="O30"/>
    </row>
    <row r="31" spans="5:15" ht="12.75">
      <c r="E31"/>
      <c r="F31" s="3"/>
      <c r="G31" s="8"/>
      <c r="H31" s="8"/>
      <c r="I31" s="8"/>
      <c r="J31" s="3"/>
      <c r="L31"/>
      <c r="N31" s="10"/>
      <c r="O31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24" footer="0.2"/>
  <pageSetup fitToHeight="1" fitToWidth="1" horizontalDpi="600" verticalDpi="600" orientation="landscape" scale="91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4" max="4" width="12.8515625" style="0" bestFit="1" customWidth="1"/>
    <col min="5" max="5" width="11.28125" style="10" bestFit="1" customWidth="1"/>
    <col min="6" max="6" width="0.71875" style="0" customWidth="1"/>
    <col min="9" max="9" width="11.28125" style="10" bestFit="1" customWidth="1"/>
    <col min="10" max="10" width="1.7109375" style="0" customWidth="1"/>
    <col min="12" max="12" width="11.8515625" style="0" customWidth="1"/>
    <col min="14" max="14" width="9.7109375" style="0" bestFit="1" customWidth="1"/>
    <col min="15" max="15" width="10.28125" style="10" bestFit="1" customWidth="1"/>
  </cols>
  <sheetData>
    <row r="1" spans="1:15" ht="12.75">
      <c r="A1" t="s">
        <v>17</v>
      </c>
      <c r="E1" t="s">
        <v>29</v>
      </c>
      <c r="G1" s="34">
        <v>38504</v>
      </c>
      <c r="H1" s="10"/>
      <c r="N1" s="10"/>
      <c r="O1"/>
    </row>
    <row r="2" spans="1:15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  <c r="O2"/>
    </row>
    <row r="3" spans="3:15" ht="12.75">
      <c r="C3" s="52" t="s">
        <v>28</v>
      </c>
      <c r="D3" s="53"/>
      <c r="E3" s="53"/>
      <c r="F3" s="53"/>
      <c r="G3" s="53"/>
      <c r="H3" s="53"/>
      <c r="I3" s="55"/>
      <c r="J3" s="3"/>
      <c r="N3" s="10"/>
      <c r="O3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11457623</v>
      </c>
      <c r="E6" s="45">
        <v>228011.47</v>
      </c>
      <c r="F6" s="4"/>
      <c r="G6" s="12">
        <v>12.83</v>
      </c>
      <c r="H6" s="33">
        <f aca="true" t="shared" si="0" ref="H6:H11">+I6/G6</f>
        <v>15298.567420109119</v>
      </c>
      <c r="I6" s="10">
        <v>196280.62</v>
      </c>
      <c r="J6" s="4"/>
      <c r="K6" s="14">
        <v>0.0041</v>
      </c>
      <c r="L6" s="23">
        <f aca="true" t="shared" si="1" ref="L6:L11">+D6*K6</f>
        <v>46976.2543</v>
      </c>
      <c r="M6" s="23"/>
      <c r="N6" s="14">
        <v>0.0039</v>
      </c>
      <c r="O6" s="23">
        <f aca="true" t="shared" si="2" ref="O6:O11">+D6*N6</f>
        <v>44684.729699999996</v>
      </c>
    </row>
    <row r="7" spans="1:15" ht="12.75">
      <c r="A7" t="s">
        <v>5</v>
      </c>
      <c r="B7" t="s">
        <v>3</v>
      </c>
      <c r="C7" s="11">
        <v>0.0164</v>
      </c>
      <c r="D7" s="29">
        <v>3109036</v>
      </c>
      <c r="E7" s="45">
        <f>50988.21</f>
        <v>50988.21</v>
      </c>
      <c r="F7" s="5"/>
      <c r="G7" s="13">
        <v>30.67</v>
      </c>
      <c r="H7" s="33">
        <f t="shared" si="0"/>
        <v>1096.9915226605804</v>
      </c>
      <c r="I7" s="10">
        <v>33644.73</v>
      </c>
      <c r="J7" s="5"/>
      <c r="K7" s="14">
        <v>0.0041</v>
      </c>
      <c r="L7" s="23">
        <f t="shared" si="1"/>
        <v>12747.047600000002</v>
      </c>
      <c r="M7" s="23"/>
      <c r="N7" s="14">
        <v>0.0034</v>
      </c>
      <c r="O7" s="23">
        <f t="shared" si="2"/>
        <v>10570.722399999999</v>
      </c>
    </row>
    <row r="8" spans="1:15" ht="12.75">
      <c r="A8" t="s">
        <v>6</v>
      </c>
      <c r="B8" t="s">
        <v>9</v>
      </c>
      <c r="C8" s="11">
        <v>3.6598</v>
      </c>
      <c r="D8" s="29">
        <f>12466.05+32731.69+2110.027</f>
        <v>47307.767</v>
      </c>
      <c r="E8" s="45">
        <f>45623.22+119791.39+7722.31</f>
        <v>173136.91999999998</v>
      </c>
      <c r="F8" s="4"/>
      <c r="G8" s="12">
        <v>194.49</v>
      </c>
      <c r="H8" s="33">
        <f t="shared" si="0"/>
        <v>175.33405316468713</v>
      </c>
      <c r="I8" s="10">
        <v>34100.72</v>
      </c>
      <c r="J8" s="4"/>
      <c r="K8" s="14">
        <v>1.6336</v>
      </c>
      <c r="L8" s="23">
        <f t="shared" si="1"/>
        <v>77281.9681712</v>
      </c>
      <c r="M8" s="23"/>
      <c r="N8" s="14">
        <v>0.3793</v>
      </c>
      <c r="O8" s="23">
        <f t="shared" si="2"/>
        <v>17943.8360231</v>
      </c>
    </row>
    <row r="9" spans="1:15" ht="12.75">
      <c r="A9" t="s">
        <v>7</v>
      </c>
      <c r="B9" t="s">
        <v>9</v>
      </c>
      <c r="C9" s="11">
        <v>8.1465</v>
      </c>
      <c r="D9" s="29">
        <v>18.357</v>
      </c>
      <c r="E9" s="45">
        <f>+C9*D9</f>
        <v>149.5453005</v>
      </c>
      <c r="F9" s="5"/>
      <c r="G9" s="13">
        <v>2.57</v>
      </c>
      <c r="H9" s="33">
        <f t="shared" si="0"/>
        <v>46.3307392996109</v>
      </c>
      <c r="I9" s="10">
        <v>119.07</v>
      </c>
      <c r="J9" s="5"/>
      <c r="K9" s="14">
        <v>0.615</v>
      </c>
      <c r="L9" s="23">
        <f t="shared" si="1"/>
        <v>11.289555</v>
      </c>
      <c r="M9" s="23"/>
      <c r="N9" s="14">
        <v>2.3721</v>
      </c>
      <c r="O9" s="23">
        <f t="shared" si="2"/>
        <v>43.5446397</v>
      </c>
    </row>
    <row r="10" spans="1:15" ht="12.75">
      <c r="A10" t="s">
        <v>8</v>
      </c>
      <c r="B10" t="s">
        <v>9</v>
      </c>
      <c r="C10" s="11">
        <v>7.3894</v>
      </c>
      <c r="D10" s="29">
        <v>568.94</v>
      </c>
      <c r="E10" s="45">
        <f>+C10*D10</f>
        <v>4204.125236000001</v>
      </c>
      <c r="F10" s="5"/>
      <c r="G10" s="13">
        <v>0.58</v>
      </c>
      <c r="H10" s="33">
        <f t="shared" si="0"/>
        <v>3970.3448275862074</v>
      </c>
      <c r="I10" s="10">
        <v>2302.8</v>
      </c>
      <c r="J10" s="5"/>
      <c r="K10" s="14">
        <v>2.3847</v>
      </c>
      <c r="L10" s="23">
        <f t="shared" si="1"/>
        <v>1356.751218</v>
      </c>
      <c r="M10" s="23"/>
      <c r="N10" s="14">
        <v>1.5625</v>
      </c>
      <c r="O10" s="23">
        <f t="shared" si="2"/>
        <v>888.9687500000001</v>
      </c>
    </row>
    <row r="11" spans="1:15" ht="12.75">
      <c r="A11" t="s">
        <v>10</v>
      </c>
      <c r="B11" t="s">
        <v>3</v>
      </c>
      <c r="C11" s="11">
        <v>0.0199</v>
      </c>
      <c r="D11" s="29">
        <v>141993</v>
      </c>
      <c r="E11" s="45">
        <f>2825.67</f>
        <v>2825.67</v>
      </c>
      <c r="F11" s="4"/>
      <c r="G11" s="12">
        <v>30.67</v>
      </c>
      <c r="H11" s="33">
        <f t="shared" si="0"/>
        <v>156.99999999999997</v>
      </c>
      <c r="I11" s="10">
        <v>4815.19</v>
      </c>
      <c r="J11" s="4"/>
      <c r="K11" s="14">
        <v>0.0041</v>
      </c>
      <c r="L11" s="23">
        <f t="shared" si="1"/>
        <v>582.1713000000001</v>
      </c>
      <c r="M11" s="23"/>
      <c r="N11" s="14">
        <v>0.0069</v>
      </c>
      <c r="O11" s="23">
        <f t="shared" si="2"/>
        <v>979.7517</v>
      </c>
    </row>
    <row r="12" spans="1:15" ht="12.75">
      <c r="A12" t="s">
        <v>15</v>
      </c>
      <c r="E12" s="17">
        <f>SUM(E6:E11)</f>
        <v>459315.94053649995</v>
      </c>
      <c r="F12" s="3"/>
      <c r="G12" s="8"/>
      <c r="H12" s="8"/>
      <c r="I12" s="17">
        <f>SUM(I6:I11)</f>
        <v>271263.13</v>
      </c>
      <c r="J12" s="3"/>
      <c r="K12" s="16"/>
      <c r="L12" s="17">
        <f>SUM(L6:L11)</f>
        <v>138955.48214419998</v>
      </c>
      <c r="M12" s="19"/>
      <c r="N12" s="44"/>
      <c r="O12" s="17">
        <f>SUM(O6:O11)</f>
        <v>75111.55321279999</v>
      </c>
    </row>
    <row r="13" spans="5:15" ht="12.75">
      <c r="E13"/>
      <c r="F13" s="3"/>
      <c r="G13" s="8"/>
      <c r="H13" s="8"/>
      <c r="I13" s="8"/>
      <c r="J13" s="3"/>
      <c r="N13" s="10"/>
      <c r="O13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f>1613-901</f>
        <v>712</v>
      </c>
      <c r="E16" s="10">
        <f>20.16-11.24</f>
        <v>8.92</v>
      </c>
      <c r="F16" s="3"/>
      <c r="G16" s="12">
        <v>13.25</v>
      </c>
      <c r="H16" s="33">
        <f aca="true" t="shared" si="3" ref="H16:H21">I16/G16</f>
        <v>12.969056603773586</v>
      </c>
      <c r="I16" s="10">
        <f>144.9+26.94</f>
        <v>171.84</v>
      </c>
      <c r="J16" s="3"/>
      <c r="K16" s="16">
        <v>0.001521</v>
      </c>
      <c r="L16" s="23">
        <f aca="true" t="shared" si="4" ref="L16:L21">+$D16*K16</f>
        <v>1.082952</v>
      </c>
      <c r="M16" s="18"/>
      <c r="N16" s="42">
        <v>0.003957</v>
      </c>
      <c r="O16" s="23">
        <f aca="true" t="shared" si="5" ref="O16:O21">+$D16*N16</f>
        <v>2.8173839999999997</v>
      </c>
    </row>
    <row r="17" spans="1:15" ht="12.75">
      <c r="A17" t="s">
        <v>5</v>
      </c>
      <c r="B17" t="s">
        <v>3</v>
      </c>
      <c r="C17" s="16">
        <v>0.0095</v>
      </c>
      <c r="D17" s="28">
        <f>1860+2120</f>
        <v>3980</v>
      </c>
      <c r="E17" s="10">
        <f>17.67+20.13</f>
        <v>37.8</v>
      </c>
      <c r="F17" s="3"/>
      <c r="G17" s="13">
        <v>32.21</v>
      </c>
      <c r="H17" s="33">
        <f t="shared" si="3"/>
        <v>6.666563179136914</v>
      </c>
      <c r="I17" s="10">
        <f>92.33+122.4</f>
        <v>214.73000000000002</v>
      </c>
      <c r="J17" s="3"/>
      <c r="K17" s="16">
        <v>0.001521</v>
      </c>
      <c r="L17" s="23">
        <f t="shared" si="4"/>
        <v>6.05358</v>
      </c>
      <c r="M17" s="18"/>
      <c r="N17" s="42">
        <v>0.003281</v>
      </c>
      <c r="O17" s="23">
        <f t="shared" si="5"/>
        <v>13.05838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>+C18*D18</f>
        <v>0</v>
      </c>
      <c r="F18" s="3"/>
      <c r="G18" s="12">
        <v>204.28</v>
      </c>
      <c r="H18" s="33">
        <f t="shared" si="3"/>
        <v>0</v>
      </c>
      <c r="J18" s="3"/>
      <c r="K18" s="16">
        <v>0.703918</v>
      </c>
      <c r="L18" s="23">
        <f t="shared" si="4"/>
        <v>0</v>
      </c>
      <c r="M18" s="18"/>
      <c r="N18" s="42">
        <v>0.403767</v>
      </c>
      <c r="O18" s="23">
        <f t="shared" si="5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>+C19*D19</f>
        <v>0</v>
      </c>
      <c r="F19" s="3"/>
      <c r="G19" s="13">
        <v>2.96</v>
      </c>
      <c r="H19" s="33">
        <f t="shared" si="3"/>
        <v>0</v>
      </c>
      <c r="J19" s="3"/>
      <c r="K19" s="16">
        <v>0.286512</v>
      </c>
      <c r="L19" s="23">
        <f t="shared" si="4"/>
        <v>0</v>
      </c>
      <c r="M19" s="18"/>
      <c r="N19" s="42">
        <v>1.864886</v>
      </c>
      <c r="O19" s="23">
        <f t="shared" si="5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>+C20*D20</f>
        <v>0</v>
      </c>
      <c r="F20" s="3"/>
      <c r="G20" s="13">
        <v>0.59</v>
      </c>
      <c r="H20" s="33">
        <f t="shared" si="3"/>
        <v>0</v>
      </c>
      <c r="J20" s="3"/>
      <c r="K20" s="16">
        <v>0.478809</v>
      </c>
      <c r="L20" s="23">
        <f t="shared" si="4"/>
        <v>0</v>
      </c>
      <c r="M20" s="18"/>
      <c r="N20" s="42">
        <v>1.188604</v>
      </c>
      <c r="O20" s="23">
        <f t="shared" si="5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>+C21*D21</f>
        <v>0</v>
      </c>
      <c r="F21" s="3"/>
      <c r="G21" s="12">
        <f>+G17</f>
        <v>32.21</v>
      </c>
      <c r="H21" s="33">
        <f t="shared" si="3"/>
        <v>0</v>
      </c>
      <c r="J21" s="3"/>
      <c r="K21" s="16">
        <v>0.001521</v>
      </c>
      <c r="L21" s="23">
        <f t="shared" si="4"/>
        <v>0</v>
      </c>
      <c r="M21" s="18"/>
      <c r="N21" s="42">
        <f>+N17</f>
        <v>0.003281</v>
      </c>
      <c r="O21" s="23">
        <f t="shared" si="5"/>
        <v>0</v>
      </c>
    </row>
    <row r="22" spans="1:15" ht="12.75">
      <c r="A22" t="s">
        <v>15</v>
      </c>
      <c r="E22" s="17">
        <f>SUM(E16:E21)</f>
        <v>46.72</v>
      </c>
      <c r="F22" s="3"/>
      <c r="G22" s="8"/>
      <c r="H22" s="8"/>
      <c r="I22" s="17">
        <f>SUM(I16:I21)</f>
        <v>386.57000000000005</v>
      </c>
      <c r="J22" s="3"/>
      <c r="K22" s="16"/>
      <c r="L22" s="17">
        <f>SUM(L16:L21)</f>
        <v>7.136532</v>
      </c>
      <c r="M22" s="19"/>
      <c r="N22" s="42"/>
      <c r="O22" s="17">
        <f>SUM(O16:O21)</f>
        <v>15.875764</v>
      </c>
    </row>
    <row r="23" spans="5:15" ht="12.75">
      <c r="E23"/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459362.6605364999</v>
      </c>
      <c r="F24" s="3"/>
      <c r="G24" s="8"/>
      <c r="H24" s="8"/>
      <c r="I24" s="20">
        <f>+I12+I22</f>
        <v>271649.7</v>
      </c>
      <c r="J24" s="3"/>
      <c r="K24" s="16"/>
      <c r="L24" s="24">
        <f>+L12+L22</f>
        <v>138962.61867619999</v>
      </c>
      <c r="M24" s="16"/>
      <c r="N24" s="23"/>
      <c r="O24" s="24">
        <f>+O12+O22</f>
        <v>75127.42897679999</v>
      </c>
    </row>
    <row r="25" spans="5:15" ht="13.5" thickTop="1">
      <c r="E25"/>
      <c r="F25" s="3"/>
      <c r="G25" s="8"/>
      <c r="H25" s="8"/>
      <c r="I25" s="8"/>
      <c r="J25" s="3"/>
      <c r="N25" s="10"/>
      <c r="O25"/>
    </row>
    <row r="26" spans="5:15" ht="12.75">
      <c r="E26"/>
      <c r="F26" s="3"/>
      <c r="G26" s="8"/>
      <c r="H26" s="8"/>
      <c r="I26" s="19">
        <f>+E24+I24</f>
        <v>731012.3605364999</v>
      </c>
      <c r="J26" s="3"/>
      <c r="N26" s="10"/>
      <c r="O26"/>
    </row>
    <row r="27" spans="1:15" ht="12.75">
      <c r="A27" s="2" t="s">
        <v>4</v>
      </c>
      <c r="E27"/>
      <c r="F27" s="3"/>
      <c r="G27" s="8"/>
      <c r="H27" s="8"/>
      <c r="I27" s="8"/>
      <c r="J27" s="3"/>
      <c r="N27" s="10"/>
      <c r="O27"/>
    </row>
    <row r="28" spans="1:15" ht="12.75">
      <c r="A28" s="27" t="s">
        <v>36</v>
      </c>
      <c r="E28"/>
      <c r="F28" s="3"/>
      <c r="G28" s="8"/>
      <c r="H28" s="8"/>
      <c r="I28" s="8"/>
      <c r="J28" s="3"/>
      <c r="N28" s="10"/>
      <c r="O28"/>
    </row>
    <row r="29" spans="1:15" ht="12.75">
      <c r="A29" t="s">
        <v>30</v>
      </c>
      <c r="E29"/>
      <c r="F29" s="3"/>
      <c r="G29" s="8"/>
      <c r="H29" s="8"/>
      <c r="I29" s="8"/>
      <c r="J29" s="3"/>
      <c r="N29" s="10"/>
      <c r="O29"/>
    </row>
    <row r="30" spans="1:15" ht="12.75">
      <c r="A30" t="s">
        <v>44</v>
      </c>
      <c r="E30"/>
      <c r="F30" s="3"/>
      <c r="G30" s="8"/>
      <c r="H30" s="8"/>
      <c r="I30" s="8"/>
      <c r="J30" s="3"/>
      <c r="N30" s="10"/>
      <c r="O30"/>
    </row>
    <row r="31" spans="1:10" ht="12.75">
      <c r="A31" t="s">
        <v>22</v>
      </c>
      <c r="F31" s="3"/>
      <c r="G31" s="8"/>
      <c r="H31" s="8"/>
      <c r="I31" s="8"/>
      <c r="J31" s="3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5" footer="0.21"/>
  <pageSetup fitToHeight="1" fitToWidth="1" horizontalDpi="600" verticalDpi="600" orientation="landscape" scale="90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4" max="4" width="14.00390625" style="0" bestFit="1" customWidth="1"/>
    <col min="5" max="5" width="11.28125" style="10" bestFit="1" customWidth="1"/>
    <col min="6" max="6" width="2.140625" style="0" customWidth="1"/>
    <col min="8" max="8" width="9.28125" style="0" bestFit="1" customWidth="1"/>
    <col min="9" max="9" width="11.28125" style="10" bestFit="1" customWidth="1"/>
    <col min="10" max="10" width="1.57421875" style="0" customWidth="1"/>
    <col min="12" max="12" width="11.28125" style="0" bestFit="1" customWidth="1"/>
    <col min="14" max="14" width="9.7109375" style="0" bestFit="1" customWidth="1"/>
    <col min="15" max="15" width="10.28125" style="0" bestFit="1" customWidth="1"/>
  </cols>
  <sheetData>
    <row r="1" spans="1:14" ht="12.75">
      <c r="A1" t="s">
        <v>17</v>
      </c>
      <c r="E1" t="s">
        <v>29</v>
      </c>
      <c r="G1" s="34">
        <v>38534</v>
      </c>
      <c r="H1" s="10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15770661</v>
      </c>
      <c r="E6" s="45">
        <v>313840.84</v>
      </c>
      <c r="F6" s="4"/>
      <c r="G6" s="12">
        <v>12.83</v>
      </c>
      <c r="H6" s="33">
        <f aca="true" t="shared" si="0" ref="H6:H11">+I6/G6</f>
        <v>15123.501169134839</v>
      </c>
      <c r="I6" s="10">
        <v>194034.52</v>
      </c>
      <c r="J6" s="4"/>
      <c r="K6" s="14">
        <v>0.0041</v>
      </c>
      <c r="L6" s="23">
        <f aca="true" t="shared" si="1" ref="L6:L11">+D6*K6</f>
        <v>64659.710100000004</v>
      </c>
      <c r="M6" s="23"/>
      <c r="N6" s="14">
        <v>0.0039</v>
      </c>
      <c r="O6" s="23">
        <f aca="true" t="shared" si="2" ref="O6:O11">+D6*N6</f>
        <v>61505.5779</v>
      </c>
    </row>
    <row r="7" spans="1:15" ht="12.75">
      <c r="A7" t="s">
        <v>5</v>
      </c>
      <c r="B7" t="s">
        <v>3</v>
      </c>
      <c r="C7" s="11">
        <v>0.0164</v>
      </c>
      <c r="D7" s="29">
        <f>3906141</f>
        <v>3906141</v>
      </c>
      <c r="E7" s="45">
        <f>64060.56</f>
        <v>64060.56</v>
      </c>
      <c r="F7" s="5"/>
      <c r="G7" s="13">
        <v>30.67</v>
      </c>
      <c r="H7" s="33">
        <f t="shared" si="0"/>
        <v>1177.488425171177</v>
      </c>
      <c r="I7" s="10">
        <v>36113.57</v>
      </c>
      <c r="J7" s="5"/>
      <c r="K7" s="14">
        <v>0.0041</v>
      </c>
      <c r="L7" s="23">
        <f t="shared" si="1"/>
        <v>16015.178100000001</v>
      </c>
      <c r="M7" s="23"/>
      <c r="N7" s="14">
        <v>0.0034</v>
      </c>
      <c r="O7" s="23">
        <f t="shared" si="2"/>
        <v>13280.8794</v>
      </c>
    </row>
    <row r="8" spans="1:15" ht="12.75">
      <c r="A8" t="s">
        <v>6</v>
      </c>
      <c r="B8" t="s">
        <v>9</v>
      </c>
      <c r="C8" s="11">
        <v>3.6598</v>
      </c>
      <c r="D8" s="29">
        <f>1942.201+12508.77+32981.11+2254.827</f>
        <v>49686.908</v>
      </c>
      <c r="E8" s="45">
        <f>7108.09+45779.6+120704.31+8252.25</f>
        <v>181844.25</v>
      </c>
      <c r="F8" s="4"/>
      <c r="G8" s="12">
        <v>194.49</v>
      </c>
      <c r="H8" s="33">
        <f t="shared" si="0"/>
        <v>186.46675921641213</v>
      </c>
      <c r="I8" s="10">
        <f>7831.45+28434.47</f>
        <v>36265.92</v>
      </c>
      <c r="J8" s="4"/>
      <c r="K8" s="14">
        <v>1.6336</v>
      </c>
      <c r="L8" s="23">
        <f t="shared" si="1"/>
        <v>81168.5329088</v>
      </c>
      <c r="M8" s="23"/>
      <c r="N8" s="14">
        <v>0.3793</v>
      </c>
      <c r="O8" s="23">
        <f t="shared" si="2"/>
        <v>18846.2442044</v>
      </c>
    </row>
    <row r="9" spans="1:15" ht="12.75">
      <c r="A9" t="s">
        <v>7</v>
      </c>
      <c r="B9" t="s">
        <v>9</v>
      </c>
      <c r="C9" s="11">
        <v>8.1465</v>
      </c>
      <c r="D9" s="29">
        <v>19.081</v>
      </c>
      <c r="E9" s="45">
        <v>155.42</v>
      </c>
      <c r="F9" s="5"/>
      <c r="G9" s="13">
        <v>2.57</v>
      </c>
      <c r="H9" s="33">
        <f t="shared" si="0"/>
        <v>48.39299610894942</v>
      </c>
      <c r="I9" s="10">
        <v>124.37</v>
      </c>
      <c r="J9" s="5"/>
      <c r="K9" s="14">
        <v>0.615</v>
      </c>
      <c r="L9" s="23">
        <f t="shared" si="1"/>
        <v>11.734815</v>
      </c>
      <c r="M9" s="23"/>
      <c r="N9" s="14">
        <v>2.3721</v>
      </c>
      <c r="O9" s="23">
        <f t="shared" si="2"/>
        <v>45.2620401</v>
      </c>
    </row>
    <row r="10" spans="1:15" ht="12.75">
      <c r="A10" t="s">
        <v>8</v>
      </c>
      <c r="B10" t="s">
        <v>9</v>
      </c>
      <c r="C10" s="11">
        <v>7.3894</v>
      </c>
      <c r="D10" s="29">
        <v>532.24</v>
      </c>
      <c r="E10" s="45">
        <v>3932.93</v>
      </c>
      <c r="F10" s="5"/>
      <c r="G10" s="13">
        <v>0.58</v>
      </c>
      <c r="H10" s="33">
        <f t="shared" si="0"/>
        <v>3705.6551724137935</v>
      </c>
      <c r="I10" s="10">
        <v>2149.28</v>
      </c>
      <c r="J10" s="5"/>
      <c r="K10" s="14">
        <v>2.3847</v>
      </c>
      <c r="L10" s="23">
        <f t="shared" si="1"/>
        <v>1269.232728</v>
      </c>
      <c r="M10" s="23"/>
      <c r="N10" s="14">
        <v>1.5625</v>
      </c>
      <c r="O10" s="23">
        <f t="shared" si="2"/>
        <v>831.625</v>
      </c>
    </row>
    <row r="11" spans="1:15" ht="12.75">
      <c r="A11" t="s">
        <v>10</v>
      </c>
      <c r="B11" t="s">
        <v>3</v>
      </c>
      <c r="C11" s="11">
        <v>0.0199</v>
      </c>
      <c r="D11" s="29">
        <v>141993</v>
      </c>
      <c r="E11" s="45">
        <v>2825.67</v>
      </c>
      <c r="F11" s="4"/>
      <c r="G11" s="12">
        <v>30.67</v>
      </c>
      <c r="H11" s="33">
        <f t="shared" si="0"/>
        <v>157.0668405608086</v>
      </c>
      <c r="I11" s="10">
        <v>4817.24</v>
      </c>
      <c r="J11" s="4"/>
      <c r="K11" s="14">
        <v>0.0041</v>
      </c>
      <c r="L11" s="23">
        <f t="shared" si="1"/>
        <v>582.1713000000001</v>
      </c>
      <c r="M11" s="23"/>
      <c r="N11" s="14">
        <v>0.0069</v>
      </c>
      <c r="O11" s="23">
        <f t="shared" si="2"/>
        <v>979.7517</v>
      </c>
    </row>
    <row r="12" spans="1:15" ht="12.75">
      <c r="A12" t="s">
        <v>15</v>
      </c>
      <c r="E12" s="17">
        <f>SUM(E6:E11)</f>
        <v>566659.6700000002</v>
      </c>
      <c r="F12" s="3"/>
      <c r="G12" s="8"/>
      <c r="H12" s="8"/>
      <c r="I12" s="17">
        <f>SUM(I6:I11)</f>
        <v>273504.9</v>
      </c>
      <c r="J12" s="3"/>
      <c r="K12" s="16"/>
      <c r="L12" s="17">
        <f>SUM(L6:L11)</f>
        <v>163706.55995179998</v>
      </c>
      <c r="M12" s="19"/>
      <c r="N12" s="44"/>
      <c r="O12" s="17">
        <f>SUM(O6:O11)</f>
        <v>95489.3402445</v>
      </c>
    </row>
    <row r="13" spans="5:14" ht="12.75">
      <c r="E13"/>
      <c r="F13" s="3"/>
      <c r="G13" s="8"/>
      <c r="H13" s="8"/>
      <c r="I13" s="8"/>
      <c r="J13" s="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v>1008</v>
      </c>
      <c r="E16" s="10">
        <v>12.61</v>
      </c>
      <c r="F16" s="3"/>
      <c r="G16" s="12">
        <v>13.25</v>
      </c>
      <c r="H16" s="33">
        <f aca="true" t="shared" si="3" ref="H16:H21">I16/G16</f>
        <v>2.4671698113207547</v>
      </c>
      <c r="I16" s="10">
        <v>32.69</v>
      </c>
      <c r="J16" s="3"/>
      <c r="K16" s="16">
        <v>0.001521</v>
      </c>
      <c r="L16" s="23">
        <f aca="true" t="shared" si="4" ref="L16:L21">+$D16*K16</f>
        <v>1.533168</v>
      </c>
      <c r="M16" s="18"/>
      <c r="N16" s="42">
        <v>0.003957</v>
      </c>
      <c r="O16" s="23">
        <f aca="true" t="shared" si="5" ref="O16:O21">+$D16*N16</f>
        <v>3.9886559999999998</v>
      </c>
    </row>
    <row r="17" spans="1:15" ht="12.75">
      <c r="A17" t="s">
        <v>5</v>
      </c>
      <c r="B17" t="s">
        <v>3</v>
      </c>
      <c r="C17" s="16">
        <v>0.0095</v>
      </c>
      <c r="D17" s="28">
        <f>26226+24198</f>
        <v>50424</v>
      </c>
      <c r="E17" s="10">
        <f>249.15+229.88</f>
        <v>479.03</v>
      </c>
      <c r="F17" s="3"/>
      <c r="G17" s="13">
        <v>32.21</v>
      </c>
      <c r="H17" s="33">
        <f t="shared" si="3"/>
        <v>0</v>
      </c>
      <c r="J17" s="3"/>
      <c r="K17" s="16">
        <v>0.001521</v>
      </c>
      <c r="L17" s="23">
        <f t="shared" si="4"/>
        <v>76.694904</v>
      </c>
      <c r="M17" s="18"/>
      <c r="N17" s="42">
        <v>0.003281</v>
      </c>
      <c r="O17" s="23">
        <f t="shared" si="5"/>
        <v>165.441144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>+C18*D18</f>
        <v>0</v>
      </c>
      <c r="F18" s="3"/>
      <c r="G18" s="12">
        <v>204.28</v>
      </c>
      <c r="H18" s="33">
        <f t="shared" si="3"/>
        <v>0</v>
      </c>
      <c r="J18" s="3"/>
      <c r="K18" s="16">
        <v>0.703918</v>
      </c>
      <c r="L18" s="23">
        <f t="shared" si="4"/>
        <v>0</v>
      </c>
      <c r="M18" s="18"/>
      <c r="N18" s="42">
        <v>0.403767</v>
      </c>
      <c r="O18" s="23">
        <f t="shared" si="5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>+C19*D19</f>
        <v>0</v>
      </c>
      <c r="F19" s="3"/>
      <c r="G19" s="13">
        <v>2.96</v>
      </c>
      <c r="H19" s="33">
        <f t="shared" si="3"/>
        <v>0</v>
      </c>
      <c r="J19" s="3"/>
      <c r="K19" s="16">
        <v>0.286512</v>
      </c>
      <c r="L19" s="23">
        <f t="shared" si="4"/>
        <v>0</v>
      </c>
      <c r="M19" s="18"/>
      <c r="N19" s="42">
        <v>1.864886</v>
      </c>
      <c r="O19" s="23">
        <f t="shared" si="5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>+C20*D20</f>
        <v>0</v>
      </c>
      <c r="F20" s="3"/>
      <c r="G20" s="13">
        <v>0.59</v>
      </c>
      <c r="H20" s="33">
        <f t="shared" si="3"/>
        <v>0</v>
      </c>
      <c r="J20" s="3"/>
      <c r="K20" s="16">
        <v>0.478809</v>
      </c>
      <c r="L20" s="23">
        <f t="shared" si="4"/>
        <v>0</v>
      </c>
      <c r="M20" s="18"/>
      <c r="N20" s="42">
        <v>1.188604</v>
      </c>
      <c r="O20" s="23">
        <f t="shared" si="5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>+C21*D21</f>
        <v>0</v>
      </c>
      <c r="F21" s="3"/>
      <c r="G21" s="12">
        <f>+G17</f>
        <v>32.21</v>
      </c>
      <c r="H21" s="33">
        <f t="shared" si="3"/>
        <v>0</v>
      </c>
      <c r="J21" s="3"/>
      <c r="K21" s="16">
        <v>0.001521</v>
      </c>
      <c r="L21" s="23">
        <f t="shared" si="4"/>
        <v>0</v>
      </c>
      <c r="M21" s="18"/>
      <c r="N21" s="42">
        <f>+N17</f>
        <v>0.003281</v>
      </c>
      <c r="O21" s="23">
        <f t="shared" si="5"/>
        <v>0</v>
      </c>
    </row>
    <row r="22" spans="1:15" ht="12.75">
      <c r="A22" t="s">
        <v>15</v>
      </c>
      <c r="E22" s="17">
        <f>SUM(E16:E21)</f>
        <v>491.64</v>
      </c>
      <c r="F22" s="3"/>
      <c r="G22" s="8"/>
      <c r="H22" s="8"/>
      <c r="I22" s="17">
        <f>SUM(I16:I21)</f>
        <v>32.69</v>
      </c>
      <c r="J22" s="3"/>
      <c r="K22" s="16"/>
      <c r="L22" s="17">
        <f>SUM(L16:L21)</f>
        <v>78.228072</v>
      </c>
      <c r="M22" s="19"/>
      <c r="N22" s="42"/>
      <c r="O22" s="17">
        <f>SUM(O16:O21)</f>
        <v>169.4298</v>
      </c>
    </row>
    <row r="23" spans="5:15" ht="12.75">
      <c r="E23"/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567151.3100000002</v>
      </c>
      <c r="F24" s="3"/>
      <c r="G24" s="8"/>
      <c r="H24" s="8"/>
      <c r="I24" s="20">
        <f>+I12+I22</f>
        <v>273537.59</v>
      </c>
      <c r="J24" s="3"/>
      <c r="K24" s="16"/>
      <c r="L24" s="24">
        <f>+L12+L22</f>
        <v>163784.78802379998</v>
      </c>
      <c r="M24" s="16"/>
      <c r="N24" s="23"/>
      <c r="O24" s="24">
        <f>+O12+O22</f>
        <v>95658.7700445</v>
      </c>
    </row>
    <row r="25" spans="5:14" ht="13.5" thickTop="1">
      <c r="E25"/>
      <c r="F25" s="3"/>
      <c r="G25" s="8"/>
      <c r="H25" s="8"/>
      <c r="I25" s="8"/>
      <c r="J25" s="3"/>
      <c r="N25" s="10"/>
    </row>
    <row r="26" spans="5:14" ht="12.75">
      <c r="E26"/>
      <c r="F26" s="3"/>
      <c r="G26" s="8"/>
      <c r="H26" s="8"/>
      <c r="I26" s="19">
        <f>+E24+I24</f>
        <v>840688.9000000001</v>
      </c>
      <c r="J26" s="3"/>
      <c r="N26" s="10"/>
    </row>
    <row r="27" spans="1:14" ht="12.75">
      <c r="A27" s="2" t="s">
        <v>4</v>
      </c>
      <c r="E27"/>
      <c r="F27" s="3"/>
      <c r="G27" s="8"/>
      <c r="H27" s="8"/>
      <c r="I27" s="8"/>
      <c r="J27" s="3"/>
      <c r="N27" s="10"/>
    </row>
    <row r="28" spans="1:14" ht="12.75">
      <c r="A28" s="27" t="s">
        <v>36</v>
      </c>
      <c r="E28"/>
      <c r="F28" s="3"/>
      <c r="G28" s="8"/>
      <c r="H28" s="8"/>
      <c r="I28" s="8"/>
      <c r="J28" s="3"/>
      <c r="N28" s="10"/>
    </row>
    <row r="29" spans="1:14" ht="12.75">
      <c r="A29" t="s">
        <v>30</v>
      </c>
      <c r="E29"/>
      <c r="F29" s="3"/>
      <c r="G29" s="8"/>
      <c r="H29" s="8"/>
      <c r="I29" s="8"/>
      <c r="J29" s="3"/>
      <c r="N29" s="10"/>
    </row>
    <row r="30" spans="1:14" ht="12.75">
      <c r="A30" t="s">
        <v>44</v>
      </c>
      <c r="E30"/>
      <c r="F30" s="3"/>
      <c r="G30" s="8"/>
      <c r="H30" s="8"/>
      <c r="I30" s="8"/>
      <c r="J30" s="3"/>
      <c r="N30" s="10"/>
    </row>
    <row r="31" spans="1:15" ht="12.75">
      <c r="A31" t="s">
        <v>22</v>
      </c>
      <c r="F31" s="3"/>
      <c r="G31" s="8"/>
      <c r="H31" s="8"/>
      <c r="I31" s="8"/>
      <c r="J31" s="3"/>
      <c r="O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19" footer="0.2"/>
  <pageSetup fitToHeight="1" fitToWidth="1" horizontalDpi="600" verticalDpi="600" orientation="landscape" scale="91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A2" sqref="A2"/>
    </sheetView>
  </sheetViews>
  <sheetFormatPr defaultColWidth="9.140625" defaultRowHeight="12.75"/>
  <cols>
    <col min="1" max="1" width="17.28125" style="0" customWidth="1"/>
    <col min="4" max="4" width="12.8515625" style="0" bestFit="1" customWidth="1"/>
    <col min="5" max="5" width="11.28125" style="0" bestFit="1" customWidth="1"/>
    <col min="6" max="6" width="1.57421875" style="0" customWidth="1"/>
    <col min="9" max="9" width="11.28125" style="0" bestFit="1" customWidth="1"/>
    <col min="10" max="10" width="1.7109375" style="0" customWidth="1"/>
    <col min="12" max="12" width="11.28125" style="0" bestFit="1" customWidth="1"/>
    <col min="14" max="14" width="9.7109375" style="0" bestFit="1" customWidth="1"/>
    <col min="15" max="15" width="11.28125" style="0" bestFit="1" customWidth="1"/>
  </cols>
  <sheetData>
    <row r="1" spans="1:14" ht="12.75">
      <c r="A1" t="s">
        <v>17</v>
      </c>
      <c r="E1" t="s">
        <v>29</v>
      </c>
      <c r="G1" s="34">
        <v>38565</v>
      </c>
      <c r="H1" s="10"/>
      <c r="I1" s="10"/>
      <c r="N1" s="10"/>
    </row>
    <row r="2" spans="1:14" ht="12.75">
      <c r="A2" t="s">
        <v>47</v>
      </c>
      <c r="E2" s="6"/>
      <c r="F2" s="3"/>
      <c r="G2" s="8"/>
      <c r="H2" s="8"/>
      <c r="I2" s="8"/>
      <c r="J2" s="3"/>
      <c r="K2" s="2" t="s">
        <v>19</v>
      </c>
      <c r="M2" s="16" t="s">
        <v>33</v>
      </c>
      <c r="N2" s="23"/>
    </row>
    <row r="3" spans="3:14" ht="12.75">
      <c r="C3" s="52" t="s">
        <v>28</v>
      </c>
      <c r="D3" s="53"/>
      <c r="E3" s="53"/>
      <c r="F3" s="53"/>
      <c r="G3" s="53"/>
      <c r="H3" s="53"/>
      <c r="I3" s="55"/>
      <c r="J3" s="3"/>
      <c r="N3" s="10"/>
    </row>
    <row r="4" spans="1:15" ht="12.75">
      <c r="A4" s="2" t="s">
        <v>43</v>
      </c>
      <c r="B4" s="49" t="s">
        <v>23</v>
      </c>
      <c r="C4" s="50"/>
      <c r="D4" s="50"/>
      <c r="E4" s="51"/>
      <c r="F4" s="3"/>
      <c r="G4" s="49" t="s">
        <v>24</v>
      </c>
      <c r="H4" s="50"/>
      <c r="I4" s="51"/>
      <c r="J4" s="7"/>
      <c r="K4" s="52" t="s">
        <v>18</v>
      </c>
      <c r="L4" s="53"/>
      <c r="M4" s="43"/>
      <c r="N4" s="52" t="s">
        <v>20</v>
      </c>
      <c r="O4" s="55"/>
    </row>
    <row r="5" spans="1:15" ht="12.75">
      <c r="A5" s="1" t="s">
        <v>0</v>
      </c>
      <c r="B5" s="21" t="s">
        <v>1</v>
      </c>
      <c r="C5" s="21" t="s">
        <v>14</v>
      </c>
      <c r="D5" s="21" t="s">
        <v>12</v>
      </c>
      <c r="E5" s="21" t="s">
        <v>26</v>
      </c>
      <c r="F5" s="21"/>
      <c r="G5" s="22" t="s">
        <v>14</v>
      </c>
      <c r="H5" s="22" t="s">
        <v>25</v>
      </c>
      <c r="I5" s="22" t="s">
        <v>32</v>
      </c>
      <c r="J5" s="3"/>
      <c r="K5" s="21" t="s">
        <v>14</v>
      </c>
      <c r="L5" s="21" t="s">
        <v>13</v>
      </c>
      <c r="N5" s="21" t="s">
        <v>34</v>
      </c>
      <c r="O5" s="21" t="s">
        <v>13</v>
      </c>
    </row>
    <row r="6" spans="1:15" ht="12.75">
      <c r="A6" t="s">
        <v>2</v>
      </c>
      <c r="B6" t="s">
        <v>3</v>
      </c>
      <c r="C6" s="11">
        <v>0.0199</v>
      </c>
      <c r="D6" s="29">
        <v>18037953</v>
      </c>
      <c r="E6" s="45">
        <v>358960.51</v>
      </c>
      <c r="F6" s="4"/>
      <c r="G6" s="12">
        <v>12.83</v>
      </c>
      <c r="H6" s="33">
        <f aca="true" t="shared" si="0" ref="H6:H11">+I6/G6</f>
        <v>14478.328916601715</v>
      </c>
      <c r="I6" s="10">
        <v>185756.96</v>
      </c>
      <c r="J6" s="4"/>
      <c r="K6" s="14">
        <v>0.0041</v>
      </c>
      <c r="L6" s="23">
        <f aca="true" t="shared" si="1" ref="L6:L11">+D6*K6</f>
        <v>73955.6073</v>
      </c>
      <c r="M6" s="23"/>
      <c r="N6" s="14">
        <v>0.0039</v>
      </c>
      <c r="O6" s="23">
        <f aca="true" t="shared" si="2" ref="O6:O11">+D6*N6</f>
        <v>70348.0167</v>
      </c>
    </row>
    <row r="7" spans="1:15" ht="12.75">
      <c r="A7" t="s">
        <v>5</v>
      </c>
      <c r="B7" t="s">
        <v>3</v>
      </c>
      <c r="C7" s="11">
        <v>0.0164</v>
      </c>
      <c r="D7" s="29">
        <v>3849290</v>
      </c>
      <c r="E7" s="45">
        <v>63128.32</v>
      </c>
      <c r="F7" s="5"/>
      <c r="G7" s="13">
        <v>30.67</v>
      </c>
      <c r="H7" s="33">
        <f t="shared" si="0"/>
        <v>1116.2194326703618</v>
      </c>
      <c r="I7" s="10">
        <v>34234.45</v>
      </c>
      <c r="J7" s="5"/>
      <c r="K7" s="14">
        <v>0.0041</v>
      </c>
      <c r="L7" s="23">
        <f t="shared" si="1"/>
        <v>15782.089000000002</v>
      </c>
      <c r="M7" s="23"/>
      <c r="N7" s="14">
        <v>0.0034</v>
      </c>
      <c r="O7" s="23">
        <f t="shared" si="2"/>
        <v>13087.586</v>
      </c>
    </row>
    <row r="8" spans="1:15" ht="12.75">
      <c r="A8" t="s">
        <v>6</v>
      </c>
      <c r="B8" t="s">
        <v>9</v>
      </c>
      <c r="C8" s="11">
        <v>3.6598</v>
      </c>
      <c r="D8" s="46">
        <f>34142.37+11974.96+2189.373</f>
        <v>48306.703</v>
      </c>
      <c r="E8" s="45">
        <f>43825.97+124954.31+8012.67</f>
        <v>176792.95</v>
      </c>
      <c r="F8" s="4"/>
      <c r="G8" s="12">
        <v>194.49</v>
      </c>
      <c r="H8" s="33">
        <f t="shared" si="0"/>
        <v>181.60028793254153</v>
      </c>
      <c r="I8" s="10">
        <v>35319.44</v>
      </c>
      <c r="J8" s="4"/>
      <c r="K8" s="14">
        <v>1.6336</v>
      </c>
      <c r="L8" s="23">
        <f t="shared" si="1"/>
        <v>78913.8300208</v>
      </c>
      <c r="M8" s="23"/>
      <c r="N8" s="14">
        <v>0.3793</v>
      </c>
      <c r="O8" s="23">
        <f t="shared" si="2"/>
        <v>18322.7324479</v>
      </c>
    </row>
    <row r="9" spans="1:15" ht="12.75">
      <c r="A9" t="s">
        <v>7</v>
      </c>
      <c r="B9" t="s">
        <v>9</v>
      </c>
      <c r="C9" s="11">
        <v>8.1465</v>
      </c>
      <c r="D9" s="29">
        <v>18.261</v>
      </c>
      <c r="E9" s="45">
        <f>+C9*D9</f>
        <v>148.76323649999998</v>
      </c>
      <c r="F9" s="5"/>
      <c r="G9" s="13">
        <v>2.57</v>
      </c>
      <c r="H9" s="33">
        <f t="shared" si="0"/>
        <v>44.61867704280156</v>
      </c>
      <c r="I9" s="10">
        <v>114.67</v>
      </c>
      <c r="J9" s="5"/>
      <c r="K9" s="14">
        <v>0.615</v>
      </c>
      <c r="L9" s="23">
        <f t="shared" si="1"/>
        <v>11.230514999999999</v>
      </c>
      <c r="M9" s="23"/>
      <c r="N9" s="14">
        <v>2.3721</v>
      </c>
      <c r="O9" s="23">
        <f t="shared" si="2"/>
        <v>43.3169181</v>
      </c>
    </row>
    <row r="10" spans="1:15" ht="12.75">
      <c r="A10" t="s">
        <v>8</v>
      </c>
      <c r="B10" t="s">
        <v>9</v>
      </c>
      <c r="C10" s="11">
        <v>7.3894</v>
      </c>
      <c r="D10" s="29">
        <v>587.3</v>
      </c>
      <c r="E10" s="45">
        <v>4339.79</v>
      </c>
      <c r="F10" s="5"/>
      <c r="G10" s="13">
        <v>0.58</v>
      </c>
      <c r="H10" s="33">
        <f t="shared" si="0"/>
        <v>4102.689655172414</v>
      </c>
      <c r="I10" s="10">
        <v>2379.56</v>
      </c>
      <c r="J10" s="5"/>
      <c r="K10" s="14">
        <v>2.3847</v>
      </c>
      <c r="L10" s="23">
        <f t="shared" si="1"/>
        <v>1400.53431</v>
      </c>
      <c r="M10" s="23"/>
      <c r="N10" s="14">
        <v>1.5625</v>
      </c>
      <c r="O10" s="23">
        <f t="shared" si="2"/>
        <v>917.6562499999999</v>
      </c>
    </row>
    <row r="11" spans="1:15" ht="12.75">
      <c r="A11" t="s">
        <v>10</v>
      </c>
      <c r="B11" t="s">
        <v>3</v>
      </c>
      <c r="C11" s="11">
        <v>0.0199</v>
      </c>
      <c r="D11" s="29">
        <v>141903</v>
      </c>
      <c r="E11" s="45">
        <v>2823.88</v>
      </c>
      <c r="F11" s="4"/>
      <c r="G11" s="12">
        <v>30.67</v>
      </c>
      <c r="H11" s="33">
        <f t="shared" si="0"/>
        <v>157.73328985979785</v>
      </c>
      <c r="I11" s="10">
        <v>4837.68</v>
      </c>
      <c r="J11" s="4"/>
      <c r="K11" s="14">
        <v>0.0041</v>
      </c>
      <c r="L11" s="23">
        <f t="shared" si="1"/>
        <v>581.8023000000001</v>
      </c>
      <c r="M11" s="23"/>
      <c r="N11" s="14">
        <v>0.0069</v>
      </c>
      <c r="O11" s="23">
        <f t="shared" si="2"/>
        <v>979.1306999999999</v>
      </c>
    </row>
    <row r="12" spans="1:15" ht="12.75">
      <c r="A12" t="s">
        <v>15</v>
      </c>
      <c r="E12" s="17">
        <f>SUM(E6:E11)</f>
        <v>606194.2132365</v>
      </c>
      <c r="F12" s="3"/>
      <c r="G12" s="8"/>
      <c r="H12" s="8"/>
      <c r="I12" s="17">
        <f>SUM(I6:I11)</f>
        <v>262642.76</v>
      </c>
      <c r="J12" s="3"/>
      <c r="K12" s="16"/>
      <c r="L12" s="17">
        <f>SUM(L6:L11)</f>
        <v>170645.0934458</v>
      </c>
      <c r="M12" s="19"/>
      <c r="N12" s="44"/>
      <c r="O12" s="17">
        <f>SUM(O6:O11)</f>
        <v>103698.43901599997</v>
      </c>
    </row>
    <row r="13" spans="6:14" ht="12.75">
      <c r="F13" s="3"/>
      <c r="G13" s="8"/>
      <c r="H13" s="8"/>
      <c r="I13" s="8"/>
      <c r="J13" s="3"/>
      <c r="N13" s="10"/>
    </row>
    <row r="14" spans="1:15" ht="12.75">
      <c r="A14" s="2" t="s">
        <v>16</v>
      </c>
      <c r="B14" s="49" t="s">
        <v>23</v>
      </c>
      <c r="C14" s="50"/>
      <c r="D14" s="50"/>
      <c r="E14" s="51"/>
      <c r="F14" s="3"/>
      <c r="G14" s="49" t="s">
        <v>24</v>
      </c>
      <c r="H14" s="50"/>
      <c r="I14" s="51"/>
      <c r="J14" s="3"/>
      <c r="K14" s="52" t="s">
        <v>18</v>
      </c>
      <c r="L14" s="53"/>
      <c r="M14" s="9"/>
      <c r="N14" s="54" t="s">
        <v>20</v>
      </c>
      <c r="O14" s="54"/>
    </row>
    <row r="15" spans="1:15" ht="12.75">
      <c r="A15" s="1" t="s">
        <v>0</v>
      </c>
      <c r="B15" s="21" t="s">
        <v>1</v>
      </c>
      <c r="C15" s="21" t="s">
        <v>14</v>
      </c>
      <c r="D15" s="21" t="s">
        <v>12</v>
      </c>
      <c r="E15" s="21" t="s">
        <v>13</v>
      </c>
      <c r="F15" s="3"/>
      <c r="G15" s="22" t="s">
        <v>14</v>
      </c>
      <c r="H15" s="22" t="s">
        <v>25</v>
      </c>
      <c r="I15" s="22" t="s">
        <v>32</v>
      </c>
      <c r="J15" s="3"/>
      <c r="K15" s="21" t="s">
        <v>14</v>
      </c>
      <c r="L15" s="21" t="s">
        <v>13</v>
      </c>
      <c r="M15" s="3"/>
      <c r="N15" s="22" t="s">
        <v>14</v>
      </c>
      <c r="O15" s="21" t="s">
        <v>13</v>
      </c>
    </row>
    <row r="16" spans="1:15" ht="12.75">
      <c r="A16" t="s">
        <v>2</v>
      </c>
      <c r="B16" t="s">
        <v>3</v>
      </c>
      <c r="C16" s="16">
        <v>0.0125</v>
      </c>
      <c r="D16" s="28">
        <v>-109</v>
      </c>
      <c r="E16" s="10">
        <v>-1.36</v>
      </c>
      <c r="F16" s="3"/>
      <c r="G16" s="12">
        <v>13.25</v>
      </c>
      <c r="H16" s="33">
        <f aca="true" t="shared" si="3" ref="H16:H21">I16/G16</f>
        <v>0.5675471698113207</v>
      </c>
      <c r="I16" s="10">
        <v>7.52</v>
      </c>
      <c r="J16" s="3"/>
      <c r="K16" s="16">
        <v>0.001521</v>
      </c>
      <c r="L16" s="23">
        <f aca="true" t="shared" si="4" ref="L16:L21">+$D16*K16</f>
        <v>-0.165789</v>
      </c>
      <c r="M16" s="18"/>
      <c r="N16" s="42">
        <v>0.003957</v>
      </c>
      <c r="O16" s="23">
        <f aca="true" t="shared" si="5" ref="O16:O21">+$D16*N16</f>
        <v>-0.43131299999999995</v>
      </c>
    </row>
    <row r="17" spans="1:15" ht="12.75">
      <c r="A17" t="s">
        <v>5</v>
      </c>
      <c r="B17" t="s">
        <v>3</v>
      </c>
      <c r="C17" s="16">
        <v>0.0095</v>
      </c>
      <c r="D17" s="28">
        <v>-27</v>
      </c>
      <c r="E17" s="10">
        <v>-0.26</v>
      </c>
      <c r="F17" s="3"/>
      <c r="G17" s="13">
        <v>32.21</v>
      </c>
      <c r="H17" s="33">
        <f t="shared" si="3"/>
        <v>-0.0003104625892579944</v>
      </c>
      <c r="I17" s="10">
        <v>-0.01</v>
      </c>
      <c r="J17" s="3"/>
      <c r="K17" s="16">
        <v>0.001521</v>
      </c>
      <c r="L17" s="23">
        <f t="shared" si="4"/>
        <v>-0.041067</v>
      </c>
      <c r="M17" s="18"/>
      <c r="N17" s="42">
        <v>0.003281</v>
      </c>
      <c r="O17" s="23">
        <f t="shared" si="5"/>
        <v>-0.088587</v>
      </c>
    </row>
    <row r="18" spans="1:15" ht="12.75">
      <c r="A18" t="s">
        <v>6</v>
      </c>
      <c r="B18" t="s">
        <v>9</v>
      </c>
      <c r="C18" s="16">
        <v>2.2816</v>
      </c>
      <c r="D18" s="28"/>
      <c r="E18" s="10">
        <f>+C18*D18</f>
        <v>0</v>
      </c>
      <c r="F18" s="3"/>
      <c r="G18" s="12">
        <v>204.28</v>
      </c>
      <c r="H18" s="33">
        <f t="shared" si="3"/>
        <v>0</v>
      </c>
      <c r="I18" s="10"/>
      <c r="J18" s="3"/>
      <c r="K18" s="16">
        <v>0.703918</v>
      </c>
      <c r="L18" s="23">
        <f t="shared" si="4"/>
        <v>0</v>
      </c>
      <c r="M18" s="18"/>
      <c r="N18" s="42">
        <v>0.403767</v>
      </c>
      <c r="O18" s="23">
        <f t="shared" si="5"/>
        <v>0</v>
      </c>
    </row>
    <row r="19" spans="1:15" ht="12.75">
      <c r="A19" t="s">
        <v>7</v>
      </c>
      <c r="B19" t="s">
        <v>9</v>
      </c>
      <c r="C19" s="16">
        <v>4.5825</v>
      </c>
      <c r="D19" s="28"/>
      <c r="E19" s="10">
        <f>+C19*D19</f>
        <v>0</v>
      </c>
      <c r="F19" s="3"/>
      <c r="G19" s="13">
        <v>2.96</v>
      </c>
      <c r="H19" s="33">
        <f t="shared" si="3"/>
        <v>0</v>
      </c>
      <c r="I19" s="10"/>
      <c r="J19" s="3"/>
      <c r="K19" s="16">
        <v>0.286512</v>
      </c>
      <c r="L19" s="23">
        <f t="shared" si="4"/>
        <v>0</v>
      </c>
      <c r="M19" s="18"/>
      <c r="N19" s="42">
        <v>1.864886</v>
      </c>
      <c r="O19" s="23">
        <f t="shared" si="5"/>
        <v>0</v>
      </c>
    </row>
    <row r="20" spans="1:15" ht="12.75">
      <c r="A20" t="s">
        <v>8</v>
      </c>
      <c r="B20" t="s">
        <v>9</v>
      </c>
      <c r="C20" s="16">
        <v>3.6587</v>
      </c>
      <c r="D20" s="28"/>
      <c r="E20" s="10">
        <f>+C20*D20</f>
        <v>0</v>
      </c>
      <c r="F20" s="3"/>
      <c r="G20" s="13">
        <v>0.59</v>
      </c>
      <c r="H20" s="33">
        <f t="shared" si="3"/>
        <v>0</v>
      </c>
      <c r="I20" s="10"/>
      <c r="J20" s="3"/>
      <c r="K20" s="16">
        <v>0.478809</v>
      </c>
      <c r="L20" s="23">
        <f t="shared" si="4"/>
        <v>0</v>
      </c>
      <c r="M20" s="18"/>
      <c r="N20" s="42">
        <v>1.188604</v>
      </c>
      <c r="O20" s="23">
        <f t="shared" si="5"/>
        <v>0</v>
      </c>
    </row>
    <row r="21" spans="1:15" ht="12.75">
      <c r="A21" t="s">
        <v>10</v>
      </c>
      <c r="B21" t="s">
        <v>3</v>
      </c>
      <c r="C21" s="16">
        <v>0.0071</v>
      </c>
      <c r="D21" s="28"/>
      <c r="E21" s="10">
        <f>+C21*D21</f>
        <v>0</v>
      </c>
      <c r="F21" s="3"/>
      <c r="G21" s="12">
        <f>+G17</f>
        <v>32.21</v>
      </c>
      <c r="H21" s="33">
        <f t="shared" si="3"/>
        <v>0</v>
      </c>
      <c r="I21" s="10"/>
      <c r="J21" s="3"/>
      <c r="K21" s="16">
        <v>0.001521</v>
      </c>
      <c r="L21" s="23">
        <f t="shared" si="4"/>
        <v>0</v>
      </c>
      <c r="M21" s="18"/>
      <c r="N21" s="42">
        <f>+N17</f>
        <v>0.003281</v>
      </c>
      <c r="O21" s="23">
        <f t="shared" si="5"/>
        <v>0</v>
      </c>
    </row>
    <row r="22" spans="1:15" ht="12.75">
      <c r="A22" t="s">
        <v>15</v>
      </c>
      <c r="E22" s="17">
        <f>SUM(E16:E21)</f>
        <v>-1.62</v>
      </c>
      <c r="F22" s="3"/>
      <c r="G22" s="8"/>
      <c r="H22" s="8"/>
      <c r="I22" s="17">
        <f>SUM(I16:I21)</f>
        <v>7.51</v>
      </c>
      <c r="J22" s="3"/>
      <c r="K22" s="16"/>
      <c r="L22" s="17">
        <f>SUM(L16:L21)</f>
        <v>-0.20685599999999998</v>
      </c>
      <c r="M22" s="19"/>
      <c r="N22" s="42"/>
      <c r="O22" s="17">
        <f>SUM(O16:O21)</f>
        <v>-0.5198999999999999</v>
      </c>
    </row>
    <row r="23" spans="6:15" ht="12.75">
      <c r="F23" s="3"/>
      <c r="G23" s="8"/>
      <c r="H23" s="8"/>
      <c r="I23" s="8"/>
      <c r="J23" s="3"/>
      <c r="K23" s="16"/>
      <c r="L23" s="23"/>
      <c r="M23" s="16"/>
      <c r="N23" s="23"/>
      <c r="O23" s="23"/>
    </row>
    <row r="24" spans="1:15" ht="13.5" thickBot="1">
      <c r="A24" t="s">
        <v>21</v>
      </c>
      <c r="E24" s="20">
        <f>+E12+E22</f>
        <v>606192.5932365</v>
      </c>
      <c r="F24" s="3"/>
      <c r="G24" s="8"/>
      <c r="H24" s="8"/>
      <c r="I24" s="20">
        <f>+I12+I22</f>
        <v>262650.27</v>
      </c>
      <c r="J24" s="3"/>
      <c r="K24" s="16"/>
      <c r="L24" s="24">
        <f>+L12+L22</f>
        <v>170644.8865898</v>
      </c>
      <c r="M24" s="16"/>
      <c r="N24" s="23"/>
      <c r="O24" s="24">
        <f>+O12+O22</f>
        <v>103697.91911599998</v>
      </c>
    </row>
    <row r="25" spans="6:14" ht="13.5" thickTop="1">
      <c r="F25" s="3"/>
      <c r="G25" s="8"/>
      <c r="H25" s="8"/>
      <c r="I25" s="8"/>
      <c r="J25" s="3"/>
      <c r="N25" s="10"/>
    </row>
    <row r="26" spans="6:14" ht="12.75">
      <c r="F26" s="3"/>
      <c r="G26" s="8"/>
      <c r="H26" s="8"/>
      <c r="I26" s="19">
        <f>+E24+I24</f>
        <v>868842.8632365001</v>
      </c>
      <c r="J26" s="3"/>
      <c r="N26" s="10"/>
    </row>
    <row r="27" spans="1:14" ht="12.75">
      <c r="A27" s="2" t="s">
        <v>4</v>
      </c>
      <c r="F27" s="3"/>
      <c r="G27" s="8"/>
      <c r="H27" s="8"/>
      <c r="I27" s="8"/>
      <c r="J27" s="3"/>
      <c r="N27" s="10"/>
    </row>
    <row r="28" spans="1:14" ht="12.75">
      <c r="A28" s="27" t="s">
        <v>36</v>
      </c>
      <c r="F28" s="3"/>
      <c r="G28" s="8"/>
      <c r="H28" s="8"/>
      <c r="I28" s="8"/>
      <c r="J28" s="3"/>
      <c r="N28" s="10"/>
    </row>
    <row r="29" spans="1:14" ht="12.75">
      <c r="A29" t="s">
        <v>30</v>
      </c>
      <c r="F29" s="3"/>
      <c r="G29" s="8"/>
      <c r="H29" s="8"/>
      <c r="I29" s="8"/>
      <c r="J29" s="3"/>
      <c r="N29" s="10"/>
    </row>
    <row r="30" spans="1:14" ht="12.75">
      <c r="A30" t="s">
        <v>44</v>
      </c>
      <c r="F30" s="3"/>
      <c r="G30" s="8"/>
      <c r="H30" s="8"/>
      <c r="I30" s="8"/>
      <c r="J30" s="3"/>
      <c r="N30" s="10"/>
    </row>
    <row r="31" spans="1:15" ht="12.75">
      <c r="A31" t="s">
        <v>22</v>
      </c>
      <c r="E31" s="10"/>
      <c r="F31" s="3"/>
      <c r="G31" s="8"/>
      <c r="H31" s="8"/>
      <c r="I31" s="8"/>
      <c r="J31" s="3"/>
      <c r="O31" s="10"/>
    </row>
    <row r="32" spans="6:10" ht="12.75">
      <c r="F32" s="3"/>
      <c r="G32" s="8"/>
      <c r="H32" s="8"/>
      <c r="I32" s="8"/>
      <c r="J32" s="3"/>
    </row>
  </sheetData>
  <mergeCells count="9">
    <mergeCell ref="B14:E14"/>
    <mergeCell ref="K14:L14"/>
    <mergeCell ref="N14:O14"/>
    <mergeCell ref="C3:I3"/>
    <mergeCell ref="B4:E4"/>
    <mergeCell ref="G4:I4"/>
    <mergeCell ref="G14:I14"/>
    <mergeCell ref="K4:L4"/>
    <mergeCell ref="N4:O4"/>
  </mergeCells>
  <printOptions/>
  <pageMargins left="0.5" right="0.5" top="1" bottom="0.5" header="0.18" footer="0.2"/>
  <pageSetup fitToHeight="1" fitToWidth="1" horizontalDpi="600" verticalDpi="600" orientation="landscape" scale="8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Barrett</dc:creator>
  <cp:keywords/>
  <dc:description/>
  <cp:lastModifiedBy>tom.barrett</cp:lastModifiedBy>
  <cp:lastPrinted>2012-05-28T14:09:39Z</cp:lastPrinted>
  <dcterms:created xsi:type="dcterms:W3CDTF">2004-05-20T15:36:24Z</dcterms:created>
  <dcterms:modified xsi:type="dcterms:W3CDTF">2012-05-28T14:10:03Z</dcterms:modified>
  <cp:category/>
  <cp:version/>
  <cp:contentType/>
  <cp:contentStatus/>
</cp:coreProperties>
</file>