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2135" windowHeight="9210" activeTab="12"/>
  </bookViews>
  <sheets>
    <sheet name="Sum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mstrange</author>
  </authors>
  <commentList>
    <comment ref="E21" authorId="0">
      <text>
        <r>
          <rPr>
            <b/>
            <sz val="8"/>
            <rFont val="Tahoma"/>
            <family val="0"/>
          </rPr>
          <t>mstrange:</t>
        </r>
        <r>
          <rPr>
            <sz val="8"/>
            <rFont val="Tahoma"/>
            <family val="0"/>
          </rPr>
          <t xml:space="preserve">
Flat rate accounts not billed in May / bill date was Jun 4 04</t>
        </r>
      </text>
    </comment>
  </commentList>
</comments>
</file>

<file path=xl/comments7.xml><?xml version="1.0" encoding="utf-8"?>
<comments xmlns="http://schemas.openxmlformats.org/spreadsheetml/2006/main">
  <authors>
    <author>mstrange</author>
  </authors>
  <commentList>
    <comment ref="E21" authorId="0">
      <text>
        <r>
          <rPr>
            <b/>
            <sz val="8"/>
            <rFont val="Tahoma"/>
            <family val="0"/>
          </rPr>
          <t>mstrange:</t>
        </r>
        <r>
          <rPr>
            <sz val="8"/>
            <rFont val="Tahoma"/>
            <family val="0"/>
          </rPr>
          <t xml:space="preserve">
Flat rate accounts not billed in May / bill date was Jun 4 04</t>
        </r>
      </text>
    </comment>
  </commentList>
</comments>
</file>

<file path=xl/comments8.xml><?xml version="1.0" encoding="utf-8"?>
<comments xmlns="http://schemas.openxmlformats.org/spreadsheetml/2006/main">
  <authors>
    <author>mstrange</author>
  </authors>
  <commentList>
    <comment ref="E21" authorId="0">
      <text>
        <r>
          <rPr>
            <b/>
            <sz val="8"/>
            <rFont val="Tahoma"/>
            <family val="0"/>
          </rPr>
          <t>mstrange:</t>
        </r>
        <r>
          <rPr>
            <sz val="8"/>
            <rFont val="Tahoma"/>
            <family val="0"/>
          </rPr>
          <t xml:space="preserve">
Flat rate accounts not billed in May / bill date was Jun 4 04</t>
        </r>
      </text>
    </comment>
  </commentList>
</comments>
</file>

<file path=xl/sharedStrings.xml><?xml version="1.0" encoding="utf-8"?>
<sst xmlns="http://schemas.openxmlformats.org/spreadsheetml/2006/main" count="943" uniqueCount="47">
  <si>
    <t>Class</t>
  </si>
  <si>
    <t>UoM</t>
  </si>
  <si>
    <t>Residential</t>
  </si>
  <si>
    <t>kWh</t>
  </si>
  <si>
    <t>Notes:</t>
  </si>
  <si>
    <t>GS&lt;50</t>
  </si>
  <si>
    <t>GS&gt;50</t>
  </si>
  <si>
    <t>Sentinel</t>
  </si>
  <si>
    <t>Streetlights</t>
  </si>
  <si>
    <t>kW</t>
  </si>
  <si>
    <t>Unmetered load</t>
  </si>
  <si>
    <t>Allocation to Reg. Asset Recovery figures taken from sheet 3 of RAM.</t>
  </si>
  <si>
    <t>Qty</t>
  </si>
  <si>
    <t>Amount</t>
  </si>
  <si>
    <t>Distribution Rate Analysis 2004</t>
  </si>
  <si>
    <t>May 1 2002 Rates</t>
  </si>
  <si>
    <t>Rate</t>
  </si>
  <si>
    <t>Total</t>
  </si>
  <si>
    <t>April 1, 2004 Rates</t>
  </si>
  <si>
    <t>Aurora Hydro</t>
  </si>
  <si>
    <t>Reg Asset Recovery</t>
  </si>
  <si>
    <t>Allocations:</t>
  </si>
  <si>
    <t xml:space="preserve">PILS </t>
  </si>
  <si>
    <t>GRAND TOTAL</t>
  </si>
  <si>
    <t>Unmetered load is at GS&lt;50kW rate</t>
  </si>
  <si>
    <t>Variable</t>
  </si>
  <si>
    <t>Fixed Monthly</t>
  </si>
  <si>
    <t>QTY</t>
  </si>
  <si>
    <t>Distn Rev</t>
  </si>
  <si>
    <t>Fixed Rate</t>
  </si>
  <si>
    <t>BILLING DATA</t>
  </si>
  <si>
    <t>Month of:</t>
  </si>
  <si>
    <t>April 1/04 rates - Monthly fees were unchanged (adjusted in var rate) so only the variable rate is considered.</t>
  </si>
  <si>
    <t>Fixed Amt</t>
  </si>
  <si>
    <t>Revenue</t>
  </si>
  <si>
    <t>do not enter here</t>
  </si>
  <si>
    <t>Var. Rate</t>
  </si>
  <si>
    <t>Var. Amt</t>
  </si>
  <si>
    <t>Based on actual billings during the month (no accruals).</t>
  </si>
  <si>
    <t>2004 YEAR TO DATE</t>
  </si>
  <si>
    <t xml:space="preserve">to </t>
  </si>
  <si>
    <t># months</t>
  </si>
  <si>
    <t>Variable and fixed distn. Revenue</t>
  </si>
  <si>
    <t>% of rev.</t>
  </si>
  <si>
    <t>Var+ fixed</t>
  </si>
  <si>
    <t>% of var. rev.</t>
  </si>
  <si>
    <t>Dec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</si>
</sst>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\(#,##0.0000\)"/>
    <numFmt numFmtId="165" formatCode="0.0000"/>
    <numFmt numFmtId="166" formatCode="0.000000000000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[$-409]dddd\,\ mmmm\ dd\,\ yyyy"/>
    <numFmt numFmtId="173" formatCode="mmm\ yyyy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"/>
    <numFmt numFmtId="178" formatCode="#,##0.0"/>
    <numFmt numFmtId="179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64" fontId="0" fillId="2" borderId="0" xfId="15" applyNumberFormat="1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0" xfId="15" applyFont="1" applyFill="1" applyBorder="1" applyAlignment="1">
      <alignment/>
    </xf>
    <xf numFmtId="168" fontId="0" fillId="2" borderId="0" xfId="15" applyNumberFormat="1" applyFill="1" applyAlignment="1">
      <alignment/>
    </xf>
    <xf numFmtId="168" fontId="0" fillId="2" borderId="0" xfId="15" applyNumberFormat="1" applyFill="1" applyBorder="1" applyAlignment="1">
      <alignment/>
    </xf>
    <xf numFmtId="0" fontId="0" fillId="2" borderId="0" xfId="0" applyFill="1" applyAlignment="1">
      <alignment/>
    </xf>
    <xf numFmtId="43" fontId="0" fillId="2" borderId="2" xfId="15" applyFill="1" applyBorder="1" applyAlignment="1">
      <alignment/>
    </xf>
    <xf numFmtId="0" fontId="0" fillId="2" borderId="0" xfId="0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43" fontId="0" fillId="2" borderId="0" xfId="15" applyFill="1" applyAlignment="1">
      <alignment/>
    </xf>
    <xf numFmtId="0" fontId="0" fillId="0" borderId="4" xfId="0" applyBorder="1" applyAlignment="1">
      <alignment horizontal="right"/>
    </xf>
    <xf numFmtId="43" fontId="0" fillId="2" borderId="3" xfId="15" applyFill="1" applyBorder="1" applyAlignment="1">
      <alignment/>
    </xf>
    <xf numFmtId="43" fontId="0" fillId="2" borderId="0" xfId="0" applyNumberFormat="1" applyFill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/>
    </xf>
    <xf numFmtId="175" fontId="0" fillId="0" borderId="0" xfId="15" applyNumberFormat="1" applyAlignment="1">
      <alignment/>
    </xf>
    <xf numFmtId="174" fontId="0" fillId="0" borderId="0" xfId="15" applyNumberFormat="1" applyAlignment="1">
      <alignment/>
    </xf>
    <xf numFmtId="43" fontId="0" fillId="0" borderId="0" xfId="15" applyAlignment="1">
      <alignment/>
    </xf>
    <xf numFmtId="44" fontId="0" fillId="0" borderId="0" xfId="17" applyAlignment="1">
      <alignment/>
    </xf>
    <xf numFmtId="173" fontId="1" fillId="0" borderId="0" xfId="0" applyNumberFormat="1" applyFont="1" applyAlignment="1">
      <alignment/>
    </xf>
    <xf numFmtId="167" fontId="0" fillId="0" borderId="0" xfId="15" applyNumberFormat="1" applyAlignment="1">
      <alignment/>
    </xf>
    <xf numFmtId="2" fontId="0" fillId="0" borderId="0" xfId="0" applyNumberFormat="1" applyAlignment="1">
      <alignment/>
    </xf>
    <xf numFmtId="17" fontId="0" fillId="0" borderId="0" xfId="15" applyNumberFormat="1" applyFont="1" applyAlignment="1" quotePrefix="1">
      <alignment/>
    </xf>
    <xf numFmtId="175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4" fontId="0" fillId="0" borderId="0" xfId="15" applyNumberFormat="1" applyFill="1" applyAlignment="1">
      <alignment/>
    </xf>
    <xf numFmtId="173" fontId="0" fillId="0" borderId="0" xfId="0" applyNumberFormat="1" applyFill="1" applyAlignment="1">
      <alignment/>
    </xf>
    <xf numFmtId="43" fontId="0" fillId="0" borderId="0" xfId="15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43" fontId="0" fillId="0" borderId="4" xfId="15" applyFill="1" applyBorder="1" applyAlignment="1">
      <alignment/>
    </xf>
    <xf numFmtId="0" fontId="0" fillId="0" borderId="4" xfId="0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43" fontId="0" fillId="0" borderId="0" xfId="15" applyFill="1" applyBorder="1" applyAlignment="1">
      <alignment/>
    </xf>
    <xf numFmtId="168" fontId="0" fillId="0" borderId="0" xfId="15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15" applyFont="1" applyFill="1" applyAlignment="1">
      <alignment/>
    </xf>
    <xf numFmtId="44" fontId="0" fillId="0" borderId="0" xfId="17" applyFont="1" applyFill="1" applyBorder="1" applyAlignment="1">
      <alignment/>
    </xf>
    <xf numFmtId="43" fontId="0" fillId="0" borderId="0" xfId="15" applyFont="1" applyFill="1" applyBorder="1" applyAlignment="1">
      <alignment/>
    </xf>
    <xf numFmtId="168" fontId="0" fillId="0" borderId="0" xfId="15" applyNumberFormat="1" applyFill="1" applyBorder="1" applyAlignment="1">
      <alignment/>
    </xf>
    <xf numFmtId="43" fontId="0" fillId="0" borderId="2" xfId="15" applyFill="1" applyBorder="1" applyAlignment="1">
      <alignment/>
    </xf>
    <xf numFmtId="0" fontId="0" fillId="0" borderId="0" xfId="0" applyFill="1" applyBorder="1" applyAlignment="1">
      <alignment/>
    </xf>
    <xf numFmtId="43" fontId="0" fillId="0" borderId="3" xfId="0" applyNumberFormat="1" applyFill="1" applyBorder="1" applyAlignment="1">
      <alignment/>
    </xf>
    <xf numFmtId="43" fontId="0" fillId="0" borderId="3" xfId="15" applyFill="1" applyBorder="1" applyAlignment="1">
      <alignment/>
    </xf>
    <xf numFmtId="0" fontId="0" fillId="0" borderId="0" xfId="0" applyFont="1" applyFill="1" applyAlignment="1">
      <alignment/>
    </xf>
    <xf numFmtId="43" fontId="0" fillId="0" borderId="4" xfId="15" applyFill="1" applyBorder="1" applyAlignment="1">
      <alignment horizontal="right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3" fontId="1" fillId="0" borderId="0" xfId="0" applyNumberFormat="1" applyFont="1" applyFill="1" applyAlignment="1">
      <alignment/>
    </xf>
    <xf numFmtId="174" fontId="0" fillId="0" borderId="0" xfId="15" applyNumberFormat="1" applyFill="1" applyBorder="1" applyAlignment="1">
      <alignment/>
    </xf>
    <xf numFmtId="44" fontId="0" fillId="0" borderId="0" xfId="17" applyFill="1" applyAlignment="1">
      <alignment/>
    </xf>
    <xf numFmtId="178" fontId="0" fillId="0" borderId="0" xfId="0" applyNumberFormat="1" applyFill="1" applyAlignment="1">
      <alignment/>
    </xf>
    <xf numFmtId="14" fontId="0" fillId="0" borderId="0" xfId="15" applyNumberFormat="1" applyFont="1" applyFill="1" applyAlignment="1">
      <alignment/>
    </xf>
    <xf numFmtId="43" fontId="0" fillId="0" borderId="0" xfId="15" applyFont="1" applyFill="1" applyBorder="1" applyAlignment="1">
      <alignment/>
    </xf>
    <xf numFmtId="175" fontId="0" fillId="0" borderId="0" xfId="15" applyNumberFormat="1" applyFill="1" applyBorder="1" applyAlignment="1">
      <alignment/>
    </xf>
    <xf numFmtId="10" fontId="0" fillId="0" borderId="0" xfId="19" applyNumberFormat="1" applyFill="1" applyAlignment="1">
      <alignment/>
    </xf>
    <xf numFmtId="10" fontId="0" fillId="0" borderId="0" xfId="19" applyNumberFormat="1" applyFill="1" applyBorder="1" applyAlignment="1">
      <alignment/>
    </xf>
    <xf numFmtId="179" fontId="0" fillId="0" borderId="0" xfId="19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M34" sqref="M34"/>
    </sheetView>
  </sheetViews>
  <sheetFormatPr defaultColWidth="9.140625" defaultRowHeight="12.75"/>
  <cols>
    <col min="1" max="1" width="16.7109375" style="40" customWidth="1"/>
    <col min="2" max="2" width="4.8515625" style="40" bestFit="1" customWidth="1"/>
    <col min="3" max="3" width="7.00390625" style="40" bestFit="1" customWidth="1"/>
    <col min="4" max="4" width="11.28125" style="40" bestFit="1" customWidth="1"/>
    <col min="5" max="5" width="12.8515625" style="43" bestFit="1" customWidth="1"/>
    <col min="6" max="6" width="1.1484375" style="40" customWidth="1"/>
    <col min="7" max="7" width="7.7109375" style="40" bestFit="1" customWidth="1"/>
    <col min="8" max="8" width="10.57421875" style="40" bestFit="1" customWidth="1"/>
    <col min="9" max="9" width="12.8515625" style="43" bestFit="1" customWidth="1"/>
    <col min="10" max="10" width="1.1484375" style="40" customWidth="1"/>
    <col min="11" max="11" width="9.140625" style="40" customWidth="1"/>
    <col min="12" max="12" width="11.28125" style="43" bestFit="1" customWidth="1"/>
    <col min="13" max="14" width="11.28125" style="40" bestFit="1" customWidth="1"/>
    <col min="15" max="15" width="12.8515625" style="43" bestFit="1" customWidth="1"/>
    <col min="16" max="16384" width="9.140625" style="40" customWidth="1"/>
  </cols>
  <sheetData>
    <row r="1" spans="1:9" ht="12.75">
      <c r="A1" s="40" t="s">
        <v>19</v>
      </c>
      <c r="E1" s="43" t="s">
        <v>39</v>
      </c>
      <c r="G1" s="42"/>
      <c r="H1" s="57" t="s">
        <v>40</v>
      </c>
      <c r="I1" s="73">
        <v>38352</v>
      </c>
    </row>
    <row r="2" spans="1:13" ht="12.75">
      <c r="A2" s="40" t="s">
        <v>14</v>
      </c>
      <c r="F2" s="44"/>
      <c r="G2" s="45"/>
      <c r="H2" s="74" t="s">
        <v>41</v>
      </c>
      <c r="I2" s="75">
        <f>MONTH(I1)</f>
        <v>12</v>
      </c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65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50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50" t="s">
        <v>29</v>
      </c>
      <c r="M5" s="49" t="s">
        <v>37</v>
      </c>
      <c r="N5" s="49" t="s">
        <v>33</v>
      </c>
      <c r="O5" s="66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39">
        <f>+Jan!D6+Feb!D6+Mar!D6+Apr!D6+May!D6+Jun!D6+Jul!D6+Aug!D6+Sep!D6+Oct!D6+Nov!D6+Dec!D6</f>
        <v>53580562</v>
      </c>
      <c r="E6" s="43">
        <f>+Jan!E6+Feb!E6+Mar!E6+Apr!E6+May!E6+Jun!E6+Jul!E6+Aug!E6+Sep!E6+Oct!E6+Nov!E6+Dec!E6</f>
        <v>653687.87</v>
      </c>
      <c r="F6" s="53"/>
      <c r="G6" s="54">
        <v>13.25</v>
      </c>
      <c r="H6" s="39">
        <f>+Jan!H6+Feb!H6+Mar!H6+Apr!H6+May!H6+Jun!H6+Jul!H6+Aug!H6+Sep!H6+Oct!H6+Nov!H6+Dec!H6</f>
        <v>56913.00754716981</v>
      </c>
      <c r="I6" s="43">
        <f>+Jan!I6+Feb!I6+Mar!I6+Apr!I6+May!I6+Jun!I6+Jul!I6+Aug!I6+Sep!I6+Oct!I6+Nov!I6+Dec!I6</f>
        <v>754097.35</v>
      </c>
      <c r="J6" s="53"/>
      <c r="K6" s="55">
        <v>0.0023</v>
      </c>
      <c r="L6" s="43">
        <v>2.54</v>
      </c>
      <c r="M6" s="43">
        <f aca="true" t="shared" si="0" ref="M6:M11">+D6*K6</f>
        <v>123235.2926</v>
      </c>
      <c r="N6" s="43">
        <f aca="true" t="shared" si="1" ref="N6:N11">+H6*L6</f>
        <v>144559.03916981132</v>
      </c>
      <c r="O6" s="43">
        <f aca="true" t="shared" si="2" ref="O6:O11">SUM(M6:N6)</f>
        <v>267794.33176981134</v>
      </c>
    </row>
    <row r="7" spans="1:15" ht="12.75">
      <c r="A7" s="40" t="s">
        <v>5</v>
      </c>
      <c r="B7" s="40" t="s">
        <v>3</v>
      </c>
      <c r="C7" s="52">
        <v>0.0091</v>
      </c>
      <c r="D7" s="39">
        <f>+Jan!D7+Feb!D7+Mar!D7+Apr!D7+May!D7+Jun!D7+Jul!D7+Aug!D7+Sep!D7+Oct!D7+Nov!D7+Dec!D7</f>
        <v>12958201</v>
      </c>
      <c r="E7" s="43">
        <f>+Jan!E7+Feb!E7+Mar!E7+Apr!E7+May!E7+Jun!E7+Jul!E7+Aug!E7+Sep!E7+Oct!E7+Nov!E7+Dec!E7</f>
        <v>117920.31</v>
      </c>
      <c r="F7" s="58"/>
      <c r="G7" s="59">
        <v>32.21</v>
      </c>
      <c r="H7" s="39">
        <f>+Jan!H7+Feb!H7+Mar!H7+Apr!H7+May!H7+Jun!H7+Jul!H7+Aug!H7+Sep!H7+Oct!H7+Nov!H7+Dec!H7</f>
        <v>4142.554796647005</v>
      </c>
      <c r="I7" s="43">
        <f>+Jan!I7+Feb!I7+Mar!I7+Apr!I7+May!I7+Jun!I7+Jul!I7+Aug!I7+Sep!I7+Oct!I7+Nov!I7+Dec!I7</f>
        <v>133431.68999999997</v>
      </c>
      <c r="J7" s="58"/>
      <c r="K7" s="55">
        <v>0.0017</v>
      </c>
      <c r="L7" s="43">
        <v>6.6</v>
      </c>
      <c r="M7" s="43">
        <f t="shared" si="0"/>
        <v>22028.9417</v>
      </c>
      <c r="N7" s="43">
        <f t="shared" si="1"/>
        <v>27340.86165787023</v>
      </c>
      <c r="O7" s="43">
        <f t="shared" si="2"/>
        <v>49369.80335787023</v>
      </c>
    </row>
    <row r="8" spans="1:15" ht="12.75">
      <c r="A8" s="40" t="s">
        <v>6</v>
      </c>
      <c r="B8" s="40" t="s">
        <v>9</v>
      </c>
      <c r="C8" s="52">
        <v>1.6919</v>
      </c>
      <c r="D8" s="39">
        <f>+Jan!D8+Feb!D8+Mar!D8+Apr!D8+May!D8+Jun!D8+Jul!D8+Aug!D8+Sep!D8+Oct!D8+Nov!D8+Dec!D8</f>
        <v>174530.568</v>
      </c>
      <c r="E8" s="43">
        <f>+Jan!E8+Feb!E8+Mar!E8+Apr!E8+May!E8+Jun!E8+Jul!E8+Aug!E8+Sep!E8+Oct!E8+Nov!E8+Dec!E8</f>
        <v>295288.34</v>
      </c>
      <c r="F8" s="53"/>
      <c r="G8" s="54">
        <v>204.28</v>
      </c>
      <c r="H8" s="39">
        <f>+Jan!H8+Feb!H8+Mar!H8+Apr!H8+May!H8+Jun!H8+Jul!H8+Aug!H8+Sep!H8+Oct!H8+Nov!H8+Dec!H8</f>
        <v>711.3636675151753</v>
      </c>
      <c r="I8" s="43">
        <f>+Jan!I8+Feb!I8+Mar!I8+Apr!I8+May!I8+Jun!I8+Jul!I8+Aug!I8+Sep!I8+Oct!I8+Nov!I8+Dec!I8</f>
        <v>145317.37000000002</v>
      </c>
      <c r="J8" s="53"/>
      <c r="K8" s="55">
        <v>0.3166</v>
      </c>
      <c r="L8" s="43">
        <v>41.86</v>
      </c>
      <c r="M8" s="43">
        <f t="shared" si="0"/>
        <v>55256.377828799996</v>
      </c>
      <c r="N8" s="43">
        <f t="shared" si="1"/>
        <v>29777.683122185237</v>
      </c>
      <c r="O8" s="43">
        <f t="shared" si="2"/>
        <v>85034.06095098524</v>
      </c>
    </row>
    <row r="9" spans="1:15" ht="12.75">
      <c r="A9" s="40" t="s">
        <v>7</v>
      </c>
      <c r="B9" s="40" t="s">
        <v>9</v>
      </c>
      <c r="C9" s="52">
        <v>5.2694</v>
      </c>
      <c r="D9" s="39">
        <f>+Jan!D9+Feb!D9+Mar!D9+Apr!D9+May!D9+Jun!D9+Jul!D9+Aug!D9+Sep!D9+Oct!D9+Nov!D9+Dec!D9</f>
        <v>73.893</v>
      </c>
      <c r="E9" s="43">
        <f>+Jan!E9+Feb!E9+Mar!E9+Apr!E9+May!E9+Jun!E9+Jul!E9+Aug!E9+Sep!E9+Oct!E9+Nov!E9+Dec!E9</f>
        <v>389.4</v>
      </c>
      <c r="F9" s="58"/>
      <c r="G9" s="59">
        <v>2.96</v>
      </c>
      <c r="H9" s="39">
        <f>+Jan!H9+Feb!H9+Mar!H9+Apr!H9+May!H9+Jun!H9+Jul!H9+Aug!H9+Sep!H9+Oct!H9+Nov!H9+Dec!H9</f>
        <v>176.1722972972973</v>
      </c>
      <c r="I9" s="43">
        <f>+Jan!I9+Feb!I9+Mar!I9+Apr!I9+May!I9+Jun!I9+Jul!I9+Aug!I9+Sep!I9+Oct!I9+Nov!I9+Dec!I9</f>
        <v>521.4699999999999</v>
      </c>
      <c r="J9" s="58"/>
      <c r="K9" s="55">
        <v>0.7792</v>
      </c>
      <c r="L9" s="43">
        <v>0.72</v>
      </c>
      <c r="M9" s="43">
        <f t="shared" si="0"/>
        <v>57.5774256</v>
      </c>
      <c r="N9" s="43">
        <f t="shared" si="1"/>
        <v>126.84405405405404</v>
      </c>
      <c r="O9" s="43">
        <f t="shared" si="2"/>
        <v>184.42147965405405</v>
      </c>
    </row>
    <row r="10" spans="1:15" ht="12.75">
      <c r="A10" s="40" t="s">
        <v>8</v>
      </c>
      <c r="B10" s="40" t="s">
        <v>9</v>
      </c>
      <c r="C10" s="52">
        <v>3.5359</v>
      </c>
      <c r="D10" s="39">
        <f>+Jan!D10+Feb!D10+Mar!D10+Apr!D10+May!D10+Jun!D10+Jul!D10+Aug!D10+Sep!D10+Oct!D10+Nov!D10+Dec!D10</f>
        <v>2023.9699999999998</v>
      </c>
      <c r="E10" s="43">
        <f>+Jan!E10+Feb!E10+Mar!E10+Apr!E10+May!E10+Jun!E10+Jul!E10+Aug!E10+Sep!E10+Oct!E10+Nov!E10+Dec!E10</f>
        <v>7156.549999999999</v>
      </c>
      <c r="F10" s="58"/>
      <c r="G10" s="59">
        <v>0.59</v>
      </c>
      <c r="H10" s="39">
        <f>+Jan!H10+Feb!H10+Mar!H10+Apr!H10+May!H10+Jun!H10+Jul!H10+Aug!H10+Sep!H10+Oct!H10+Nov!H10+Dec!H10</f>
        <v>14144.372881355934</v>
      </c>
      <c r="I10" s="43">
        <f>+Jan!I10+Feb!I10+Mar!I10+Apr!I10+May!I10+Jun!I10+Jul!I10+Aug!I10+Sep!I10+Oct!I10+Nov!I10+Dec!I10</f>
        <v>8345.18</v>
      </c>
      <c r="J10" s="58"/>
      <c r="K10" s="55">
        <v>0.6629</v>
      </c>
      <c r="L10" s="43">
        <v>0.11</v>
      </c>
      <c r="M10" s="43">
        <f t="shared" si="0"/>
        <v>1341.689713</v>
      </c>
      <c r="N10" s="43">
        <f t="shared" si="1"/>
        <v>1555.8810169491528</v>
      </c>
      <c r="O10" s="43">
        <f t="shared" si="2"/>
        <v>2897.570729949153</v>
      </c>
    </row>
    <row r="11" spans="1:15" ht="12.75">
      <c r="A11" s="40" t="s">
        <v>10</v>
      </c>
      <c r="B11" s="40" t="s">
        <v>3</v>
      </c>
      <c r="C11" s="52">
        <v>0.0091</v>
      </c>
      <c r="D11" s="39">
        <f>+Jan!D11+Feb!D11+Mar!D11+Apr!D11+May!D11+Jun!D11+Jul!D11+Aug!D11+Sep!D11+Oct!D11+Nov!D11+Dec!D11</f>
        <v>654957.01</v>
      </c>
      <c r="E11" s="43">
        <f>+Jan!E11+Feb!E11+Mar!E11+Apr!E11+May!E11+Jun!E11+Jul!E11+Aug!E11+Sep!E11+Oct!E11+Nov!E11+Dec!E11</f>
        <v>5960.549999999999</v>
      </c>
      <c r="F11" s="53"/>
      <c r="G11" s="54">
        <f>+G7</f>
        <v>32.21</v>
      </c>
      <c r="H11" s="39">
        <f>+Jan!H11+Feb!H11+Mar!H11+Apr!H11+May!H11+Jun!H11+Jul!H11+Aug!H11+Sep!H11+Oct!H11+Nov!H11+Dec!H11</f>
        <v>736.3216392424713</v>
      </c>
      <c r="I11" s="43">
        <f>+Jan!I11+Feb!I11+Mar!I11+Apr!I11+May!I11+Jun!I11+Jul!I11+Aug!I11+Sep!I11+Oct!I11+Nov!I11+Dec!I11</f>
        <v>23716.920000000006</v>
      </c>
      <c r="J11" s="53"/>
      <c r="K11" s="60">
        <f>+K7</f>
        <v>0.0017</v>
      </c>
      <c r="L11" s="43">
        <f>+L7</f>
        <v>6.6</v>
      </c>
      <c r="M11" s="43">
        <f t="shared" si="0"/>
        <v>1113.426917</v>
      </c>
      <c r="N11" s="43">
        <f t="shared" si="1"/>
        <v>4859.722819000311</v>
      </c>
      <c r="O11" s="43">
        <f t="shared" si="2"/>
        <v>5973.14973600031</v>
      </c>
    </row>
    <row r="12" spans="1:15" ht="12.75">
      <c r="A12" s="40" t="s">
        <v>17</v>
      </c>
      <c r="E12" s="61">
        <f>SUM(E6:E11)</f>
        <v>1080403.02</v>
      </c>
      <c r="F12" s="44"/>
      <c r="G12" s="45"/>
      <c r="H12" s="45"/>
      <c r="I12" s="61">
        <f>SUM(I6:I11)</f>
        <v>1065429.98</v>
      </c>
      <c r="J12" s="44"/>
      <c r="M12" s="61">
        <f>SUM(M6:M11)</f>
        <v>203033.30618440002</v>
      </c>
      <c r="N12" s="61">
        <f>SUM(N6:N11)</f>
        <v>208220.03183987032</v>
      </c>
      <c r="O12" s="61">
        <f>SUM(O6:O11)</f>
        <v>411253.33802427026</v>
      </c>
    </row>
    <row r="13" spans="6:15" ht="12.75">
      <c r="F13" s="44"/>
      <c r="G13" s="45"/>
      <c r="H13" s="74" t="s">
        <v>44</v>
      </c>
      <c r="I13" s="45">
        <f>+E12+I12</f>
        <v>2145833</v>
      </c>
      <c r="J13" s="44"/>
      <c r="O13" s="76">
        <f>+O12/I13</f>
        <v>0.1916520707922146</v>
      </c>
    </row>
    <row r="14" spans="1:15" ht="12.75">
      <c r="A14" s="65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50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50" t="s">
        <v>13</v>
      </c>
      <c r="M15" s="44"/>
      <c r="N15" s="49" t="s">
        <v>16</v>
      </c>
      <c r="O15" s="50" t="s">
        <v>13</v>
      </c>
    </row>
    <row r="16" spans="1:15" ht="12.75">
      <c r="A16" s="40" t="s">
        <v>2</v>
      </c>
      <c r="B16" s="40" t="s">
        <v>3</v>
      </c>
      <c r="C16" s="40">
        <v>0.0125</v>
      </c>
      <c r="D16" s="39">
        <f>+Jan!D16+Feb!D16+Mar!D16+Apr!D16+May!D16+Jun!D16+Jul!D16+Aug!D16+Sep!D16+Oct!D16+Nov!D16+Dec!D16</f>
        <v>92350714</v>
      </c>
      <c r="E16" s="39">
        <f>+Jan!E16+Feb!E16+Mar!E16+Apr!E16+May!E16+Jun!E16+Jul!E16+Aug!E16+Sep!E16+Oct!E16+Nov!E16+Dec!E16</f>
        <v>1154617.1</v>
      </c>
      <c r="F16" s="44"/>
      <c r="G16" s="54">
        <v>13.25</v>
      </c>
      <c r="H16" s="39">
        <f>+Jan!H16+Feb!H16+Mar!H16+Apr!H16+May!H16+Jun!H16+Jul!H16+Aug!H16+Sep!H16+Oct!H16+Nov!H16+Dec!H16</f>
        <v>57868.185660377356</v>
      </c>
      <c r="I16" s="43">
        <f>+Jan!I16+Feb!I16+Mar!I16+Apr!I16+May!I16+Jun!I16+Jul!I16+Aug!I16+Sep!I16+Oct!I16+Nov!I16+Dec!I16</f>
        <v>766753.46</v>
      </c>
      <c r="J16" s="44"/>
      <c r="K16" s="40">
        <v>0.001521</v>
      </c>
      <c r="L16" s="43">
        <f aca="true" t="shared" si="3" ref="L16:L21">+$D16*K16</f>
        <v>140465.435994</v>
      </c>
      <c r="M16" s="44"/>
      <c r="N16" s="40">
        <v>0.003957</v>
      </c>
      <c r="O16" s="43">
        <f aca="true" t="shared" si="4" ref="O16:O21">+$D16*N16</f>
        <v>365431.77529799996</v>
      </c>
    </row>
    <row r="17" spans="1:15" ht="12.75">
      <c r="A17" s="40" t="s">
        <v>5</v>
      </c>
      <c r="B17" s="40" t="s">
        <v>3</v>
      </c>
      <c r="C17" s="40">
        <v>0.0095</v>
      </c>
      <c r="D17" s="39">
        <f>+Jan!D17+Feb!D17+Mar!D17+Apr!D17+May!D17+Jun!D17+Jul!D17+Aug!D17+Sep!D17+Oct!D17+Nov!D17+Dec!D17</f>
        <v>25441785</v>
      </c>
      <c r="E17" s="39">
        <f>+Jan!E17+Feb!E17+Mar!E17+Apr!E17+May!E17+Jun!E17+Jul!E17+Aug!E17+Sep!E17+Oct!E17+Nov!E17+Dec!E17</f>
        <v>241709.01</v>
      </c>
      <c r="F17" s="44"/>
      <c r="G17" s="59">
        <v>32.21</v>
      </c>
      <c r="H17" s="39">
        <f>+Jan!H17+Feb!H17+Mar!H17+Apr!H17+May!H17+Jun!H17+Jul!H17+Aug!H17+Sep!H17+Oct!H17+Nov!H17+Dec!H17</f>
        <v>4363.670288730209</v>
      </c>
      <c r="I17" s="43">
        <f>+Jan!I17+Feb!I17+Mar!I17+Apr!I17+May!I17+Jun!I17+Jul!I17+Aug!I17+Sep!I17+Oct!I17+Nov!I17+Dec!I17</f>
        <v>140553.82</v>
      </c>
      <c r="J17" s="44"/>
      <c r="K17" s="40">
        <v>0.001521</v>
      </c>
      <c r="L17" s="43">
        <f t="shared" si="3"/>
        <v>38696.954985</v>
      </c>
      <c r="M17" s="44"/>
      <c r="N17" s="40">
        <v>0.003281</v>
      </c>
      <c r="O17" s="43">
        <f t="shared" si="4"/>
        <v>83474.496585</v>
      </c>
    </row>
    <row r="18" spans="1:15" ht="12.75">
      <c r="A18" s="40" t="s">
        <v>6</v>
      </c>
      <c r="B18" s="40" t="s">
        <v>9</v>
      </c>
      <c r="C18" s="40">
        <v>2.2816</v>
      </c>
      <c r="D18" s="39">
        <f>+Jan!D18+Feb!D18+Mar!D18+Apr!D18+May!D18+Jun!D18+Jul!D18+Aug!D18+Sep!D18+Oct!D18+Nov!D18+Dec!D18</f>
        <v>381258.893</v>
      </c>
      <c r="E18" s="39">
        <f>+Jan!E18+Feb!E18+Mar!E18+Apr!E18+May!E18+Jun!E18+Jul!E18+Aug!E18+Sep!E18+Oct!E18+Nov!E18+Dec!E18</f>
        <v>869883.5599999999</v>
      </c>
      <c r="F18" s="44"/>
      <c r="G18" s="54">
        <v>204.28</v>
      </c>
      <c r="H18" s="39">
        <f>+Jan!H18+Feb!H18+Mar!H18+Apr!H18+May!H18+Jun!H18+Jul!H18+Aug!H18+Sep!H18+Oct!H18+Nov!H18+Dec!H18</f>
        <v>710.6761797532798</v>
      </c>
      <c r="I18" s="43">
        <f>+Jan!I18+Feb!I18+Mar!I18+Apr!I18+May!I18+Jun!I18+Jul!I18+Aug!I18+Sep!I18+Oct!I18+Nov!I18+Dec!I18</f>
        <v>145176.93</v>
      </c>
      <c r="J18" s="44"/>
      <c r="K18" s="40">
        <v>0.703918</v>
      </c>
      <c r="L18" s="43">
        <f t="shared" si="3"/>
        <v>268374.997442774</v>
      </c>
      <c r="M18" s="44"/>
      <c r="N18" s="40">
        <v>0.403767</v>
      </c>
      <c r="O18" s="43">
        <f t="shared" si="4"/>
        <v>153939.75944993098</v>
      </c>
    </row>
    <row r="19" spans="1:15" ht="12.75">
      <c r="A19" s="40" t="s">
        <v>7</v>
      </c>
      <c r="B19" s="40" t="s">
        <v>9</v>
      </c>
      <c r="C19" s="40">
        <v>2.3323</v>
      </c>
      <c r="D19" s="39">
        <f>+Jan!D19+Feb!D19+Mar!D19+Apr!D19+May!D19+Jun!D19+Jul!D19+Aug!D19+Sep!D19+Oct!D19+Nov!D19+Dec!D19</f>
        <v>156.497</v>
      </c>
      <c r="E19" s="39">
        <f>+Jan!E19+Feb!E19+Mar!E19+Apr!E19+May!E19+Jun!E19+Jul!E19+Aug!E19+Sep!E19+Oct!E19+Nov!E19+Dec!E19</f>
        <v>717.0900000000001</v>
      </c>
      <c r="F19" s="44"/>
      <c r="G19" s="59">
        <v>2.96</v>
      </c>
      <c r="H19" s="39">
        <f>+Jan!H19+Feb!H19+Mar!H19+Apr!H19+May!H19+Jun!H19+Jul!H19+Aug!H19+Sep!H19+Oct!H19+Nov!H19+Dec!H19</f>
        <v>182.2702702702703</v>
      </c>
      <c r="I19" s="43">
        <f>+Jan!I19+Feb!I19+Mar!I19+Apr!I19+May!I19+Jun!I19+Jul!I19+Aug!I19+Sep!I19+Oct!I19+Nov!I19+Dec!I19</f>
        <v>539.5200000000001</v>
      </c>
      <c r="J19" s="44"/>
      <c r="K19" s="40">
        <v>0.286512</v>
      </c>
      <c r="L19" s="43">
        <f t="shared" si="3"/>
        <v>44.838268464</v>
      </c>
      <c r="M19" s="44"/>
      <c r="N19" s="40">
        <v>1.864886</v>
      </c>
      <c r="O19" s="43">
        <f t="shared" si="4"/>
        <v>291.849064342</v>
      </c>
    </row>
    <row r="20" spans="1:15" ht="12.75">
      <c r="A20" s="40" t="s">
        <v>8</v>
      </c>
      <c r="B20" s="40" t="s">
        <v>9</v>
      </c>
      <c r="C20" s="40">
        <v>3.6587</v>
      </c>
      <c r="D20" s="39">
        <f>+Jan!D20+Feb!D20+Mar!D20+Apr!D20+May!D20+Jun!D20+Jul!D20+Aug!D20+Sep!D20+Oct!D20+Nov!D20+Dec!D20</f>
        <v>4649.83</v>
      </c>
      <c r="E20" s="39">
        <f>+Jan!E20+Feb!E20+Mar!E20+Apr!E20+May!E20+Jun!E20+Jul!E20+Aug!E20+Sep!E20+Oct!E20+Nov!E20+Dec!E20</f>
        <v>17012.32</v>
      </c>
      <c r="F20" s="44"/>
      <c r="G20" s="59">
        <v>0.59</v>
      </c>
      <c r="H20" s="39">
        <f>+Jan!H20+Feb!H20+Mar!H20+Apr!H20+May!H20+Jun!H20+Jul!H20+Aug!H20+Sep!H20+Oct!H20+Nov!H20+Dec!H20</f>
        <v>15612.203389830509</v>
      </c>
      <c r="I20" s="43">
        <f>+Jan!I20+Feb!I20+Mar!I20+Apr!I20+May!I20+Jun!I20+Jul!I20+Aug!I20+Sep!I20+Oct!I20+Nov!I20+Dec!I20</f>
        <v>9211.2</v>
      </c>
      <c r="J20" s="44"/>
      <c r="K20" s="40">
        <v>0.478809</v>
      </c>
      <c r="L20" s="43">
        <f t="shared" si="3"/>
        <v>2226.38045247</v>
      </c>
      <c r="M20" s="44"/>
      <c r="N20" s="40">
        <v>1.188604</v>
      </c>
      <c r="O20" s="43">
        <f t="shared" si="4"/>
        <v>5526.80653732</v>
      </c>
    </row>
    <row r="21" spans="1:15" ht="12.75">
      <c r="A21" s="40" t="s">
        <v>10</v>
      </c>
      <c r="B21" s="40" t="s">
        <v>3</v>
      </c>
      <c r="C21" s="40">
        <v>0.0095</v>
      </c>
      <c r="D21" s="39">
        <f>+Jan!D21+Feb!D21+Mar!D21+Apr!D21+May!D21+Jun!D21+Jul!D21+Aug!D21+Sep!D21+Oct!D21+Nov!D21+Dec!D21</f>
        <v>1336505.04</v>
      </c>
      <c r="E21" s="39">
        <f>+Jan!E21+Feb!E21+Mar!E21+Apr!E21+May!E21+Jun!E21+Jul!E21+Aug!E21+Sep!E21+Oct!E21+Nov!E21+Dec!E21</f>
        <v>9489.91</v>
      </c>
      <c r="F21" s="44"/>
      <c r="G21" s="54">
        <f>+G17</f>
        <v>32.21</v>
      </c>
      <c r="H21" s="39">
        <f>+Jan!H21+Feb!H21+Mar!H21+Apr!H21+May!H21+Jun!H21+Jul!H21+Aug!H21+Sep!H21+Oct!H21+Nov!H21+Dec!H21</f>
        <v>679.5492083203974</v>
      </c>
      <c r="I21" s="43">
        <f>+Jan!I21+Feb!I21+Mar!I21+Apr!I21+May!I21+Jun!I21+Jul!I21+Aug!I21+Sep!I21+Oct!I21+Nov!I21+Dec!I21</f>
        <v>21888.28</v>
      </c>
      <c r="J21" s="44"/>
      <c r="K21" s="40">
        <v>0.001521</v>
      </c>
      <c r="L21" s="43">
        <f t="shared" si="3"/>
        <v>2032.82416584</v>
      </c>
      <c r="M21" s="44"/>
      <c r="N21" s="40">
        <f>+N17</f>
        <v>0.003281</v>
      </c>
      <c r="O21" s="43">
        <f t="shared" si="4"/>
        <v>4385.07303624</v>
      </c>
    </row>
    <row r="22" spans="1:15" ht="12.75">
      <c r="A22" s="40" t="s">
        <v>17</v>
      </c>
      <c r="E22" s="61">
        <f>SUM(E16:E21)</f>
        <v>2293428.9899999998</v>
      </c>
      <c r="F22" s="44"/>
      <c r="G22" s="45"/>
      <c r="H22" s="45"/>
      <c r="I22" s="61">
        <f>SUM(I16:I21)</f>
        <v>1084123.21</v>
      </c>
      <c r="J22" s="44"/>
      <c r="L22" s="61">
        <f>SUM(L16:L21)</f>
        <v>451841.431308548</v>
      </c>
      <c r="O22" s="61">
        <f>SUM(O16:O21)</f>
        <v>613049.759970833</v>
      </c>
    </row>
    <row r="23" spans="5:15" ht="12.75">
      <c r="E23" s="45"/>
      <c r="F23" s="44"/>
      <c r="G23" s="45"/>
      <c r="H23" s="74"/>
      <c r="I23" s="45"/>
      <c r="J23" s="44"/>
      <c r="K23" s="40" t="s">
        <v>45</v>
      </c>
      <c r="L23" s="45"/>
      <c r="M23" s="77">
        <f>+L22/E22</f>
        <v>0.19701566225887293</v>
      </c>
      <c r="O23" s="78">
        <f>+O22/E22</f>
        <v>0.26730705971011254</v>
      </c>
    </row>
    <row r="24" spans="6:10" ht="12.75">
      <c r="F24" s="44"/>
      <c r="G24" s="45"/>
      <c r="H24" s="45"/>
      <c r="I24" s="45"/>
      <c r="J24" s="44"/>
    </row>
    <row r="25" spans="1:15" ht="13.5" thickBot="1">
      <c r="A25" s="40" t="s">
        <v>23</v>
      </c>
      <c r="E25" s="64">
        <f>+E12+E22</f>
        <v>3373832.01</v>
      </c>
      <c r="F25" s="44"/>
      <c r="G25" s="45"/>
      <c r="H25" s="45"/>
      <c r="I25" s="64">
        <f>+I12+I22</f>
        <v>2149553.19</v>
      </c>
      <c r="J25" s="44"/>
      <c r="L25" s="64">
        <f>+L22</f>
        <v>451841.431308548</v>
      </c>
      <c r="O25" s="64">
        <f>+O12+O22</f>
        <v>1024303.0979951032</v>
      </c>
    </row>
    <row r="26" spans="6:10" ht="13.5" thickTop="1">
      <c r="F26" s="44"/>
      <c r="G26" s="45"/>
      <c r="H26" s="45"/>
      <c r="I26" s="45"/>
      <c r="J26" s="44"/>
    </row>
    <row r="27" spans="5:15" ht="13.5" thickBot="1">
      <c r="E27" s="57" t="s">
        <v>42</v>
      </c>
      <c r="F27" s="44"/>
      <c r="G27" s="45"/>
      <c r="H27" s="45"/>
      <c r="I27" s="64">
        <f>+E25+I25</f>
        <v>5523385.199999999</v>
      </c>
      <c r="J27" s="44"/>
      <c r="K27" s="79" t="s">
        <v>43</v>
      </c>
      <c r="L27" s="76">
        <f>+L25/I27</f>
        <v>0.0818051638528756</v>
      </c>
      <c r="O27" s="76">
        <f>+O25/I27</f>
        <v>0.18544842717018964</v>
      </c>
    </row>
    <row r="28" spans="1:10" ht="13.5" thickTop="1">
      <c r="A28" s="46" t="s">
        <v>4</v>
      </c>
      <c r="F28" s="44"/>
      <c r="G28" s="45"/>
      <c r="H28" s="45"/>
      <c r="I28" s="45"/>
      <c r="J28" s="44"/>
    </row>
    <row r="29" spans="1:10" ht="12.75">
      <c r="A29" s="65" t="s">
        <v>38</v>
      </c>
      <c r="F29" s="44"/>
      <c r="G29" s="45"/>
      <c r="H29" s="45"/>
      <c r="I29" s="45"/>
      <c r="J29" s="44"/>
    </row>
    <row r="30" spans="1:10" ht="12.75">
      <c r="A30" s="40" t="s">
        <v>32</v>
      </c>
      <c r="F30" s="44"/>
      <c r="G30" s="45"/>
      <c r="H30" s="45"/>
      <c r="I30" s="45"/>
      <c r="J30" s="44"/>
    </row>
    <row r="31" spans="1:10" ht="12.75">
      <c r="A31" s="40" t="s">
        <v>11</v>
      </c>
      <c r="F31" s="44"/>
      <c r="G31" s="45"/>
      <c r="H31" s="45"/>
      <c r="I31" s="45"/>
      <c r="J31" s="44"/>
    </row>
    <row r="32" spans="1:10" ht="12.75">
      <c r="A32" s="40" t="s">
        <v>24</v>
      </c>
      <c r="F32" s="44"/>
      <c r="G32" s="45"/>
      <c r="H32" s="45"/>
      <c r="I32" s="45"/>
      <c r="J32" s="44"/>
    </row>
    <row r="33" spans="6:10" ht="12.75">
      <c r="F33" s="44"/>
      <c r="G33" s="45"/>
      <c r="H33" s="45"/>
      <c r="I33" s="45"/>
      <c r="J33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26" right="0.2" top="0.88" bottom="0.48" header="0.5" footer="0.2"/>
  <pageSetup fitToHeight="1" fitToWidth="1" horizontalDpi="600" verticalDpi="600" orientation="landscape" scale="96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D10" sqref="D10"/>
    </sheetView>
  </sheetViews>
  <sheetFormatPr defaultColWidth="9.140625" defaultRowHeight="12.75"/>
  <cols>
    <col min="4" max="4" width="10.00390625" style="0" bestFit="1" customWidth="1"/>
    <col min="5" max="5" width="11.28125" style="0" bestFit="1" customWidth="1"/>
    <col min="6" max="6" width="2.28125" style="0" customWidth="1"/>
    <col min="8" max="8" width="10.28125" style="0" bestFit="1" customWidth="1"/>
    <col min="9" max="9" width="11.28125" style="0" bestFit="1" customWidth="1"/>
    <col min="10" max="10" width="2.7109375" style="0" customWidth="1"/>
    <col min="12" max="12" width="10.28125" style="0" bestFit="1" customWidth="1"/>
    <col min="15" max="15" width="10.28125" style="0" bestFit="1" customWidth="1"/>
  </cols>
  <sheetData>
    <row r="1" spans="1:9" ht="12.75">
      <c r="A1" t="s">
        <v>19</v>
      </c>
      <c r="E1" t="s">
        <v>31</v>
      </c>
      <c r="G1" s="8"/>
      <c r="H1" s="12"/>
      <c r="I1" s="12"/>
    </row>
    <row r="2" spans="1:14" ht="12.75">
      <c r="A2" t="s">
        <v>14</v>
      </c>
      <c r="E2" s="8"/>
      <c r="F2" s="5"/>
      <c r="G2" s="10"/>
      <c r="H2" s="10"/>
      <c r="I2" s="10"/>
      <c r="J2" s="5"/>
      <c r="K2" s="2" t="s">
        <v>21</v>
      </c>
      <c r="M2" s="18" t="s">
        <v>35</v>
      </c>
      <c r="N2" s="18"/>
    </row>
    <row r="3" spans="3:10" ht="12.75">
      <c r="C3" s="90" t="s">
        <v>30</v>
      </c>
      <c r="D3" s="91"/>
      <c r="E3" s="91"/>
      <c r="F3" s="91"/>
      <c r="G3" s="91"/>
      <c r="H3" s="91"/>
      <c r="I3" s="93"/>
      <c r="J3" s="5"/>
    </row>
    <row r="4" spans="1:15" ht="12.75">
      <c r="A4" s="2" t="s">
        <v>15</v>
      </c>
      <c r="B4" s="87" t="s">
        <v>25</v>
      </c>
      <c r="C4" s="88"/>
      <c r="D4" s="88"/>
      <c r="E4" s="89"/>
      <c r="F4" s="5"/>
      <c r="G4" s="87" t="s">
        <v>26</v>
      </c>
      <c r="H4" s="88"/>
      <c r="I4" s="89"/>
      <c r="J4" s="9"/>
      <c r="K4" s="90" t="s">
        <v>22</v>
      </c>
      <c r="L4" s="91"/>
      <c r="M4" s="91"/>
      <c r="N4" s="91"/>
      <c r="O4" s="93"/>
    </row>
    <row r="5" spans="1:15" ht="12.75">
      <c r="A5" s="1" t="s">
        <v>0</v>
      </c>
      <c r="B5" s="23" t="s">
        <v>1</v>
      </c>
      <c r="C5" s="23" t="s">
        <v>16</v>
      </c>
      <c r="D5" s="23" t="s">
        <v>12</v>
      </c>
      <c r="E5" s="23" t="s">
        <v>28</v>
      </c>
      <c r="F5" s="23"/>
      <c r="G5" s="24" t="s">
        <v>16</v>
      </c>
      <c r="H5" s="24" t="s">
        <v>27</v>
      </c>
      <c r="I5" s="24" t="s">
        <v>34</v>
      </c>
      <c r="J5" s="5"/>
      <c r="K5" s="23" t="s">
        <v>36</v>
      </c>
      <c r="L5" s="23" t="s">
        <v>29</v>
      </c>
      <c r="M5" s="23" t="s">
        <v>37</v>
      </c>
      <c r="N5" s="23" t="s">
        <v>33</v>
      </c>
      <c r="O5" s="26" t="s">
        <v>17</v>
      </c>
    </row>
    <row r="6" spans="1:15" ht="12.75">
      <c r="A6" t="s">
        <v>2</v>
      </c>
      <c r="B6" t="s">
        <v>3</v>
      </c>
      <c r="C6" s="13">
        <v>0.0122</v>
      </c>
      <c r="D6" s="31">
        <v>-30</v>
      </c>
      <c r="E6" s="12">
        <v>-0.36</v>
      </c>
      <c r="F6" s="6"/>
      <c r="G6" s="14">
        <v>13.25</v>
      </c>
      <c r="H6" s="14">
        <f aca="true" t="shared" si="0" ref="H6:H11">I6/G6</f>
        <v>0.33358490566037735</v>
      </c>
      <c r="I6" s="12">
        <v>4.42</v>
      </c>
      <c r="J6" s="6"/>
      <c r="K6" s="16">
        <v>0.0023</v>
      </c>
      <c r="L6" s="25">
        <v>2.54</v>
      </c>
      <c r="M6" s="25">
        <f aca="true" t="shared" si="1" ref="M6:M11">+D6*K6</f>
        <v>-0.069</v>
      </c>
      <c r="N6" s="25">
        <f aca="true" t="shared" si="2" ref="N6:N11">+H6*L6</f>
        <v>0.8473056603773584</v>
      </c>
      <c r="O6" s="28">
        <f aca="true" t="shared" si="3" ref="O6:O11">SUM(M6:N6)</f>
        <v>0.7783056603773584</v>
      </c>
    </row>
    <row r="7" spans="1:15" ht="12.75">
      <c r="A7" t="s">
        <v>5</v>
      </c>
      <c r="B7" t="s">
        <v>3</v>
      </c>
      <c r="C7" s="13">
        <v>0.0091</v>
      </c>
      <c r="D7" s="31">
        <v>18260</v>
      </c>
      <c r="E7" s="29">
        <v>166.17</v>
      </c>
      <c r="F7" s="7"/>
      <c r="G7" s="15">
        <v>32.21</v>
      </c>
      <c r="H7" s="14">
        <f t="shared" si="0"/>
        <v>9.533685190934492</v>
      </c>
      <c r="I7" s="12">
        <v>307.08</v>
      </c>
      <c r="J7" s="7"/>
      <c r="K7" s="16">
        <v>0.0017</v>
      </c>
      <c r="L7" s="25">
        <v>6.6</v>
      </c>
      <c r="M7" s="25">
        <f t="shared" si="1"/>
        <v>31.041999999999998</v>
      </c>
      <c r="N7" s="25">
        <f t="shared" si="2"/>
        <v>62.92232226016764</v>
      </c>
      <c r="O7" s="28">
        <f t="shared" si="3"/>
        <v>93.96432226016763</v>
      </c>
    </row>
    <row r="8" spans="1:15" ht="12.75">
      <c r="A8" t="s">
        <v>6</v>
      </c>
      <c r="B8" t="s">
        <v>9</v>
      </c>
      <c r="C8" s="13">
        <v>1.6919</v>
      </c>
      <c r="D8" s="36">
        <v>43.524</v>
      </c>
      <c r="E8" s="12">
        <v>73.64</v>
      </c>
      <c r="F8" s="6"/>
      <c r="G8" s="14">
        <v>204.28</v>
      </c>
      <c r="H8" s="14">
        <f t="shared" si="0"/>
        <v>0.8999902095163501</v>
      </c>
      <c r="I8" s="12">
        <v>183.85</v>
      </c>
      <c r="J8" s="6"/>
      <c r="K8" s="16">
        <v>0.3166</v>
      </c>
      <c r="L8" s="25">
        <v>41.86</v>
      </c>
      <c r="M8" s="25">
        <f t="shared" si="1"/>
        <v>13.7796984</v>
      </c>
      <c r="N8" s="25">
        <f t="shared" si="2"/>
        <v>37.673590170354416</v>
      </c>
      <c r="O8" s="28">
        <f t="shared" si="3"/>
        <v>51.45328857035442</v>
      </c>
    </row>
    <row r="9" spans="1:15" ht="12.75">
      <c r="A9" t="s">
        <v>7</v>
      </c>
      <c r="B9" t="s">
        <v>9</v>
      </c>
      <c r="C9" s="13">
        <v>5.2694</v>
      </c>
      <c r="D9" s="31"/>
      <c r="E9" s="29"/>
      <c r="F9" s="7"/>
      <c r="G9" s="15">
        <v>2.96</v>
      </c>
      <c r="H9" s="14">
        <f t="shared" si="0"/>
        <v>0</v>
      </c>
      <c r="I9" s="12">
        <v>0</v>
      </c>
      <c r="J9" s="7"/>
      <c r="K9" s="16">
        <v>0.7792</v>
      </c>
      <c r="L9" s="25">
        <v>0.72</v>
      </c>
      <c r="M9" s="25">
        <f t="shared" si="1"/>
        <v>0</v>
      </c>
      <c r="N9" s="25">
        <f t="shared" si="2"/>
        <v>0</v>
      </c>
      <c r="O9" s="28">
        <f t="shared" si="3"/>
        <v>0</v>
      </c>
    </row>
    <row r="10" spans="1:15" ht="12.75">
      <c r="A10" t="s">
        <v>8</v>
      </c>
      <c r="B10" t="s">
        <v>9</v>
      </c>
      <c r="C10" s="13">
        <v>3.5359</v>
      </c>
      <c r="D10" s="31"/>
      <c r="E10" s="29"/>
      <c r="F10" s="7"/>
      <c r="G10" s="15">
        <v>0.59</v>
      </c>
      <c r="H10" s="14">
        <f t="shared" si="0"/>
        <v>0</v>
      </c>
      <c r="I10" s="12">
        <v>0</v>
      </c>
      <c r="J10" s="7"/>
      <c r="K10" s="16">
        <v>0.6629</v>
      </c>
      <c r="L10" s="25">
        <v>0.11</v>
      </c>
      <c r="M10" s="25">
        <f t="shared" si="1"/>
        <v>0</v>
      </c>
      <c r="N10" s="25">
        <f t="shared" si="2"/>
        <v>0</v>
      </c>
      <c r="O10" s="28">
        <f t="shared" si="3"/>
        <v>0</v>
      </c>
    </row>
    <row r="11" spans="1:15" ht="12.75">
      <c r="A11" t="s">
        <v>10</v>
      </c>
      <c r="B11" t="s">
        <v>3</v>
      </c>
      <c r="C11" s="13">
        <v>0.0091</v>
      </c>
      <c r="D11" s="31"/>
      <c r="E11" s="12"/>
      <c r="F11" s="6"/>
      <c r="G11" s="14">
        <f>+G7</f>
        <v>32.21</v>
      </c>
      <c r="H11" s="14">
        <f t="shared" si="0"/>
        <v>0</v>
      </c>
      <c r="I11" s="12">
        <v>0</v>
      </c>
      <c r="J11" s="6"/>
      <c r="K11" s="17">
        <f>+K7</f>
        <v>0.0017</v>
      </c>
      <c r="L11" s="25">
        <f>+L7</f>
        <v>6.6</v>
      </c>
      <c r="M11" s="25">
        <f t="shared" si="1"/>
        <v>0</v>
      </c>
      <c r="N11" s="25">
        <f t="shared" si="2"/>
        <v>0</v>
      </c>
      <c r="O11" s="28">
        <f t="shared" si="3"/>
        <v>0</v>
      </c>
    </row>
    <row r="12" spans="1:15" ht="12.75">
      <c r="A12" t="s">
        <v>17</v>
      </c>
      <c r="E12" s="19">
        <f>SUM(E6:E11)</f>
        <v>239.45</v>
      </c>
      <c r="F12" s="5"/>
      <c r="G12" s="10"/>
      <c r="H12" s="10"/>
      <c r="I12" s="19">
        <f>SUM(I6:I11)</f>
        <v>495.35</v>
      </c>
      <c r="J12" s="5"/>
      <c r="K12" s="18"/>
      <c r="L12" s="18"/>
      <c r="M12" s="19">
        <f>SUM(M6:M11)</f>
        <v>44.7526984</v>
      </c>
      <c r="N12" s="19">
        <f>SUM(N6:N11)</f>
        <v>101.44321809089942</v>
      </c>
      <c r="O12" s="19">
        <f>SUM(O6:O11)</f>
        <v>146.1959164908994</v>
      </c>
    </row>
    <row r="13" spans="6:10" ht="12.75">
      <c r="F13" s="5"/>
      <c r="G13" s="10"/>
      <c r="H13" s="10"/>
      <c r="I13" s="10"/>
      <c r="J13" s="5"/>
    </row>
    <row r="14" spans="1:15" ht="12.75">
      <c r="A14" s="2" t="s">
        <v>18</v>
      </c>
      <c r="B14" s="87" t="s">
        <v>25</v>
      </c>
      <c r="C14" s="88"/>
      <c r="D14" s="88"/>
      <c r="E14" s="89"/>
      <c r="F14" s="5"/>
      <c r="G14" s="87" t="s">
        <v>26</v>
      </c>
      <c r="H14" s="88"/>
      <c r="I14" s="89"/>
      <c r="J14" s="5"/>
      <c r="K14" s="90" t="s">
        <v>20</v>
      </c>
      <c r="L14" s="91"/>
      <c r="M14" s="11"/>
      <c r="N14" s="92" t="s">
        <v>22</v>
      </c>
      <c r="O14" s="92"/>
    </row>
    <row r="15" spans="1:15" ht="12.75">
      <c r="A15" s="1" t="s">
        <v>0</v>
      </c>
      <c r="B15" s="23" t="s">
        <v>1</v>
      </c>
      <c r="C15" s="23" t="s">
        <v>16</v>
      </c>
      <c r="D15" s="23" t="s">
        <v>12</v>
      </c>
      <c r="E15" s="23" t="s">
        <v>13</v>
      </c>
      <c r="F15" s="5"/>
      <c r="G15" s="24" t="s">
        <v>16</v>
      </c>
      <c r="H15" s="24" t="s">
        <v>27</v>
      </c>
      <c r="I15" s="24" t="s">
        <v>34</v>
      </c>
      <c r="J15" s="5"/>
      <c r="K15" s="23" t="s">
        <v>16</v>
      </c>
      <c r="L15" s="23" t="s">
        <v>13</v>
      </c>
      <c r="M15" s="5"/>
      <c r="N15" s="23" t="s">
        <v>16</v>
      </c>
      <c r="O15" s="23" t="s">
        <v>13</v>
      </c>
    </row>
    <row r="16" spans="1:15" ht="12.75">
      <c r="A16" t="s">
        <v>2</v>
      </c>
      <c r="B16" t="s">
        <v>3</v>
      </c>
      <c r="C16" s="18">
        <v>0.0125</v>
      </c>
      <c r="D16">
        <v>12718097</v>
      </c>
      <c r="E16">
        <v>159005.72</v>
      </c>
      <c r="F16" s="5"/>
      <c r="G16" s="14">
        <v>13.25</v>
      </c>
      <c r="H16" s="14">
        <f aca="true" t="shared" si="4" ref="H16:H21">I16/G16</f>
        <v>14716.883773584905</v>
      </c>
      <c r="I16" s="12">
        <v>194998.71</v>
      </c>
      <c r="J16" s="5"/>
      <c r="K16" s="18">
        <v>0.001521</v>
      </c>
      <c r="L16" s="25">
        <f aca="true" t="shared" si="5" ref="L16:L21">+$D16*K16</f>
        <v>19344.225537</v>
      </c>
      <c r="M16" s="20"/>
      <c r="N16" s="18">
        <v>0.003957</v>
      </c>
      <c r="O16" s="25">
        <f aca="true" t="shared" si="6" ref="O16:O21">+$D16*N16</f>
        <v>50325.509828999995</v>
      </c>
    </row>
    <row r="17" spans="1:15" ht="12.75">
      <c r="A17" t="s">
        <v>5</v>
      </c>
      <c r="B17" t="s">
        <v>3</v>
      </c>
      <c r="C17" s="18">
        <v>0.0095</v>
      </c>
      <c r="D17">
        <v>3016833</v>
      </c>
      <c r="E17">
        <v>28661.25</v>
      </c>
      <c r="F17" s="5"/>
      <c r="G17" s="15">
        <v>32.21</v>
      </c>
      <c r="H17" s="14">
        <f t="shared" si="4"/>
        <v>1072.0819621235642</v>
      </c>
      <c r="I17" s="12">
        <v>34531.76</v>
      </c>
      <c r="J17" s="5"/>
      <c r="K17" s="18">
        <v>0.001521</v>
      </c>
      <c r="L17" s="25">
        <f t="shared" si="5"/>
        <v>4588.602993</v>
      </c>
      <c r="M17" s="20"/>
      <c r="N17" s="18">
        <v>0.003281</v>
      </c>
      <c r="O17" s="25">
        <f t="shared" si="6"/>
        <v>9898.229073</v>
      </c>
    </row>
    <row r="18" spans="1:15" ht="12.75">
      <c r="A18" t="s">
        <v>6</v>
      </c>
      <c r="B18" t="s">
        <v>9</v>
      </c>
      <c r="C18" s="18">
        <v>2.2816</v>
      </c>
      <c r="D18">
        <f>2256.768+36648.015+12366.31</f>
        <v>51271.09299999999</v>
      </c>
      <c r="E18">
        <f>5149.04+83616.15+28215.01</f>
        <v>116980.19999999998</v>
      </c>
      <c r="F18" s="5"/>
      <c r="G18" s="14">
        <v>204.28</v>
      </c>
      <c r="H18" s="14">
        <f t="shared" si="4"/>
        <v>177.30081261014294</v>
      </c>
      <c r="I18" s="12">
        <v>36219.01</v>
      </c>
      <c r="J18" s="5"/>
      <c r="K18" s="18">
        <v>0.703918</v>
      </c>
      <c r="L18" s="25">
        <f t="shared" si="5"/>
        <v>36090.645242374</v>
      </c>
      <c r="M18" s="20"/>
      <c r="N18" s="18">
        <v>0.403767</v>
      </c>
      <c r="O18" s="25">
        <f t="shared" si="6"/>
        <v>20701.575407330998</v>
      </c>
    </row>
    <row r="19" spans="1:15" ht="12.75">
      <c r="A19" t="s">
        <v>7</v>
      </c>
      <c r="B19" t="s">
        <v>9</v>
      </c>
      <c r="C19" s="18">
        <v>2.3323</v>
      </c>
      <c r="D19">
        <v>18.466</v>
      </c>
      <c r="E19">
        <v>84.62</v>
      </c>
      <c r="F19" s="5"/>
      <c r="G19" s="15">
        <v>2.96</v>
      </c>
      <c r="H19" s="14">
        <f t="shared" si="4"/>
        <v>45.29054054054054</v>
      </c>
      <c r="I19" s="12">
        <v>134.06</v>
      </c>
      <c r="J19" s="5"/>
      <c r="K19" s="18">
        <v>0.286512</v>
      </c>
      <c r="L19" s="25">
        <f t="shared" si="5"/>
        <v>5.290730592</v>
      </c>
      <c r="M19" s="20"/>
      <c r="N19" s="18">
        <v>1.864886</v>
      </c>
      <c r="O19" s="25">
        <f t="shared" si="6"/>
        <v>34.436984876000004</v>
      </c>
    </row>
    <row r="20" spans="1:15" ht="12.75">
      <c r="A20" t="s">
        <v>8</v>
      </c>
      <c r="B20" t="s">
        <v>9</v>
      </c>
      <c r="C20" s="18">
        <v>3.6587</v>
      </c>
      <c r="D20">
        <v>568.94</v>
      </c>
      <c r="E20">
        <v>2081.58</v>
      </c>
      <c r="F20" s="5"/>
      <c r="G20" s="15">
        <v>0.59</v>
      </c>
      <c r="H20" s="14">
        <f t="shared" si="4"/>
        <v>3968.101694915254</v>
      </c>
      <c r="I20" s="12">
        <v>2341.18</v>
      </c>
      <c r="J20" s="5"/>
      <c r="K20" s="18">
        <v>0.478809</v>
      </c>
      <c r="L20" s="25">
        <f t="shared" si="5"/>
        <v>272.41359246</v>
      </c>
      <c r="M20" s="20"/>
      <c r="N20" s="18">
        <v>1.188604</v>
      </c>
      <c r="O20" s="25">
        <f t="shared" si="6"/>
        <v>676.2443597600001</v>
      </c>
    </row>
    <row r="21" spans="1:15" ht="12.75">
      <c r="A21" t="s">
        <v>10</v>
      </c>
      <c r="B21" t="s">
        <v>3</v>
      </c>
      <c r="C21" s="18">
        <v>0.0095</v>
      </c>
      <c r="D21">
        <v>159559.01</v>
      </c>
      <c r="E21">
        <v>1132.97</v>
      </c>
      <c r="F21" s="5"/>
      <c r="G21" s="14">
        <f>+G17</f>
        <v>32.21</v>
      </c>
      <c r="H21" s="14">
        <f t="shared" si="4"/>
        <v>158</v>
      </c>
      <c r="I21" s="12">
        <v>5089.18</v>
      </c>
      <c r="J21" s="5"/>
      <c r="K21" s="18">
        <v>0.001521</v>
      </c>
      <c r="L21" s="25">
        <f t="shared" si="5"/>
        <v>242.68925421</v>
      </c>
      <c r="M21" s="20"/>
      <c r="N21" s="18">
        <f>+N17</f>
        <v>0.003281</v>
      </c>
      <c r="O21" s="25">
        <f t="shared" si="6"/>
        <v>523.51311181</v>
      </c>
    </row>
    <row r="22" spans="1:15" ht="12.75">
      <c r="A22" t="s">
        <v>17</v>
      </c>
      <c r="E22" s="19">
        <f>SUM(E16:E21)</f>
        <v>307946.33999999997</v>
      </c>
      <c r="F22" s="5"/>
      <c r="G22" s="10"/>
      <c r="H22" s="10"/>
      <c r="I22" s="19">
        <f>SUM(I16:I21)</f>
        <v>273313.89999999997</v>
      </c>
      <c r="J22" s="5"/>
      <c r="K22" s="18"/>
      <c r="L22" s="19">
        <f>SUM(L16:L21)</f>
        <v>60543.867349636</v>
      </c>
      <c r="M22" s="21"/>
      <c r="N22" s="18"/>
      <c r="O22" s="19">
        <f>SUM(O16:O21)</f>
        <v>82159.50876577699</v>
      </c>
    </row>
    <row r="23" spans="6:15" ht="12.75">
      <c r="F23" s="5"/>
      <c r="G23" s="10"/>
      <c r="H23" s="10"/>
      <c r="I23" s="10"/>
      <c r="J23" s="5"/>
      <c r="K23" s="18"/>
      <c r="L23" s="25"/>
      <c r="M23" s="18"/>
      <c r="N23" s="18"/>
      <c r="O23" s="25"/>
    </row>
    <row r="24" spans="1:15" ht="13.5" thickBot="1">
      <c r="A24" t="s">
        <v>23</v>
      </c>
      <c r="E24" s="22">
        <f>+E12+E22</f>
        <v>308185.79</v>
      </c>
      <c r="F24" s="5"/>
      <c r="G24" s="10"/>
      <c r="H24" s="10"/>
      <c r="I24" s="22">
        <f>+I12+I22</f>
        <v>273809.24999999994</v>
      </c>
      <c r="J24" s="5"/>
      <c r="K24" s="18"/>
      <c r="L24" s="27">
        <f>+L22</f>
        <v>60543.867349636</v>
      </c>
      <c r="M24" s="18"/>
      <c r="N24" s="18"/>
      <c r="O24" s="27">
        <f>+O12+O22</f>
        <v>82305.7046822679</v>
      </c>
    </row>
    <row r="25" spans="6:10" ht="13.5" thickTop="1">
      <c r="F25" s="5"/>
      <c r="G25" s="10"/>
      <c r="H25" s="10"/>
      <c r="I25" s="10"/>
      <c r="J25" s="5"/>
    </row>
    <row r="26" spans="6:10" ht="12.75">
      <c r="F26" s="5"/>
      <c r="G26" s="10"/>
      <c r="H26" s="10"/>
      <c r="I26" s="10"/>
      <c r="J26" s="5"/>
    </row>
    <row r="27" spans="1:10" ht="12.75">
      <c r="A27" s="2" t="s">
        <v>4</v>
      </c>
      <c r="F27" s="5"/>
      <c r="G27" s="10"/>
      <c r="H27" s="10"/>
      <c r="I27" s="10"/>
      <c r="J27" s="5"/>
    </row>
    <row r="28" spans="1:10" ht="12.75">
      <c r="A28" s="30" t="s">
        <v>38</v>
      </c>
      <c r="F28" s="5"/>
      <c r="G28" s="10"/>
      <c r="H28" s="10"/>
      <c r="I28" s="10"/>
      <c r="J28" s="5"/>
    </row>
    <row r="29" spans="1:10" ht="12.75">
      <c r="A29" t="s">
        <v>32</v>
      </c>
      <c r="F29" s="5"/>
      <c r="G29" s="10"/>
      <c r="H29" s="10"/>
      <c r="I29" s="10"/>
      <c r="J29" s="5"/>
    </row>
    <row r="30" spans="1:10" ht="12.75">
      <c r="A30" t="s">
        <v>11</v>
      </c>
      <c r="F30" s="5"/>
      <c r="G30" s="10"/>
      <c r="H30" s="10"/>
      <c r="I30" s="10"/>
      <c r="J30" s="5"/>
    </row>
    <row r="31" spans="1:10" ht="12.75">
      <c r="A31" t="s">
        <v>24</v>
      </c>
      <c r="F31" s="5"/>
      <c r="G31" s="10"/>
      <c r="H31" s="10"/>
      <c r="I31" s="10"/>
      <c r="J31" s="5"/>
    </row>
    <row r="32" spans="6:10" ht="12.75">
      <c r="F32" s="5"/>
      <c r="G32" s="10"/>
      <c r="H32" s="10"/>
      <c r="I32" s="10"/>
      <c r="J32" s="5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39" right="0.4" top="0.9" bottom="0.47" header="0.24" footer="0.2"/>
  <pageSetup fitToHeight="1" fitToWidth="1" horizontalDpi="600" verticalDpi="600" orientation="landscape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B27" sqref="B27"/>
    </sheetView>
  </sheetViews>
  <sheetFormatPr defaultColWidth="9.140625" defaultRowHeight="12.75"/>
  <cols>
    <col min="5" max="5" width="11.28125" style="0" bestFit="1" customWidth="1"/>
    <col min="6" max="6" width="2.7109375" style="0" customWidth="1"/>
    <col min="8" max="8" width="10.28125" style="0" bestFit="1" customWidth="1"/>
    <col min="9" max="9" width="11.28125" style="0" bestFit="1" customWidth="1"/>
    <col min="10" max="10" width="2.421875" style="0" customWidth="1"/>
    <col min="12" max="12" width="10.28125" style="0" bestFit="1" customWidth="1"/>
    <col min="15" max="15" width="10.28125" style="0" bestFit="1" customWidth="1"/>
  </cols>
  <sheetData>
    <row r="1" spans="1:9" ht="12.75">
      <c r="A1" t="s">
        <v>19</v>
      </c>
      <c r="E1" t="s">
        <v>31</v>
      </c>
      <c r="G1" s="8">
        <v>38261</v>
      </c>
      <c r="H1" s="12"/>
      <c r="I1" s="12"/>
    </row>
    <row r="2" spans="1:14" ht="12.75">
      <c r="A2" t="s">
        <v>14</v>
      </c>
      <c r="E2" s="8"/>
      <c r="F2" s="5"/>
      <c r="G2" s="10"/>
      <c r="H2" s="10"/>
      <c r="I2" s="10"/>
      <c r="J2" s="5"/>
      <c r="K2" s="2" t="s">
        <v>21</v>
      </c>
      <c r="M2" s="18" t="s">
        <v>35</v>
      </c>
      <c r="N2" s="18"/>
    </row>
    <row r="3" spans="3:10" ht="12.75">
      <c r="C3" s="90" t="s">
        <v>30</v>
      </c>
      <c r="D3" s="91"/>
      <c r="E3" s="91"/>
      <c r="F3" s="91"/>
      <c r="G3" s="91"/>
      <c r="H3" s="91"/>
      <c r="I3" s="93"/>
      <c r="J3" s="5"/>
    </row>
    <row r="4" spans="1:15" ht="12.75">
      <c r="A4" s="2" t="s">
        <v>15</v>
      </c>
      <c r="B4" s="87" t="s">
        <v>25</v>
      </c>
      <c r="C4" s="88"/>
      <c r="D4" s="88"/>
      <c r="E4" s="89"/>
      <c r="F4" s="5"/>
      <c r="G4" s="87" t="s">
        <v>26</v>
      </c>
      <c r="H4" s="88"/>
      <c r="I4" s="89"/>
      <c r="J4" s="9"/>
      <c r="K4" s="90" t="s">
        <v>22</v>
      </c>
      <c r="L4" s="91"/>
      <c r="M4" s="91"/>
      <c r="N4" s="91"/>
      <c r="O4" s="93"/>
    </row>
    <row r="5" spans="1:15" ht="12.75">
      <c r="A5" s="1" t="s">
        <v>0</v>
      </c>
      <c r="B5" s="23" t="s">
        <v>1</v>
      </c>
      <c r="C5" s="23" t="s">
        <v>16</v>
      </c>
      <c r="D5" s="23" t="s">
        <v>12</v>
      </c>
      <c r="E5" s="23" t="s">
        <v>28</v>
      </c>
      <c r="F5" s="23"/>
      <c r="G5" s="24" t="s">
        <v>16</v>
      </c>
      <c r="H5" s="24" t="s">
        <v>27</v>
      </c>
      <c r="I5" s="24" t="s">
        <v>34</v>
      </c>
      <c r="J5" s="5"/>
      <c r="K5" s="23" t="s">
        <v>36</v>
      </c>
      <c r="L5" s="23" t="s">
        <v>29</v>
      </c>
      <c r="M5" s="23" t="s">
        <v>37</v>
      </c>
      <c r="N5" s="23" t="s">
        <v>33</v>
      </c>
      <c r="O5" s="26" t="s">
        <v>17</v>
      </c>
    </row>
    <row r="6" spans="1:15" ht="12.75">
      <c r="A6" t="s">
        <v>2</v>
      </c>
      <c r="B6" t="s">
        <v>3</v>
      </c>
      <c r="C6" s="13">
        <v>0.0122</v>
      </c>
      <c r="D6" s="31"/>
      <c r="E6" s="12"/>
      <c r="F6" s="6"/>
      <c r="G6" s="14">
        <v>13.25</v>
      </c>
      <c r="H6" s="14">
        <f aca="true" t="shared" si="0" ref="H6:H11">I6/G6</f>
        <v>0</v>
      </c>
      <c r="I6" s="12"/>
      <c r="J6" s="6"/>
      <c r="K6" s="16">
        <v>0.0023</v>
      </c>
      <c r="L6" s="25">
        <v>2.54</v>
      </c>
      <c r="M6" s="25">
        <f aca="true" t="shared" si="1" ref="M6:M11">+D6*K6</f>
        <v>0</v>
      </c>
      <c r="N6" s="25">
        <f aca="true" t="shared" si="2" ref="N6:N11">+H6*L6</f>
        <v>0</v>
      </c>
      <c r="O6" s="28">
        <f aca="true" t="shared" si="3" ref="O6:O11">SUM(M6:N6)</f>
        <v>0</v>
      </c>
    </row>
    <row r="7" spans="1:15" ht="12.75">
      <c r="A7" t="s">
        <v>5</v>
      </c>
      <c r="B7" t="s">
        <v>3</v>
      </c>
      <c r="C7" s="13">
        <v>0.0091</v>
      </c>
      <c r="D7" s="31"/>
      <c r="E7" s="29"/>
      <c r="F7" s="7"/>
      <c r="G7" s="15">
        <v>32.21</v>
      </c>
      <c r="H7" s="14">
        <f t="shared" si="0"/>
        <v>0</v>
      </c>
      <c r="I7" s="12"/>
      <c r="J7" s="7"/>
      <c r="K7" s="16">
        <v>0.0017</v>
      </c>
      <c r="L7" s="25">
        <v>6.6</v>
      </c>
      <c r="M7" s="25">
        <f t="shared" si="1"/>
        <v>0</v>
      </c>
      <c r="N7" s="25">
        <f t="shared" si="2"/>
        <v>0</v>
      </c>
      <c r="O7" s="28">
        <f t="shared" si="3"/>
        <v>0</v>
      </c>
    </row>
    <row r="8" spans="1:15" ht="12.75">
      <c r="A8" t="s">
        <v>6</v>
      </c>
      <c r="B8" t="s">
        <v>9</v>
      </c>
      <c r="C8" s="13">
        <v>1.6919</v>
      </c>
      <c r="D8" s="31"/>
      <c r="E8" s="12"/>
      <c r="F8" s="6"/>
      <c r="G8" s="14">
        <v>204.28</v>
      </c>
      <c r="H8" s="14">
        <f t="shared" si="0"/>
        <v>0</v>
      </c>
      <c r="I8" s="12"/>
      <c r="J8" s="6"/>
      <c r="K8" s="16">
        <v>0.3166</v>
      </c>
      <c r="L8" s="25">
        <v>41.86</v>
      </c>
      <c r="M8" s="25">
        <f t="shared" si="1"/>
        <v>0</v>
      </c>
      <c r="N8" s="25">
        <f t="shared" si="2"/>
        <v>0</v>
      </c>
      <c r="O8" s="28">
        <f t="shared" si="3"/>
        <v>0</v>
      </c>
    </row>
    <row r="9" spans="1:15" ht="12.75">
      <c r="A9" t="s">
        <v>7</v>
      </c>
      <c r="B9" t="s">
        <v>9</v>
      </c>
      <c r="C9" s="13">
        <v>5.2694</v>
      </c>
      <c r="D9" s="31"/>
      <c r="E9" s="29"/>
      <c r="F9" s="7"/>
      <c r="G9" s="15">
        <v>2.96</v>
      </c>
      <c r="H9" s="14">
        <f t="shared" si="0"/>
        <v>0</v>
      </c>
      <c r="I9" s="12"/>
      <c r="J9" s="7"/>
      <c r="K9" s="16">
        <v>0.7792</v>
      </c>
      <c r="L9" s="25">
        <v>0.72</v>
      </c>
      <c r="M9" s="25">
        <f t="shared" si="1"/>
        <v>0</v>
      </c>
      <c r="N9" s="25">
        <f t="shared" si="2"/>
        <v>0</v>
      </c>
      <c r="O9" s="28">
        <f t="shared" si="3"/>
        <v>0</v>
      </c>
    </row>
    <row r="10" spans="1:15" ht="12.75">
      <c r="A10" t="s">
        <v>8</v>
      </c>
      <c r="B10" t="s">
        <v>9</v>
      </c>
      <c r="C10" s="13">
        <v>3.5359</v>
      </c>
      <c r="D10" s="31"/>
      <c r="E10" s="29"/>
      <c r="F10" s="7"/>
      <c r="G10" s="15">
        <v>0.59</v>
      </c>
      <c r="H10" s="14">
        <f t="shared" si="0"/>
        <v>0</v>
      </c>
      <c r="I10" s="12"/>
      <c r="J10" s="7"/>
      <c r="K10" s="16">
        <v>0.6629</v>
      </c>
      <c r="L10" s="25">
        <v>0.11</v>
      </c>
      <c r="M10" s="25">
        <f t="shared" si="1"/>
        <v>0</v>
      </c>
      <c r="N10" s="25">
        <f t="shared" si="2"/>
        <v>0</v>
      </c>
      <c r="O10" s="28">
        <f t="shared" si="3"/>
        <v>0</v>
      </c>
    </row>
    <row r="11" spans="1:15" ht="12.75">
      <c r="A11" t="s">
        <v>10</v>
      </c>
      <c r="B11" t="s">
        <v>3</v>
      </c>
      <c r="C11" s="13">
        <v>0.0091</v>
      </c>
      <c r="D11" s="31"/>
      <c r="E11" s="12"/>
      <c r="F11" s="6"/>
      <c r="G11" s="14">
        <f>+G7</f>
        <v>32.21</v>
      </c>
      <c r="H11" s="14">
        <f t="shared" si="0"/>
        <v>0</v>
      </c>
      <c r="I11" s="12"/>
      <c r="J11" s="6"/>
      <c r="K11" s="17">
        <f>+K7</f>
        <v>0.0017</v>
      </c>
      <c r="L11" s="25">
        <f>+L7</f>
        <v>6.6</v>
      </c>
      <c r="M11" s="25">
        <f t="shared" si="1"/>
        <v>0</v>
      </c>
      <c r="N11" s="25">
        <f t="shared" si="2"/>
        <v>0</v>
      </c>
      <c r="O11" s="28">
        <f t="shared" si="3"/>
        <v>0</v>
      </c>
    </row>
    <row r="12" spans="1:15" ht="12.75">
      <c r="A12" t="s">
        <v>17</v>
      </c>
      <c r="E12" s="19">
        <f>SUM(E6:E11)</f>
        <v>0</v>
      </c>
      <c r="F12" s="5"/>
      <c r="G12" s="10"/>
      <c r="H12" s="10"/>
      <c r="I12" s="19">
        <f>SUM(I6:I11)</f>
        <v>0</v>
      </c>
      <c r="J12" s="5"/>
      <c r="K12" s="18"/>
      <c r="L12" s="18"/>
      <c r="M12" s="19">
        <f>SUM(M6:M11)</f>
        <v>0</v>
      </c>
      <c r="N12" s="19">
        <f>SUM(N6:N11)</f>
        <v>0</v>
      </c>
      <c r="O12" s="19">
        <f>SUM(O6:O11)</f>
        <v>0</v>
      </c>
    </row>
    <row r="13" spans="6:10" ht="12.75">
      <c r="F13" s="5"/>
      <c r="G13" s="10"/>
      <c r="H13" s="10"/>
      <c r="I13" s="10"/>
      <c r="J13" s="5"/>
    </row>
    <row r="14" spans="1:15" ht="12.75">
      <c r="A14" s="2" t="s">
        <v>18</v>
      </c>
      <c r="B14" s="87" t="s">
        <v>25</v>
      </c>
      <c r="C14" s="88"/>
      <c r="D14" s="88"/>
      <c r="E14" s="89"/>
      <c r="F14" s="5"/>
      <c r="G14" s="87" t="s">
        <v>26</v>
      </c>
      <c r="H14" s="88"/>
      <c r="I14" s="89"/>
      <c r="J14" s="5"/>
      <c r="K14" s="90" t="s">
        <v>20</v>
      </c>
      <c r="L14" s="91"/>
      <c r="M14" s="11"/>
      <c r="N14" s="92" t="s">
        <v>22</v>
      </c>
      <c r="O14" s="92"/>
    </row>
    <row r="15" spans="1:15" ht="12.75">
      <c r="A15" s="1" t="s">
        <v>0</v>
      </c>
      <c r="B15" s="23" t="s">
        <v>1</v>
      </c>
      <c r="C15" s="23" t="s">
        <v>16</v>
      </c>
      <c r="D15" s="23" t="s">
        <v>12</v>
      </c>
      <c r="E15" s="23" t="s">
        <v>13</v>
      </c>
      <c r="F15" s="5"/>
      <c r="G15" s="24" t="s">
        <v>16</v>
      </c>
      <c r="H15" s="24" t="s">
        <v>27</v>
      </c>
      <c r="I15" s="24" t="s">
        <v>34</v>
      </c>
      <c r="J15" s="5"/>
      <c r="K15" s="23" t="s">
        <v>16</v>
      </c>
      <c r="L15" s="23" t="s">
        <v>13</v>
      </c>
      <c r="M15" s="5"/>
      <c r="N15" s="23" t="s">
        <v>16</v>
      </c>
      <c r="O15" s="23" t="s">
        <v>13</v>
      </c>
    </row>
    <row r="16" spans="1:15" ht="12.75">
      <c r="A16" t="s">
        <v>2</v>
      </c>
      <c r="B16" t="s">
        <v>3</v>
      </c>
      <c r="C16" s="18">
        <v>0.0125</v>
      </c>
      <c r="D16">
        <v>11922077</v>
      </c>
      <c r="E16">
        <v>149056.21</v>
      </c>
      <c r="F16" s="5"/>
      <c r="G16" s="14">
        <v>13.25</v>
      </c>
      <c r="H16" s="14">
        <f aca="true" t="shared" si="4" ref="H16:H21">I16/G16</f>
        <v>14112.606037735848</v>
      </c>
      <c r="I16" s="12">
        <v>186992.03</v>
      </c>
      <c r="J16" s="5"/>
      <c r="K16" s="18">
        <v>0.001521</v>
      </c>
      <c r="L16" s="25">
        <f aca="true" t="shared" si="5" ref="L16:L21">+$D16*K16</f>
        <v>18133.479117</v>
      </c>
      <c r="M16" s="20"/>
      <c r="N16" s="18">
        <v>0.003957</v>
      </c>
      <c r="O16" s="25">
        <f aca="true" t="shared" si="6" ref="O16:O21">+$D16*N16</f>
        <v>47175.658688999996</v>
      </c>
    </row>
    <row r="17" spans="1:15" ht="12.75">
      <c r="A17" t="s">
        <v>5</v>
      </c>
      <c r="B17" t="s">
        <v>3</v>
      </c>
      <c r="C17" s="18">
        <v>0.0095</v>
      </c>
      <c r="D17">
        <v>2966597</v>
      </c>
      <c r="E17">
        <v>28184.05</v>
      </c>
      <c r="F17" s="5"/>
      <c r="G17" s="15">
        <v>32.21</v>
      </c>
      <c r="H17" s="14">
        <f t="shared" si="4"/>
        <v>1061.174479975163</v>
      </c>
      <c r="I17" s="12">
        <v>34180.43</v>
      </c>
      <c r="J17" s="5"/>
      <c r="K17" s="18">
        <v>0.001521</v>
      </c>
      <c r="L17" s="25">
        <f t="shared" si="5"/>
        <v>4512.194037</v>
      </c>
      <c r="M17" s="20"/>
      <c r="N17" s="18">
        <v>0.003281</v>
      </c>
      <c r="O17" s="25">
        <f t="shared" si="6"/>
        <v>9733.404757</v>
      </c>
    </row>
    <row r="18" spans="1:15" ht="12.75">
      <c r="A18" t="s">
        <v>6</v>
      </c>
      <c r="B18" t="s">
        <v>9</v>
      </c>
      <c r="C18" s="18">
        <v>2.2816</v>
      </c>
      <c r="D18">
        <f>11931.99+29889.58+2259.012</f>
        <v>44080.582</v>
      </c>
      <c r="E18">
        <f>27224.06+68196.11+5154.16</f>
        <v>100574.33</v>
      </c>
      <c r="F18" s="5"/>
      <c r="G18" s="14">
        <v>204.28</v>
      </c>
      <c r="H18" s="14">
        <f t="shared" si="4"/>
        <v>177.47013902486782</v>
      </c>
      <c r="I18" s="12">
        <v>36253.6</v>
      </c>
      <c r="J18" s="5"/>
      <c r="K18" s="18">
        <v>0.703918</v>
      </c>
      <c r="L18" s="25">
        <f t="shared" si="5"/>
        <v>31029.115120276005</v>
      </c>
      <c r="M18" s="20"/>
      <c r="N18" s="18">
        <v>0.403767</v>
      </c>
      <c r="O18" s="25">
        <f t="shared" si="6"/>
        <v>17798.284352394</v>
      </c>
    </row>
    <row r="19" spans="1:15" ht="12.75">
      <c r="A19" t="s">
        <v>7</v>
      </c>
      <c r="B19" t="s">
        <v>9</v>
      </c>
      <c r="C19" s="18">
        <v>2.3323</v>
      </c>
      <c r="D19">
        <v>18.343</v>
      </c>
      <c r="E19">
        <v>84.06</v>
      </c>
      <c r="F19" s="5"/>
      <c r="G19" s="15">
        <v>2.96</v>
      </c>
      <c r="H19" s="14">
        <f t="shared" si="4"/>
        <v>45.222972972972975</v>
      </c>
      <c r="I19" s="12">
        <v>133.86</v>
      </c>
      <c r="J19" s="5"/>
      <c r="K19" s="18">
        <v>0.286512</v>
      </c>
      <c r="L19" s="25">
        <f t="shared" si="5"/>
        <v>5.255489616</v>
      </c>
      <c r="M19" s="20"/>
      <c r="N19" s="18">
        <v>1.864886</v>
      </c>
      <c r="O19" s="25">
        <f t="shared" si="6"/>
        <v>34.207603898</v>
      </c>
    </row>
    <row r="20" spans="1:15" ht="12.75">
      <c r="A20" t="s">
        <v>8</v>
      </c>
      <c r="B20" t="s">
        <v>9</v>
      </c>
      <c r="C20" s="18">
        <v>3.6587</v>
      </c>
      <c r="D20">
        <v>550.59</v>
      </c>
      <c r="E20">
        <v>2014.44</v>
      </c>
      <c r="F20" s="5"/>
      <c r="G20" s="15">
        <v>0.59</v>
      </c>
      <c r="H20" s="14">
        <f t="shared" si="4"/>
        <v>3838.0000000000005</v>
      </c>
      <c r="I20" s="12">
        <v>2264.42</v>
      </c>
      <c r="J20" s="5"/>
      <c r="K20" s="18">
        <v>0.478809</v>
      </c>
      <c r="L20" s="25">
        <f t="shared" si="5"/>
        <v>263.62744731</v>
      </c>
      <c r="M20" s="20"/>
      <c r="N20" s="18">
        <v>1.188604</v>
      </c>
      <c r="O20" s="25">
        <f t="shared" si="6"/>
        <v>654.43347636</v>
      </c>
    </row>
    <row r="21" spans="1:15" ht="12.75">
      <c r="A21" t="s">
        <v>10</v>
      </c>
      <c r="B21" t="s">
        <v>3</v>
      </c>
      <c r="C21" s="18">
        <v>0.0095</v>
      </c>
      <c r="D21">
        <v>159096</v>
      </c>
      <c r="E21">
        <v>1129.68</v>
      </c>
      <c r="F21" s="5"/>
      <c r="G21" s="14">
        <f>+G17</f>
        <v>32.21</v>
      </c>
      <c r="H21" s="14">
        <f t="shared" si="4"/>
        <v>157</v>
      </c>
      <c r="I21" s="12">
        <v>5056.97</v>
      </c>
      <c r="J21" s="5"/>
      <c r="K21" s="18">
        <v>0.001521</v>
      </c>
      <c r="L21" s="25">
        <f t="shared" si="5"/>
        <v>241.985016</v>
      </c>
      <c r="M21" s="20"/>
      <c r="N21" s="18">
        <f>+N17</f>
        <v>0.003281</v>
      </c>
      <c r="O21" s="25">
        <f t="shared" si="6"/>
        <v>521.993976</v>
      </c>
    </row>
    <row r="22" spans="1:15" ht="12.75">
      <c r="A22" t="s">
        <v>17</v>
      </c>
      <c r="E22" s="19">
        <f>SUM(E16:E21)</f>
        <v>281042.76999999996</v>
      </c>
      <c r="F22" s="5"/>
      <c r="G22" s="10"/>
      <c r="H22" s="10"/>
      <c r="I22" s="19">
        <f>SUM(I16:I21)</f>
        <v>264881.31</v>
      </c>
      <c r="J22" s="5"/>
      <c r="K22" s="18"/>
      <c r="L22" s="19">
        <f>SUM(L16:L21)</f>
        <v>54185.656227202</v>
      </c>
      <c r="M22" s="21"/>
      <c r="N22" s="18"/>
      <c r="O22" s="19">
        <f>SUM(O16:O21)</f>
        <v>75917.982854652</v>
      </c>
    </row>
    <row r="23" spans="6:15" ht="12.75">
      <c r="F23" s="5"/>
      <c r="G23" s="10"/>
      <c r="H23" s="10"/>
      <c r="I23" s="10"/>
      <c r="J23" s="5"/>
      <c r="K23" s="18"/>
      <c r="L23" s="25"/>
      <c r="M23" s="18"/>
      <c r="N23" s="18"/>
      <c r="O23" s="25"/>
    </row>
    <row r="24" spans="1:15" ht="13.5" thickBot="1">
      <c r="A24" t="s">
        <v>23</v>
      </c>
      <c r="E24" s="22">
        <f>+E12+E22</f>
        <v>281042.76999999996</v>
      </c>
      <c r="F24" s="5"/>
      <c r="G24" s="10"/>
      <c r="H24" s="10"/>
      <c r="I24" s="22">
        <f>+I12+I22</f>
        <v>264881.31</v>
      </c>
      <c r="J24" s="5"/>
      <c r="K24" s="18"/>
      <c r="L24" s="27">
        <f>+L22</f>
        <v>54185.656227202</v>
      </c>
      <c r="M24" s="18"/>
      <c r="N24" s="18"/>
      <c r="O24" s="27">
        <f>+O12+O22</f>
        <v>75917.982854652</v>
      </c>
    </row>
    <row r="25" spans="6:10" ht="13.5" thickTop="1">
      <c r="F25" s="5"/>
      <c r="G25" s="10"/>
      <c r="H25" s="10"/>
      <c r="I25" s="10"/>
      <c r="J25" s="5"/>
    </row>
    <row r="26" spans="6:10" ht="12.75">
      <c r="F26" s="5"/>
      <c r="G26" s="10"/>
      <c r="H26" s="10"/>
      <c r="I26" s="10"/>
      <c r="J26" s="5"/>
    </row>
    <row r="27" spans="1:10" ht="12.75">
      <c r="A27" s="2" t="s">
        <v>4</v>
      </c>
      <c r="F27" s="5"/>
      <c r="G27" s="10"/>
      <c r="H27" s="10"/>
      <c r="I27" s="10"/>
      <c r="J27" s="5"/>
    </row>
    <row r="28" spans="1:10" ht="12.75">
      <c r="A28" s="30" t="s">
        <v>38</v>
      </c>
      <c r="F28" s="5"/>
      <c r="G28" s="10"/>
      <c r="H28" s="10"/>
      <c r="I28" s="10"/>
      <c r="J28" s="5"/>
    </row>
    <row r="29" spans="1:10" ht="12.75">
      <c r="A29" t="s">
        <v>32</v>
      </c>
      <c r="F29" s="5"/>
      <c r="G29" s="10"/>
      <c r="H29" s="10"/>
      <c r="I29" s="10"/>
      <c r="J29" s="5"/>
    </row>
    <row r="30" spans="1:10" ht="12.75">
      <c r="A30" t="s">
        <v>11</v>
      </c>
      <c r="F30" s="5"/>
      <c r="G30" s="10"/>
      <c r="H30" s="10"/>
      <c r="I30" s="10"/>
      <c r="J30" s="5"/>
    </row>
    <row r="31" spans="1:10" ht="12.75">
      <c r="A31" t="s">
        <v>24</v>
      </c>
      <c r="F31" s="5"/>
      <c r="G31" s="10"/>
      <c r="H31" s="10"/>
      <c r="I31" s="10"/>
      <c r="J31" s="5"/>
    </row>
    <row r="32" spans="6:10" ht="12.75">
      <c r="F32" s="5"/>
      <c r="G32" s="10"/>
      <c r="H32" s="10"/>
      <c r="I32" s="10"/>
      <c r="J32" s="5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1" right="0.35" top="0.88" bottom="0.47" header="0.28" footer="0.2"/>
  <pageSetup fitToHeight="1" fitToWidth="1" horizontalDpi="600" verticalDpi="600" orientation="landscape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G33" sqref="G33"/>
    </sheetView>
  </sheetViews>
  <sheetFormatPr defaultColWidth="9.140625" defaultRowHeight="12.75"/>
  <cols>
    <col min="5" max="5" width="11.28125" style="0" bestFit="1" customWidth="1"/>
    <col min="6" max="6" width="1.28515625" style="0" customWidth="1"/>
    <col min="8" max="8" width="10.28125" style="0" bestFit="1" customWidth="1"/>
    <col min="9" max="9" width="11.28125" style="0" bestFit="1" customWidth="1"/>
    <col min="10" max="10" width="1.28515625" style="0" customWidth="1"/>
    <col min="12" max="12" width="10.28125" style="0" bestFit="1" customWidth="1"/>
    <col min="15" max="15" width="10.28125" style="0" bestFit="1" customWidth="1"/>
  </cols>
  <sheetData>
    <row r="1" spans="1:9" ht="12.75">
      <c r="A1" t="s">
        <v>19</v>
      </c>
      <c r="E1" t="s">
        <v>31</v>
      </c>
      <c r="G1" s="35">
        <v>38292</v>
      </c>
      <c r="H1" s="12"/>
      <c r="I1" s="12"/>
    </row>
    <row r="2" spans="1:14" ht="12.75">
      <c r="A2" t="s">
        <v>14</v>
      </c>
      <c r="E2" s="8"/>
      <c r="F2" s="5"/>
      <c r="G2" s="10"/>
      <c r="H2" s="10"/>
      <c r="I2" s="10"/>
      <c r="J2" s="5"/>
      <c r="K2" s="2" t="s">
        <v>21</v>
      </c>
      <c r="M2" s="18" t="s">
        <v>35</v>
      </c>
      <c r="N2" s="18"/>
    </row>
    <row r="3" spans="3:10" ht="12.75">
      <c r="C3" s="90" t="s">
        <v>30</v>
      </c>
      <c r="D3" s="91"/>
      <c r="E3" s="91"/>
      <c r="F3" s="91"/>
      <c r="G3" s="91"/>
      <c r="H3" s="91"/>
      <c r="I3" s="93"/>
      <c r="J3" s="5"/>
    </row>
    <row r="4" spans="1:15" ht="12.75">
      <c r="A4" s="2" t="s">
        <v>15</v>
      </c>
      <c r="B4" s="87" t="s">
        <v>25</v>
      </c>
      <c r="C4" s="88"/>
      <c r="D4" s="88"/>
      <c r="E4" s="89"/>
      <c r="F4" s="5"/>
      <c r="G4" s="87" t="s">
        <v>26</v>
      </c>
      <c r="H4" s="88"/>
      <c r="I4" s="89"/>
      <c r="J4" s="9"/>
      <c r="K4" s="90" t="s">
        <v>22</v>
      </c>
      <c r="L4" s="91"/>
      <c r="M4" s="91"/>
      <c r="N4" s="91"/>
      <c r="O4" s="93"/>
    </row>
    <row r="5" spans="1:15" ht="12.75">
      <c r="A5" s="1" t="s">
        <v>0</v>
      </c>
      <c r="B5" s="23" t="s">
        <v>1</v>
      </c>
      <c r="C5" s="23" t="s">
        <v>16</v>
      </c>
      <c r="D5" s="23" t="s">
        <v>12</v>
      </c>
      <c r="E5" s="23" t="s">
        <v>28</v>
      </c>
      <c r="F5" s="23"/>
      <c r="G5" s="24" t="s">
        <v>16</v>
      </c>
      <c r="H5" s="24" t="s">
        <v>27</v>
      </c>
      <c r="I5" s="24" t="s">
        <v>34</v>
      </c>
      <c r="J5" s="5"/>
      <c r="K5" s="23" t="s">
        <v>36</v>
      </c>
      <c r="L5" s="23" t="s">
        <v>29</v>
      </c>
      <c r="M5" s="23" t="s">
        <v>37</v>
      </c>
      <c r="N5" s="23" t="s">
        <v>33</v>
      </c>
      <c r="O5" s="26" t="s">
        <v>17</v>
      </c>
    </row>
    <row r="6" spans="1:15" ht="12.75">
      <c r="A6" t="s">
        <v>2</v>
      </c>
      <c r="B6" t="s">
        <v>3</v>
      </c>
      <c r="C6" s="13">
        <v>0.0122</v>
      </c>
      <c r="D6" s="31">
        <v>3715</v>
      </c>
      <c r="E6" s="12">
        <v>45.33</v>
      </c>
      <c r="F6" s="6"/>
      <c r="G6" s="14">
        <v>13.25</v>
      </c>
      <c r="H6" s="14">
        <f aca="true" t="shared" si="0" ref="H6:H11">I6/G6</f>
        <v>3.3667924528301887</v>
      </c>
      <c r="I6" s="12">
        <v>44.61</v>
      </c>
      <c r="J6" s="6"/>
      <c r="K6" s="16">
        <v>0.0023</v>
      </c>
      <c r="L6" s="25">
        <v>2.54</v>
      </c>
      <c r="M6" s="25">
        <f aca="true" t="shared" si="1" ref="M6:M11">+D6*K6</f>
        <v>8.5445</v>
      </c>
      <c r="N6" s="25">
        <f aca="true" t="shared" si="2" ref="N6:N11">+H6*L6</f>
        <v>8.55165283018868</v>
      </c>
      <c r="O6" s="28">
        <f aca="true" t="shared" si="3" ref="O6:O11">SUM(M6:N6)</f>
        <v>17.09615283018868</v>
      </c>
    </row>
    <row r="7" spans="1:15" ht="12.75">
      <c r="A7" t="s">
        <v>5</v>
      </c>
      <c r="B7" t="s">
        <v>3</v>
      </c>
      <c r="C7" s="13">
        <v>0.0091</v>
      </c>
      <c r="D7" s="31"/>
      <c r="E7" s="29"/>
      <c r="F7" s="7"/>
      <c r="G7" s="15">
        <v>32.21</v>
      </c>
      <c r="H7" s="14">
        <f t="shared" si="0"/>
        <v>0</v>
      </c>
      <c r="I7" s="12"/>
      <c r="J7" s="7"/>
      <c r="K7" s="16">
        <v>0.0017</v>
      </c>
      <c r="L7" s="25">
        <v>6.6</v>
      </c>
      <c r="M7" s="25">
        <f t="shared" si="1"/>
        <v>0</v>
      </c>
      <c r="N7" s="25">
        <f t="shared" si="2"/>
        <v>0</v>
      </c>
      <c r="O7" s="28">
        <f t="shared" si="3"/>
        <v>0</v>
      </c>
    </row>
    <row r="8" spans="1:15" ht="12.75">
      <c r="A8" t="s">
        <v>6</v>
      </c>
      <c r="B8" t="s">
        <v>9</v>
      </c>
      <c r="C8" s="13">
        <v>1.6919</v>
      </c>
      <c r="D8" s="31">
        <v>41.184</v>
      </c>
      <c r="E8" s="12">
        <v>69.68</v>
      </c>
      <c r="F8" s="6"/>
      <c r="G8" s="14">
        <v>204.28</v>
      </c>
      <c r="H8" s="14">
        <f t="shared" si="0"/>
        <v>0.7999804190327001</v>
      </c>
      <c r="I8" s="12">
        <v>163.42</v>
      </c>
      <c r="J8" s="6"/>
      <c r="K8" s="16">
        <v>0.3166</v>
      </c>
      <c r="L8" s="25">
        <v>41.86</v>
      </c>
      <c r="M8" s="25">
        <f t="shared" si="1"/>
        <v>13.038854399999998</v>
      </c>
      <c r="N8" s="25">
        <f t="shared" si="2"/>
        <v>33.487180340708825</v>
      </c>
      <c r="O8" s="28">
        <f t="shared" si="3"/>
        <v>46.52603474070882</v>
      </c>
    </row>
    <row r="9" spans="1:15" ht="12.75">
      <c r="A9" t="s">
        <v>7</v>
      </c>
      <c r="B9" t="s">
        <v>9</v>
      </c>
      <c r="C9" s="13">
        <v>5.2694</v>
      </c>
      <c r="D9" s="31"/>
      <c r="E9" s="29"/>
      <c r="F9" s="7"/>
      <c r="G9" s="15">
        <v>2.96</v>
      </c>
      <c r="H9" s="14">
        <f t="shared" si="0"/>
        <v>0</v>
      </c>
      <c r="I9" s="12"/>
      <c r="J9" s="7"/>
      <c r="K9" s="16">
        <v>0.7792</v>
      </c>
      <c r="L9" s="25">
        <v>0.72</v>
      </c>
      <c r="M9" s="25">
        <f t="shared" si="1"/>
        <v>0</v>
      </c>
      <c r="N9" s="25">
        <f t="shared" si="2"/>
        <v>0</v>
      </c>
      <c r="O9" s="28">
        <f t="shared" si="3"/>
        <v>0</v>
      </c>
    </row>
    <row r="10" spans="1:15" ht="12.75">
      <c r="A10" t="s">
        <v>8</v>
      </c>
      <c r="B10" t="s">
        <v>9</v>
      </c>
      <c r="C10" s="13">
        <v>3.5359</v>
      </c>
      <c r="D10" s="31"/>
      <c r="E10" s="29"/>
      <c r="F10" s="7"/>
      <c r="G10" s="15">
        <v>0.59</v>
      </c>
      <c r="H10" s="14">
        <f t="shared" si="0"/>
        <v>0</v>
      </c>
      <c r="I10" s="12"/>
      <c r="J10" s="7"/>
      <c r="K10" s="16">
        <v>0.6629</v>
      </c>
      <c r="L10" s="25">
        <v>0.11</v>
      </c>
      <c r="M10" s="25">
        <f t="shared" si="1"/>
        <v>0</v>
      </c>
      <c r="N10" s="25">
        <f t="shared" si="2"/>
        <v>0</v>
      </c>
      <c r="O10" s="28">
        <f t="shared" si="3"/>
        <v>0</v>
      </c>
    </row>
    <row r="11" spans="1:15" ht="12.75">
      <c r="A11" t="s">
        <v>10</v>
      </c>
      <c r="B11" t="s">
        <v>3</v>
      </c>
      <c r="C11" s="13">
        <v>0.0091</v>
      </c>
      <c r="D11" s="31"/>
      <c r="E11" s="12"/>
      <c r="F11" s="6"/>
      <c r="G11" s="14">
        <f>+G7</f>
        <v>32.21</v>
      </c>
      <c r="H11" s="14">
        <f t="shared" si="0"/>
        <v>0</v>
      </c>
      <c r="I11" s="12"/>
      <c r="J11" s="6"/>
      <c r="K11" s="17">
        <f>+K7</f>
        <v>0.0017</v>
      </c>
      <c r="L11" s="25">
        <f>+L7</f>
        <v>6.6</v>
      </c>
      <c r="M11" s="25">
        <f t="shared" si="1"/>
        <v>0</v>
      </c>
      <c r="N11" s="25">
        <f t="shared" si="2"/>
        <v>0</v>
      </c>
      <c r="O11" s="28">
        <f t="shared" si="3"/>
        <v>0</v>
      </c>
    </row>
    <row r="12" spans="1:15" ht="12.75">
      <c r="A12" t="s">
        <v>17</v>
      </c>
      <c r="E12" s="19">
        <f>SUM(E6:E11)</f>
        <v>115.01</v>
      </c>
      <c r="F12" s="5"/>
      <c r="G12" s="10"/>
      <c r="H12" s="10"/>
      <c r="I12" s="19">
        <f>SUM(I6:I11)</f>
        <v>208.02999999999997</v>
      </c>
      <c r="J12" s="5"/>
      <c r="K12" s="18"/>
      <c r="L12" s="18"/>
      <c r="M12" s="19">
        <f>SUM(M6:M11)</f>
        <v>21.583354399999997</v>
      </c>
      <c r="N12" s="19">
        <f>SUM(N6:N11)</f>
        <v>42.038833170897504</v>
      </c>
      <c r="O12" s="19">
        <f>SUM(O6:O11)</f>
        <v>63.6221875708975</v>
      </c>
    </row>
    <row r="13" spans="6:10" ht="12.75">
      <c r="F13" s="5"/>
      <c r="G13" s="10"/>
      <c r="H13" s="10"/>
      <c r="I13" s="10"/>
      <c r="J13" s="5"/>
    </row>
    <row r="14" spans="1:15" ht="12.75">
      <c r="A14" s="2" t="s">
        <v>18</v>
      </c>
      <c r="B14" s="87" t="s">
        <v>25</v>
      </c>
      <c r="C14" s="88"/>
      <c r="D14" s="88"/>
      <c r="E14" s="89"/>
      <c r="F14" s="5"/>
      <c r="G14" s="87" t="s">
        <v>26</v>
      </c>
      <c r="H14" s="88"/>
      <c r="I14" s="89"/>
      <c r="J14" s="5"/>
      <c r="K14" s="90" t="s">
        <v>20</v>
      </c>
      <c r="L14" s="91"/>
      <c r="M14" s="11"/>
      <c r="N14" s="92" t="s">
        <v>22</v>
      </c>
      <c r="O14" s="92"/>
    </row>
    <row r="15" spans="1:15" ht="12.75">
      <c r="A15" s="1" t="s">
        <v>0</v>
      </c>
      <c r="B15" s="23" t="s">
        <v>1</v>
      </c>
      <c r="C15" s="23" t="s">
        <v>16</v>
      </c>
      <c r="D15" s="23" t="s">
        <v>12</v>
      </c>
      <c r="E15" s="23" t="s">
        <v>13</v>
      </c>
      <c r="F15" s="5"/>
      <c r="G15" s="24" t="s">
        <v>16</v>
      </c>
      <c r="H15" s="24" t="s">
        <v>27</v>
      </c>
      <c r="I15" s="24" t="s">
        <v>34</v>
      </c>
      <c r="J15" s="5"/>
      <c r="K15" s="23" t="s">
        <v>16</v>
      </c>
      <c r="L15" s="23" t="s">
        <v>13</v>
      </c>
      <c r="M15" s="5"/>
      <c r="N15" s="23" t="s">
        <v>16</v>
      </c>
      <c r="O15" s="23" t="s">
        <v>13</v>
      </c>
    </row>
    <row r="16" spans="1:15" ht="12.75">
      <c r="A16" t="s">
        <v>2</v>
      </c>
      <c r="B16" t="s">
        <v>3</v>
      </c>
      <c r="C16" s="18">
        <v>0.0125</v>
      </c>
      <c r="D16">
        <v>11305224</v>
      </c>
      <c r="E16">
        <v>141345.17</v>
      </c>
      <c r="F16" s="5"/>
      <c r="G16" s="14">
        <v>13.25</v>
      </c>
      <c r="H16" s="14">
        <f aca="true" t="shared" si="4" ref="H16:H21">I16/G16</f>
        <v>14791.932830188678</v>
      </c>
      <c r="I16" s="12">
        <v>195993.11</v>
      </c>
      <c r="J16" s="5"/>
      <c r="K16" s="18">
        <v>0.001521</v>
      </c>
      <c r="L16" s="25">
        <f aca="true" t="shared" si="5" ref="L16:L21">+$D16*K16</f>
        <v>17195.245704</v>
      </c>
      <c r="M16" s="20"/>
      <c r="N16" s="18">
        <v>0.003957</v>
      </c>
      <c r="O16" s="25">
        <f aca="true" t="shared" si="6" ref="O16:O21">+$D16*N16</f>
        <v>44734.771367999994</v>
      </c>
    </row>
    <row r="17" spans="1:15" ht="12.75">
      <c r="A17" t="s">
        <v>5</v>
      </c>
      <c r="B17" t="s">
        <v>3</v>
      </c>
      <c r="C17" s="18">
        <v>0.0095</v>
      </c>
      <c r="D17">
        <v>3002471</v>
      </c>
      <c r="E17">
        <v>28524.95</v>
      </c>
      <c r="F17" s="5"/>
      <c r="G17" s="15">
        <v>32.21</v>
      </c>
      <c r="H17" s="14">
        <f t="shared" si="4"/>
        <v>1133.696678050295</v>
      </c>
      <c r="I17" s="12">
        <v>36516.37</v>
      </c>
      <c r="J17" s="5"/>
      <c r="K17" s="18">
        <v>0.001521</v>
      </c>
      <c r="L17" s="25">
        <f t="shared" si="5"/>
        <v>4566.758391</v>
      </c>
      <c r="M17" s="20"/>
      <c r="N17" s="18">
        <v>0.003281</v>
      </c>
      <c r="O17" s="25">
        <f t="shared" si="6"/>
        <v>9851.107351</v>
      </c>
    </row>
    <row r="18" spans="1:15" ht="12.75">
      <c r="A18" t="s">
        <v>6</v>
      </c>
      <c r="B18" t="s">
        <v>9</v>
      </c>
      <c r="C18" s="18">
        <v>2.2816</v>
      </c>
      <c r="D18">
        <f>12029.59+34211.45+2098.598</f>
        <v>48339.63799999999</v>
      </c>
      <c r="E18" s="37">
        <f>27446.73+78056.82+4788.17</f>
        <v>110291.72</v>
      </c>
      <c r="F18" s="5"/>
      <c r="G18" s="14">
        <v>204.28</v>
      </c>
      <c r="H18" s="14">
        <f t="shared" si="4"/>
        <v>180.40224202075584</v>
      </c>
      <c r="I18" s="12">
        <v>36852.57</v>
      </c>
      <c r="J18" s="5"/>
      <c r="K18" s="18">
        <v>0.703918</v>
      </c>
      <c r="L18" s="25">
        <f t="shared" si="5"/>
        <v>34027.141301683994</v>
      </c>
      <c r="M18" s="20"/>
      <c r="N18" s="18">
        <v>0.403767</v>
      </c>
      <c r="O18" s="25">
        <f t="shared" si="6"/>
        <v>19517.950616345996</v>
      </c>
    </row>
    <row r="19" spans="1:15" ht="12.75">
      <c r="A19" t="s">
        <v>7</v>
      </c>
      <c r="B19" t="s">
        <v>9</v>
      </c>
      <c r="C19" s="18">
        <v>2.3323</v>
      </c>
      <c r="D19">
        <v>19.245</v>
      </c>
      <c r="E19">
        <v>88.18</v>
      </c>
      <c r="F19" s="5"/>
      <c r="G19" s="15">
        <v>2.96</v>
      </c>
      <c r="H19" s="14">
        <f t="shared" si="4"/>
        <v>44.0945945945946</v>
      </c>
      <c r="I19" s="12">
        <v>130.52</v>
      </c>
      <c r="J19" s="5"/>
      <c r="K19" s="18">
        <v>0.286512</v>
      </c>
      <c r="L19" s="25">
        <f t="shared" si="5"/>
        <v>5.51392344</v>
      </c>
      <c r="M19" s="20"/>
      <c r="N19" s="18">
        <v>1.864886</v>
      </c>
      <c r="O19" s="25">
        <f t="shared" si="6"/>
        <v>35.88973107</v>
      </c>
    </row>
    <row r="20" spans="1:15" ht="12.75">
      <c r="A20" t="s">
        <v>8</v>
      </c>
      <c r="B20" t="s">
        <v>9</v>
      </c>
      <c r="C20" s="18">
        <v>3.6587</v>
      </c>
      <c r="D20">
        <v>568.94</v>
      </c>
      <c r="E20">
        <v>2081.58</v>
      </c>
      <c r="F20" s="5"/>
      <c r="G20" s="15">
        <v>0.59</v>
      </c>
      <c r="H20" s="14">
        <f t="shared" si="4"/>
        <v>3968.101694915254</v>
      </c>
      <c r="I20" s="12">
        <v>2341.18</v>
      </c>
      <c r="J20" s="5"/>
      <c r="K20" s="18">
        <v>0.478809</v>
      </c>
      <c r="L20" s="25">
        <f t="shared" si="5"/>
        <v>272.41359246</v>
      </c>
      <c r="M20" s="20"/>
      <c r="N20" s="18">
        <v>1.188604</v>
      </c>
      <c r="O20" s="25">
        <f t="shared" si="6"/>
        <v>676.2443597600001</v>
      </c>
    </row>
    <row r="21" spans="1:15" ht="12.75">
      <c r="A21" t="s">
        <v>10</v>
      </c>
      <c r="B21" t="s">
        <v>3</v>
      </c>
      <c r="C21" s="18">
        <v>0.0095</v>
      </c>
      <c r="D21">
        <v>158627</v>
      </c>
      <c r="E21">
        <v>1126.35</v>
      </c>
      <c r="F21" s="5"/>
      <c r="G21" s="14">
        <f>+G17</f>
        <v>32.21</v>
      </c>
      <c r="H21" s="14">
        <f t="shared" si="4"/>
        <v>156.96678050294938</v>
      </c>
      <c r="I21" s="12">
        <v>5055.9</v>
      </c>
      <c r="J21" s="5"/>
      <c r="K21" s="18">
        <v>0.001521</v>
      </c>
      <c r="L21" s="25">
        <f t="shared" si="5"/>
        <v>241.271667</v>
      </c>
      <c r="M21" s="20"/>
      <c r="N21" s="18">
        <f>+N17</f>
        <v>0.003281</v>
      </c>
      <c r="O21" s="25">
        <f t="shared" si="6"/>
        <v>520.455187</v>
      </c>
    </row>
    <row r="22" spans="1:15" ht="12.75">
      <c r="A22" t="s">
        <v>17</v>
      </c>
      <c r="E22" s="19">
        <f>SUM(E16:E21)</f>
        <v>283457.95</v>
      </c>
      <c r="F22" s="5"/>
      <c r="G22" s="10"/>
      <c r="H22" s="10"/>
      <c r="I22" s="19">
        <f>SUM(I16:I21)</f>
        <v>276889.65</v>
      </c>
      <c r="J22" s="5"/>
      <c r="K22" s="18"/>
      <c r="L22" s="19">
        <f>SUM(L16:L21)</f>
        <v>56308.34457958399</v>
      </c>
      <c r="M22" s="21"/>
      <c r="N22" s="18"/>
      <c r="O22" s="19">
        <f>SUM(O16:O21)</f>
        <v>75336.41861317599</v>
      </c>
    </row>
    <row r="23" spans="6:15" ht="12.75">
      <c r="F23" s="5"/>
      <c r="G23" s="10"/>
      <c r="H23" s="10"/>
      <c r="I23" s="10"/>
      <c r="J23" s="5"/>
      <c r="K23" s="18"/>
      <c r="L23" s="25"/>
      <c r="M23" s="18"/>
      <c r="N23" s="18"/>
      <c r="O23" s="25"/>
    </row>
    <row r="24" spans="1:15" ht="13.5" thickBot="1">
      <c r="A24" t="s">
        <v>23</v>
      </c>
      <c r="E24" s="22">
        <f>+E12+E22</f>
        <v>283572.96</v>
      </c>
      <c r="F24" s="5"/>
      <c r="G24" s="10"/>
      <c r="H24" s="10"/>
      <c r="I24" s="22">
        <f>+I12+I22</f>
        <v>277097.68000000005</v>
      </c>
      <c r="J24" s="5"/>
      <c r="K24" s="18"/>
      <c r="L24" s="27">
        <f>+L22</f>
        <v>56308.34457958399</v>
      </c>
      <c r="M24" s="18"/>
      <c r="N24" s="18"/>
      <c r="O24" s="27">
        <f>+O12+O22</f>
        <v>75400.0408007469</v>
      </c>
    </row>
    <row r="25" spans="6:10" ht="13.5" thickTop="1">
      <c r="F25" s="5"/>
      <c r="G25" s="10"/>
      <c r="H25" s="10"/>
      <c r="I25" s="10"/>
      <c r="J25" s="5"/>
    </row>
    <row r="26" spans="6:10" ht="12.75">
      <c r="F26" s="5"/>
      <c r="G26" s="10"/>
      <c r="H26" s="10"/>
      <c r="I26" s="10"/>
      <c r="J26" s="5"/>
    </row>
    <row r="27" spans="1:10" ht="12.75">
      <c r="A27" s="2" t="s">
        <v>4</v>
      </c>
      <c r="F27" s="5"/>
      <c r="G27" s="10"/>
      <c r="H27" s="10"/>
      <c r="I27" s="10"/>
      <c r="J27" s="5"/>
    </row>
    <row r="28" spans="1:10" ht="12.75">
      <c r="A28" s="30" t="s">
        <v>38</v>
      </c>
      <c r="F28" s="5"/>
      <c r="G28" s="10"/>
      <c r="H28" s="10"/>
      <c r="I28" s="10"/>
      <c r="J28" s="5"/>
    </row>
    <row r="29" spans="1:10" ht="12.75">
      <c r="A29" t="s">
        <v>32</v>
      </c>
      <c r="F29" s="5"/>
      <c r="G29" s="10"/>
      <c r="H29" s="10"/>
      <c r="I29" s="10"/>
      <c r="J29" s="5"/>
    </row>
    <row r="30" spans="1:10" ht="12.75">
      <c r="A30" t="s">
        <v>11</v>
      </c>
      <c r="F30" s="5"/>
      <c r="G30" s="10"/>
      <c r="H30" s="10"/>
      <c r="I30" s="10"/>
      <c r="J30" s="5"/>
    </row>
    <row r="31" spans="1:10" ht="12.75">
      <c r="A31" t="s">
        <v>24</v>
      </c>
      <c r="F31" s="5"/>
      <c r="G31" s="10"/>
      <c r="H31" s="10"/>
      <c r="I31" s="10"/>
      <c r="J31" s="5"/>
    </row>
    <row r="32" spans="6:10" ht="12.75">
      <c r="F32" s="5"/>
      <c r="G32" s="10"/>
      <c r="H32" s="10"/>
      <c r="I32" s="10"/>
      <c r="J32" s="5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34" right="0.22" top="0.82" bottom="0.48" header="0.33" footer="0.2"/>
  <pageSetup fitToHeight="1" fitToWidth="1" horizontalDpi="600" verticalDpi="600" orientation="landscape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E17" sqref="E17"/>
    </sheetView>
  </sheetViews>
  <sheetFormatPr defaultColWidth="9.140625" defaultRowHeight="12.75"/>
  <cols>
    <col min="5" max="5" width="11.28125" style="0" bestFit="1" customWidth="1"/>
    <col min="6" max="6" width="1.8515625" style="0" customWidth="1"/>
    <col min="8" max="8" width="10.28125" style="0" bestFit="1" customWidth="1"/>
    <col min="9" max="9" width="11.28125" style="0" bestFit="1" customWidth="1"/>
    <col min="10" max="10" width="0.9921875" style="0" customWidth="1"/>
    <col min="12" max="12" width="11.28125" style="0" bestFit="1" customWidth="1"/>
    <col min="15" max="15" width="11.28125" style="0" bestFit="1" customWidth="1"/>
  </cols>
  <sheetData>
    <row r="1" spans="1:9" ht="12.75">
      <c r="A1" t="s">
        <v>19</v>
      </c>
      <c r="E1" t="s">
        <v>31</v>
      </c>
      <c r="G1" s="8"/>
      <c r="H1" s="38" t="s">
        <v>46</v>
      </c>
      <c r="I1" s="12"/>
    </row>
    <row r="2" spans="1:14" ht="12.75">
      <c r="A2" t="s">
        <v>14</v>
      </c>
      <c r="E2" s="8"/>
      <c r="F2" s="5"/>
      <c r="G2" s="10"/>
      <c r="H2" s="10"/>
      <c r="I2" s="10"/>
      <c r="J2" s="5"/>
      <c r="K2" s="2" t="s">
        <v>21</v>
      </c>
      <c r="M2" s="18" t="s">
        <v>35</v>
      </c>
      <c r="N2" s="18"/>
    </row>
    <row r="3" spans="3:10" ht="12.75">
      <c r="C3" s="90" t="s">
        <v>30</v>
      </c>
      <c r="D3" s="91"/>
      <c r="E3" s="91"/>
      <c r="F3" s="91"/>
      <c r="G3" s="91"/>
      <c r="H3" s="91"/>
      <c r="I3" s="93"/>
      <c r="J3" s="5"/>
    </row>
    <row r="4" spans="1:15" ht="12.75">
      <c r="A4" s="2" t="s">
        <v>15</v>
      </c>
      <c r="B4" s="87" t="s">
        <v>25</v>
      </c>
      <c r="C4" s="88"/>
      <c r="D4" s="88"/>
      <c r="E4" s="89"/>
      <c r="F4" s="5"/>
      <c r="G4" s="87" t="s">
        <v>26</v>
      </c>
      <c r="H4" s="88"/>
      <c r="I4" s="89"/>
      <c r="J4" s="9"/>
      <c r="K4" s="90" t="s">
        <v>22</v>
      </c>
      <c r="L4" s="91"/>
      <c r="M4" s="91"/>
      <c r="N4" s="91"/>
      <c r="O4" s="93"/>
    </row>
    <row r="5" spans="1:15" ht="12.75">
      <c r="A5" s="1" t="s">
        <v>0</v>
      </c>
      <c r="B5" s="23" t="s">
        <v>1</v>
      </c>
      <c r="C5" s="23" t="s">
        <v>16</v>
      </c>
      <c r="D5" s="23" t="s">
        <v>12</v>
      </c>
      <c r="E5" s="23" t="s">
        <v>28</v>
      </c>
      <c r="F5" s="23"/>
      <c r="G5" s="24" t="s">
        <v>16</v>
      </c>
      <c r="H5" s="24" t="s">
        <v>27</v>
      </c>
      <c r="I5" s="24" t="s">
        <v>34</v>
      </c>
      <c r="J5" s="5"/>
      <c r="K5" s="23" t="s">
        <v>36</v>
      </c>
      <c r="L5" s="23" t="s">
        <v>29</v>
      </c>
      <c r="M5" s="23" t="s">
        <v>37</v>
      </c>
      <c r="N5" s="23" t="s">
        <v>33</v>
      </c>
      <c r="O5" s="26" t="s">
        <v>17</v>
      </c>
    </row>
    <row r="6" spans="1:15" ht="12.75">
      <c r="A6" t="s">
        <v>2</v>
      </c>
      <c r="B6" t="s">
        <v>3</v>
      </c>
      <c r="C6" s="13">
        <v>0.0122</v>
      </c>
      <c r="D6" s="31">
        <v>10225</v>
      </c>
      <c r="E6" s="12">
        <v>124.75</v>
      </c>
      <c r="F6" s="6"/>
      <c r="G6" s="14">
        <v>13.25</v>
      </c>
      <c r="H6" s="14">
        <f aca="true" t="shared" si="0" ref="H6:H11">I6/G6</f>
        <v>9.766792452830188</v>
      </c>
      <c r="I6" s="12">
        <v>129.41</v>
      </c>
      <c r="J6" s="6"/>
      <c r="K6" s="16">
        <v>0.0023</v>
      </c>
      <c r="L6" s="25">
        <v>2.54</v>
      </c>
      <c r="M6" s="25">
        <f aca="true" t="shared" si="1" ref="M6:M11">+D6*K6</f>
        <v>23.5175</v>
      </c>
      <c r="N6" s="25">
        <f aca="true" t="shared" si="2" ref="N6:N11">+H6*L6</f>
        <v>24.80765283018868</v>
      </c>
      <c r="O6" s="28">
        <f aca="true" t="shared" si="3" ref="O6:O11">SUM(M6:N6)</f>
        <v>48.32515283018868</v>
      </c>
    </row>
    <row r="7" spans="1:15" ht="12.75">
      <c r="A7" t="s">
        <v>5</v>
      </c>
      <c r="B7" t="s">
        <v>3</v>
      </c>
      <c r="C7" s="13">
        <v>0.0091</v>
      </c>
      <c r="D7" s="31"/>
      <c r="E7" s="29"/>
      <c r="F7" s="7"/>
      <c r="G7" s="15">
        <v>32.21</v>
      </c>
      <c r="H7" s="14">
        <f t="shared" si="0"/>
        <v>0</v>
      </c>
      <c r="I7" s="12"/>
      <c r="J7" s="7"/>
      <c r="K7" s="16">
        <v>0.0017</v>
      </c>
      <c r="L7" s="25">
        <v>6.6</v>
      </c>
      <c r="M7" s="25">
        <f t="shared" si="1"/>
        <v>0</v>
      </c>
      <c r="N7" s="25">
        <f t="shared" si="2"/>
        <v>0</v>
      </c>
      <c r="O7" s="28">
        <f t="shared" si="3"/>
        <v>0</v>
      </c>
    </row>
    <row r="8" spans="1:15" ht="12.75">
      <c r="A8" t="s">
        <v>6</v>
      </c>
      <c r="B8" t="s">
        <v>9</v>
      </c>
      <c r="C8" s="13">
        <v>1.6919</v>
      </c>
      <c r="D8" s="31"/>
      <c r="E8" s="12"/>
      <c r="F8" s="6"/>
      <c r="G8" s="14">
        <v>204.28</v>
      </c>
      <c r="H8" s="14">
        <f t="shared" si="0"/>
        <v>0</v>
      </c>
      <c r="I8" s="12"/>
      <c r="J8" s="6"/>
      <c r="K8" s="16">
        <v>0.3166</v>
      </c>
      <c r="L8" s="25">
        <v>41.86</v>
      </c>
      <c r="M8" s="25">
        <f t="shared" si="1"/>
        <v>0</v>
      </c>
      <c r="N8" s="25">
        <f t="shared" si="2"/>
        <v>0</v>
      </c>
      <c r="O8" s="28">
        <f t="shared" si="3"/>
        <v>0</v>
      </c>
    </row>
    <row r="9" spans="1:15" ht="12.75">
      <c r="A9" t="s">
        <v>7</v>
      </c>
      <c r="B9" t="s">
        <v>9</v>
      </c>
      <c r="C9" s="13">
        <v>5.2694</v>
      </c>
      <c r="D9" s="31"/>
      <c r="E9" s="29"/>
      <c r="F9" s="7"/>
      <c r="G9" s="15">
        <v>2.96</v>
      </c>
      <c r="H9" s="14">
        <f t="shared" si="0"/>
        <v>0</v>
      </c>
      <c r="I9" s="12"/>
      <c r="J9" s="7"/>
      <c r="K9" s="16">
        <v>0.7792</v>
      </c>
      <c r="L9" s="25">
        <v>0.72</v>
      </c>
      <c r="M9" s="25">
        <f t="shared" si="1"/>
        <v>0</v>
      </c>
      <c r="N9" s="25">
        <f t="shared" si="2"/>
        <v>0</v>
      </c>
      <c r="O9" s="28">
        <f t="shared" si="3"/>
        <v>0</v>
      </c>
    </row>
    <row r="10" spans="1:15" ht="12.75">
      <c r="A10" t="s">
        <v>8</v>
      </c>
      <c r="B10" t="s">
        <v>9</v>
      </c>
      <c r="C10" s="13">
        <v>3.5359</v>
      </c>
      <c r="D10" s="31"/>
      <c r="E10" s="29"/>
      <c r="F10" s="7"/>
      <c r="G10" s="15">
        <v>0.59</v>
      </c>
      <c r="H10" s="14">
        <f t="shared" si="0"/>
        <v>0</v>
      </c>
      <c r="I10" s="12"/>
      <c r="J10" s="7"/>
      <c r="K10" s="16">
        <v>0.6629</v>
      </c>
      <c r="L10" s="25">
        <v>0.11</v>
      </c>
      <c r="M10" s="25">
        <f t="shared" si="1"/>
        <v>0</v>
      </c>
      <c r="N10" s="25">
        <f t="shared" si="2"/>
        <v>0</v>
      </c>
      <c r="O10" s="28">
        <f t="shared" si="3"/>
        <v>0</v>
      </c>
    </row>
    <row r="11" spans="1:15" ht="12.75">
      <c r="A11" t="s">
        <v>10</v>
      </c>
      <c r="B11" t="s">
        <v>3</v>
      </c>
      <c r="C11" s="13">
        <v>0.0091</v>
      </c>
      <c r="D11" s="31"/>
      <c r="E11" s="12"/>
      <c r="F11" s="6"/>
      <c r="G11" s="14">
        <f>+G7</f>
        <v>32.21</v>
      </c>
      <c r="H11" s="14">
        <f t="shared" si="0"/>
        <v>0</v>
      </c>
      <c r="I11" s="12"/>
      <c r="J11" s="6"/>
      <c r="K11" s="17">
        <f>+K7</f>
        <v>0.0017</v>
      </c>
      <c r="L11" s="25">
        <f>+L7</f>
        <v>6.6</v>
      </c>
      <c r="M11" s="25">
        <f t="shared" si="1"/>
        <v>0</v>
      </c>
      <c r="N11" s="25">
        <f t="shared" si="2"/>
        <v>0</v>
      </c>
      <c r="O11" s="28">
        <f t="shared" si="3"/>
        <v>0</v>
      </c>
    </row>
    <row r="12" spans="1:15" ht="12.75">
      <c r="A12" t="s">
        <v>17</v>
      </c>
      <c r="E12" s="19">
        <f>SUM(E6:E11)</f>
        <v>124.75</v>
      </c>
      <c r="F12" s="5"/>
      <c r="G12" s="10"/>
      <c r="H12" s="10"/>
      <c r="I12" s="19">
        <f>SUM(I6:I11)</f>
        <v>129.41</v>
      </c>
      <c r="J12" s="5"/>
      <c r="K12" s="18"/>
      <c r="L12" s="18"/>
      <c r="M12" s="19">
        <f>SUM(M6:M11)</f>
        <v>23.5175</v>
      </c>
      <c r="N12" s="19">
        <f>SUM(N6:N11)</f>
        <v>24.80765283018868</v>
      </c>
      <c r="O12" s="19">
        <f>SUM(O6:O11)</f>
        <v>48.32515283018868</v>
      </c>
    </row>
    <row r="13" spans="6:10" ht="12.75">
      <c r="F13" s="5"/>
      <c r="G13" s="10"/>
      <c r="H13" s="10"/>
      <c r="I13" s="10"/>
      <c r="J13" s="5"/>
    </row>
    <row r="14" spans="1:15" ht="12.75">
      <c r="A14" s="2" t="s">
        <v>18</v>
      </c>
      <c r="B14" s="87" t="s">
        <v>25</v>
      </c>
      <c r="C14" s="88"/>
      <c r="D14" s="88"/>
      <c r="E14" s="89"/>
      <c r="F14" s="5"/>
      <c r="G14" s="87" t="s">
        <v>26</v>
      </c>
      <c r="H14" s="88"/>
      <c r="I14" s="89"/>
      <c r="J14" s="5"/>
      <c r="K14" s="90" t="s">
        <v>20</v>
      </c>
      <c r="L14" s="91"/>
      <c r="M14" s="11"/>
      <c r="N14" s="92" t="s">
        <v>22</v>
      </c>
      <c r="O14" s="92"/>
    </row>
    <row r="15" spans="1:15" ht="12.75">
      <c r="A15" s="1" t="s">
        <v>0</v>
      </c>
      <c r="B15" s="23" t="s">
        <v>1</v>
      </c>
      <c r="C15" s="23" t="s">
        <v>16</v>
      </c>
      <c r="D15" s="23" t="s">
        <v>12</v>
      </c>
      <c r="E15" s="23" t="s">
        <v>13</v>
      </c>
      <c r="F15" s="5"/>
      <c r="G15" s="24" t="s">
        <v>16</v>
      </c>
      <c r="H15" s="24" t="s">
        <v>27</v>
      </c>
      <c r="I15" s="24" t="s">
        <v>34</v>
      </c>
      <c r="J15" s="5"/>
      <c r="K15" s="23" t="s">
        <v>16</v>
      </c>
      <c r="L15" s="23" t="s">
        <v>13</v>
      </c>
      <c r="M15" s="5"/>
      <c r="N15" s="23" t="s">
        <v>16</v>
      </c>
      <c r="O15" s="23" t="s">
        <v>13</v>
      </c>
    </row>
    <row r="16" spans="1:15" ht="12.75">
      <c r="A16" t="s">
        <v>2</v>
      </c>
      <c r="B16" t="s">
        <v>3</v>
      </c>
      <c r="C16" s="18">
        <v>0.0125</v>
      </c>
      <c r="D16">
        <v>11577695</v>
      </c>
      <c r="E16">
        <v>144750.72</v>
      </c>
      <c r="F16" s="5"/>
      <c r="G16" s="14">
        <v>13.25</v>
      </c>
      <c r="H16" s="14">
        <f aca="true" t="shared" si="4" ref="H16:H21">I16/G16</f>
        <v>14246.763018867923</v>
      </c>
      <c r="I16" s="12">
        <v>188769.61</v>
      </c>
      <c r="J16" s="5"/>
      <c r="K16" s="18">
        <v>0.001521</v>
      </c>
      <c r="L16" s="25">
        <f aca="true" t="shared" si="5" ref="L16:L21">+$D16*K16</f>
        <v>17609.674095</v>
      </c>
      <c r="M16" s="20"/>
      <c r="N16" s="18">
        <v>0.003957</v>
      </c>
      <c r="O16" s="25">
        <f aca="true" t="shared" si="6" ref="O16:O21">+$D16*N16</f>
        <v>45812.939114999994</v>
      </c>
    </row>
    <row r="17" spans="1:15" ht="12.75">
      <c r="A17" t="s">
        <v>5</v>
      </c>
      <c r="B17" t="s">
        <v>3</v>
      </c>
      <c r="C17" s="18">
        <v>0.0095</v>
      </c>
      <c r="D17">
        <v>3206838</v>
      </c>
      <c r="E17">
        <v>30466.49</v>
      </c>
      <c r="F17" s="5"/>
      <c r="G17" s="15">
        <v>32.21</v>
      </c>
      <c r="H17" s="14">
        <f t="shared" si="4"/>
        <v>1096.717168581186</v>
      </c>
      <c r="I17" s="12">
        <v>35325.26</v>
      </c>
      <c r="J17" s="5"/>
      <c r="K17" s="18">
        <v>0.001521</v>
      </c>
      <c r="L17" s="25">
        <f t="shared" si="5"/>
        <v>4877.600598</v>
      </c>
      <c r="M17" s="20"/>
      <c r="N17" s="18">
        <v>0.003281</v>
      </c>
      <c r="O17" s="25">
        <f t="shared" si="6"/>
        <v>10521.635478</v>
      </c>
    </row>
    <row r="18" spans="1:15" ht="12.75">
      <c r="A18" t="s">
        <v>6</v>
      </c>
      <c r="B18" t="s">
        <v>9</v>
      </c>
      <c r="C18" s="18">
        <v>2.2816</v>
      </c>
      <c r="D18">
        <f>1859+31025+11924</f>
        <v>44808</v>
      </c>
      <c r="E18">
        <f>4243.25+70786.75+27207.09</f>
        <v>102237.09</v>
      </c>
      <c r="F18" s="5"/>
      <c r="G18" s="14">
        <v>204.28</v>
      </c>
      <c r="H18" s="14">
        <f t="shared" si="4"/>
        <v>175.50298609751323</v>
      </c>
      <c r="I18" s="12">
        <v>35851.75</v>
      </c>
      <c r="J18" s="5"/>
      <c r="K18" s="18">
        <v>0.703918</v>
      </c>
      <c r="L18" s="25">
        <f t="shared" si="5"/>
        <v>31541.157744000004</v>
      </c>
      <c r="M18" s="20"/>
      <c r="N18" s="18">
        <v>0.403767</v>
      </c>
      <c r="O18" s="25">
        <f t="shared" si="6"/>
        <v>18091.991736</v>
      </c>
    </row>
    <row r="19" spans="1:15" ht="12.75">
      <c r="A19" t="s">
        <v>7</v>
      </c>
      <c r="B19" t="s">
        <v>9</v>
      </c>
      <c r="C19" s="18">
        <v>2.3323</v>
      </c>
      <c r="D19">
        <v>19.793</v>
      </c>
      <c r="E19">
        <v>90.69</v>
      </c>
      <c r="F19" s="5"/>
      <c r="G19" s="15">
        <v>2.96</v>
      </c>
      <c r="H19" s="14">
        <f t="shared" si="4"/>
        <v>47.66216216216217</v>
      </c>
      <c r="I19" s="12">
        <v>141.08</v>
      </c>
      <c r="J19" s="5"/>
      <c r="K19" s="18">
        <v>0.286512</v>
      </c>
      <c r="L19" s="25">
        <f t="shared" si="5"/>
        <v>5.670932015999999</v>
      </c>
      <c r="M19" s="20"/>
      <c r="N19" s="18">
        <v>1.864886</v>
      </c>
      <c r="O19" s="25">
        <f t="shared" si="6"/>
        <v>36.911688598</v>
      </c>
    </row>
    <row r="20" spans="1:15" ht="12.75">
      <c r="A20" t="s">
        <v>8</v>
      </c>
      <c r="B20" t="s">
        <v>9</v>
      </c>
      <c r="C20" s="18">
        <v>3.6587</v>
      </c>
      <c r="D20">
        <v>550.59</v>
      </c>
      <c r="E20">
        <v>2014.44</v>
      </c>
      <c r="F20" s="5"/>
      <c r="G20" s="15">
        <v>0.59</v>
      </c>
      <c r="H20" s="14">
        <f t="shared" si="4"/>
        <v>3838.0000000000005</v>
      </c>
      <c r="I20" s="12">
        <v>2264.42</v>
      </c>
      <c r="J20" s="5"/>
      <c r="K20" s="18">
        <v>0.478809</v>
      </c>
      <c r="L20" s="25">
        <f t="shared" si="5"/>
        <v>263.62744731</v>
      </c>
      <c r="M20" s="20"/>
      <c r="N20" s="18">
        <v>1.188604</v>
      </c>
      <c r="O20" s="25">
        <f t="shared" si="6"/>
        <v>654.43347636</v>
      </c>
    </row>
    <row r="21" spans="1:15" ht="12.75">
      <c r="A21" t="s">
        <v>10</v>
      </c>
      <c r="B21" t="s">
        <v>3</v>
      </c>
      <c r="C21" s="18">
        <v>0.0095</v>
      </c>
      <c r="D21">
        <v>211843</v>
      </c>
      <c r="E21">
        <v>1503.93</v>
      </c>
      <c r="F21" s="5"/>
      <c r="G21" s="14">
        <f>+G17</f>
        <v>32.21</v>
      </c>
      <c r="H21" s="14">
        <f t="shared" si="4"/>
        <v>207.58242781744798</v>
      </c>
      <c r="I21" s="12">
        <v>6686.23</v>
      </c>
      <c r="J21" s="5"/>
      <c r="K21" s="18">
        <v>0.001521</v>
      </c>
      <c r="L21" s="25">
        <f t="shared" si="5"/>
        <v>322.213203</v>
      </c>
      <c r="M21" s="20"/>
      <c r="N21" s="18">
        <f>+N17</f>
        <v>0.003281</v>
      </c>
      <c r="O21" s="25">
        <f t="shared" si="6"/>
        <v>695.056883</v>
      </c>
    </row>
    <row r="22" spans="1:15" ht="12.75">
      <c r="A22" t="s">
        <v>17</v>
      </c>
      <c r="E22" s="19">
        <f>SUM(E16:E21)</f>
        <v>281063.36</v>
      </c>
      <c r="F22" s="5"/>
      <c r="G22" s="10"/>
      <c r="H22" s="10"/>
      <c r="I22" s="19">
        <f>SUM(I16:I21)</f>
        <v>269038.35</v>
      </c>
      <c r="J22" s="5"/>
      <c r="K22" s="18"/>
      <c r="L22" s="19">
        <f>SUM(L16:L21)</f>
        <v>54619.944019326</v>
      </c>
      <c r="M22" s="21"/>
      <c r="N22" s="18"/>
      <c r="O22" s="19">
        <f>SUM(O16:O21)</f>
        <v>75812.968376958</v>
      </c>
    </row>
    <row r="23" spans="6:15" ht="12.75">
      <c r="F23" s="5"/>
      <c r="G23" s="10"/>
      <c r="H23" s="10"/>
      <c r="I23" s="10"/>
      <c r="J23" s="5"/>
      <c r="K23" s="18"/>
      <c r="L23" s="25"/>
      <c r="M23" s="18"/>
      <c r="N23" s="18"/>
      <c r="O23" s="25"/>
    </row>
    <row r="24" spans="1:15" ht="13.5" thickBot="1">
      <c r="A24" t="s">
        <v>23</v>
      </c>
      <c r="E24" s="22">
        <f>+E12+E22</f>
        <v>281188.11</v>
      </c>
      <c r="F24" s="5"/>
      <c r="G24" s="10"/>
      <c r="H24" s="10"/>
      <c r="I24" s="22">
        <f>+I12+I22</f>
        <v>269167.75999999995</v>
      </c>
      <c r="J24" s="5"/>
      <c r="K24" s="18"/>
      <c r="L24" s="27">
        <f>+L22</f>
        <v>54619.944019326</v>
      </c>
      <c r="M24" s="18"/>
      <c r="N24" s="18"/>
      <c r="O24" s="27">
        <f>+O12+O22</f>
        <v>75861.29352978819</v>
      </c>
    </row>
    <row r="25" spans="6:10" ht="13.5" thickTop="1">
      <c r="F25" s="5"/>
      <c r="G25" s="10"/>
      <c r="H25" s="10"/>
      <c r="I25" s="10"/>
      <c r="J25" s="5"/>
    </row>
    <row r="26" spans="6:10" ht="12.75">
      <c r="F26" s="5"/>
      <c r="G26" s="10"/>
      <c r="H26" s="10"/>
      <c r="I26" s="10"/>
      <c r="J26" s="5"/>
    </row>
    <row r="27" spans="1:10" ht="12.75">
      <c r="A27" s="2" t="s">
        <v>4</v>
      </c>
      <c r="F27" s="5"/>
      <c r="G27" s="10"/>
      <c r="H27" s="10"/>
      <c r="I27" s="10"/>
      <c r="J27" s="5"/>
    </row>
    <row r="28" spans="1:10" ht="12.75">
      <c r="A28" s="30" t="s">
        <v>38</v>
      </c>
      <c r="F28" s="5"/>
      <c r="G28" s="10"/>
      <c r="H28" s="10"/>
      <c r="I28" s="10"/>
      <c r="J28" s="5"/>
    </row>
    <row r="29" spans="1:10" ht="12.75">
      <c r="A29" t="s">
        <v>32</v>
      </c>
      <c r="F29" s="5"/>
      <c r="G29" s="10"/>
      <c r="H29" s="10"/>
      <c r="I29" s="10"/>
      <c r="J29" s="5"/>
    </row>
    <row r="30" spans="1:10" ht="12.75">
      <c r="A30" t="s">
        <v>11</v>
      </c>
      <c r="F30" s="5"/>
      <c r="G30" s="10"/>
      <c r="H30" s="10"/>
      <c r="I30" s="10"/>
      <c r="J30" s="5"/>
    </row>
    <row r="31" spans="1:10" ht="12.75">
      <c r="A31" t="s">
        <v>24</v>
      </c>
      <c r="F31" s="5"/>
      <c r="G31" s="10"/>
      <c r="H31" s="10"/>
      <c r="I31" s="10"/>
      <c r="J31" s="5"/>
    </row>
    <row r="32" spans="6:10" ht="12.75">
      <c r="F32" s="5"/>
      <c r="G32" s="10"/>
      <c r="H32" s="10"/>
      <c r="I32" s="10"/>
      <c r="J32" s="5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4" right="0.2" top="0.98" bottom="0.38" header="0.35" footer="0.2"/>
  <pageSetup fitToHeight="1" fitToWidth="1" horizontalDpi="600" verticalDpi="600" orientation="landscape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M37" sqref="M37"/>
    </sheetView>
  </sheetViews>
  <sheetFormatPr defaultColWidth="9.140625" defaultRowHeight="12.75"/>
  <cols>
    <col min="1" max="1" width="18.00390625" style="40" customWidth="1"/>
    <col min="2" max="2" width="6.7109375" style="40" customWidth="1"/>
    <col min="3" max="3" width="7.00390625" style="40" bestFit="1" customWidth="1"/>
    <col min="4" max="5" width="11.28125" style="40" bestFit="1" customWidth="1"/>
    <col min="6" max="6" width="0.9921875" style="40" customWidth="1"/>
    <col min="7" max="7" width="8.421875" style="40" bestFit="1" customWidth="1"/>
    <col min="8" max="8" width="10.28125" style="43" bestFit="1" customWidth="1"/>
    <col min="9" max="9" width="11.28125" style="43" bestFit="1" customWidth="1"/>
    <col min="10" max="10" width="1.1484375" style="40" customWidth="1"/>
    <col min="11" max="11" width="9.140625" style="40" customWidth="1"/>
    <col min="12" max="12" width="10.00390625" style="40" bestFit="1" customWidth="1"/>
    <col min="13" max="13" width="10.28125" style="40" bestFit="1" customWidth="1"/>
    <col min="14" max="14" width="11.28125" style="40" bestFit="1" customWidth="1"/>
    <col min="15" max="15" width="10.28125" style="40" bestFit="1" customWidth="1"/>
    <col min="16" max="16384" width="9.140625" style="40" customWidth="1"/>
  </cols>
  <sheetData>
    <row r="1" spans="1:7" ht="12.75">
      <c r="A1" s="40" t="s">
        <v>19</v>
      </c>
      <c r="E1" s="40" t="s">
        <v>31</v>
      </c>
      <c r="G1" s="42">
        <v>37987</v>
      </c>
    </row>
    <row r="2" spans="1:13" ht="12.75">
      <c r="A2" s="40" t="s">
        <v>14</v>
      </c>
      <c r="E2" s="42"/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49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49" t="s">
        <v>29</v>
      </c>
      <c r="M5" s="49" t="s">
        <v>37</v>
      </c>
      <c r="N5" s="49" t="s">
        <v>33</v>
      </c>
      <c r="O5" s="51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39">
        <f>670301+10802544</f>
        <v>11472845</v>
      </c>
      <c r="E6" s="43">
        <f>8178.36+131791.5</f>
        <v>139969.86</v>
      </c>
      <c r="F6" s="53"/>
      <c r="G6" s="54">
        <v>13.25</v>
      </c>
      <c r="H6" s="54">
        <f aca="true" t="shared" si="0" ref="H6:H11">I6/G6</f>
        <v>11878.50716981132</v>
      </c>
      <c r="I6" s="43">
        <v>157390.22</v>
      </c>
      <c r="J6" s="53"/>
      <c r="K6" s="55">
        <v>0.0023</v>
      </c>
      <c r="L6" s="43">
        <v>2.54</v>
      </c>
      <c r="M6" s="43">
        <f aca="true" t="shared" si="1" ref="M6:M11">+D6*K6</f>
        <v>26387.5435</v>
      </c>
      <c r="N6" s="43">
        <f aca="true" t="shared" si="2" ref="N6:N11">+H6*L6</f>
        <v>30171.408211320755</v>
      </c>
      <c r="O6" s="56">
        <f aca="true" t="shared" si="3" ref="O6:O11">SUM(M6:N6)</f>
        <v>56558.951711320755</v>
      </c>
    </row>
    <row r="7" spans="1:15" ht="12.75">
      <c r="A7" s="40" t="s">
        <v>5</v>
      </c>
      <c r="B7" s="40" t="s">
        <v>3</v>
      </c>
      <c r="C7" s="52">
        <v>0.0091</v>
      </c>
      <c r="D7" s="39">
        <f>943291+2439900</f>
        <v>3383191</v>
      </c>
      <c r="E7" s="57">
        <f>8584.05+22203</f>
        <v>30787.05</v>
      </c>
      <c r="F7" s="58"/>
      <c r="G7" s="59">
        <v>32.21</v>
      </c>
      <c r="H7" s="54">
        <f t="shared" si="0"/>
        <v>1125.0648866811548</v>
      </c>
      <c r="I7" s="43">
        <v>36238.34</v>
      </c>
      <c r="J7" s="58"/>
      <c r="K7" s="55">
        <v>0.0017</v>
      </c>
      <c r="L7" s="43">
        <v>6.6</v>
      </c>
      <c r="M7" s="43">
        <f t="shared" si="1"/>
        <v>5751.4247</v>
      </c>
      <c r="N7" s="43">
        <f t="shared" si="2"/>
        <v>7425.428252095621</v>
      </c>
      <c r="O7" s="56">
        <f t="shared" si="3"/>
        <v>13176.852952095622</v>
      </c>
    </row>
    <row r="8" spans="1:15" ht="12.75">
      <c r="A8" s="40" t="s">
        <v>6</v>
      </c>
      <c r="B8" s="40" t="s">
        <v>9</v>
      </c>
      <c r="C8" s="52">
        <v>1.6919</v>
      </c>
      <c r="D8" s="39">
        <f>617.281+9681.964+3774.518+8682.53+22158.27+1573.551</f>
        <v>46488.113999999994</v>
      </c>
      <c r="E8" s="43">
        <f>1044.35+16380.9+6386.11+14689.98+37489.61+2662.31</f>
        <v>78653.26</v>
      </c>
      <c r="F8" s="53"/>
      <c r="G8" s="54">
        <v>204.28</v>
      </c>
      <c r="H8" s="54">
        <f t="shared" si="0"/>
        <v>188.03451145486588</v>
      </c>
      <c r="I8" s="43">
        <v>38411.69</v>
      </c>
      <c r="J8" s="53"/>
      <c r="K8" s="55">
        <v>0.3166</v>
      </c>
      <c r="L8" s="43">
        <v>41.86</v>
      </c>
      <c r="M8" s="43">
        <f t="shared" si="1"/>
        <v>14718.136892399998</v>
      </c>
      <c r="N8" s="43">
        <f t="shared" si="2"/>
        <v>7871.124649500685</v>
      </c>
      <c r="O8" s="56">
        <f t="shared" si="3"/>
        <v>22589.261541900683</v>
      </c>
    </row>
    <row r="9" spans="1:15" ht="12.75">
      <c r="A9" s="40" t="s">
        <v>7</v>
      </c>
      <c r="B9" s="40" t="s">
        <v>9</v>
      </c>
      <c r="C9" s="52">
        <v>5.2694</v>
      </c>
      <c r="D9" s="39">
        <f>4.933+17.165</f>
        <v>22.098</v>
      </c>
      <c r="E9" s="57">
        <f>26+90.46</f>
        <v>116.46</v>
      </c>
      <c r="F9" s="58"/>
      <c r="G9" s="59">
        <v>2.96</v>
      </c>
      <c r="H9" s="54">
        <f t="shared" si="0"/>
        <v>46.49999999999999</v>
      </c>
      <c r="I9" s="43">
        <v>137.64</v>
      </c>
      <c r="J9" s="58"/>
      <c r="K9" s="55">
        <v>0.7792</v>
      </c>
      <c r="L9" s="43">
        <v>0.72</v>
      </c>
      <c r="M9" s="43">
        <f t="shared" si="1"/>
        <v>17.2187616</v>
      </c>
      <c r="N9" s="43">
        <f t="shared" si="2"/>
        <v>33.48</v>
      </c>
      <c r="O9" s="56">
        <f t="shared" si="3"/>
        <v>50.6987616</v>
      </c>
    </row>
    <row r="10" spans="1:15" ht="12.75">
      <c r="A10" s="40" t="s">
        <v>8</v>
      </c>
      <c r="B10" s="40" t="s">
        <v>9</v>
      </c>
      <c r="C10" s="52">
        <v>3.5359</v>
      </c>
      <c r="D10" s="39">
        <f>180.26+378.56</f>
        <v>558.8199999999999</v>
      </c>
      <c r="E10" s="57">
        <f>637.38+1338.55</f>
        <v>1975.9299999999998</v>
      </c>
      <c r="F10" s="58"/>
      <c r="G10" s="59">
        <v>0.59</v>
      </c>
      <c r="H10" s="54">
        <f t="shared" si="0"/>
        <v>3911.2372881355936</v>
      </c>
      <c r="I10" s="43">
        <v>2307.63</v>
      </c>
      <c r="J10" s="58"/>
      <c r="K10" s="55">
        <v>0.6629</v>
      </c>
      <c r="L10" s="43">
        <v>0.11</v>
      </c>
      <c r="M10" s="43">
        <f t="shared" si="1"/>
        <v>370.441778</v>
      </c>
      <c r="N10" s="43">
        <f t="shared" si="2"/>
        <v>430.2361016949153</v>
      </c>
      <c r="O10" s="56">
        <f t="shared" si="3"/>
        <v>800.6778796949153</v>
      </c>
    </row>
    <row r="11" spans="1:15" ht="12.75">
      <c r="A11" s="40" t="s">
        <v>10</v>
      </c>
      <c r="B11" s="40" t="s">
        <v>3</v>
      </c>
      <c r="C11" s="52">
        <v>0.0091</v>
      </c>
      <c r="D11" s="39">
        <f>19634.01+201255</f>
        <v>220889.01</v>
      </c>
      <c r="E11" s="43">
        <f>178.76+1831.51</f>
        <v>2010.27</v>
      </c>
      <c r="F11" s="53"/>
      <c r="G11" s="54">
        <f>+G7</f>
        <v>32.21</v>
      </c>
      <c r="H11" s="54">
        <f t="shared" si="0"/>
        <v>300.19993790748214</v>
      </c>
      <c r="I11" s="43">
        <v>9669.44</v>
      </c>
      <c r="J11" s="53"/>
      <c r="K11" s="60">
        <f>+K7</f>
        <v>0.0017</v>
      </c>
      <c r="L11" s="43">
        <f>+L7</f>
        <v>6.6</v>
      </c>
      <c r="M11" s="43">
        <f t="shared" si="1"/>
        <v>375.511317</v>
      </c>
      <c r="N11" s="43">
        <f t="shared" si="2"/>
        <v>1981.319590189382</v>
      </c>
      <c r="O11" s="56">
        <f t="shared" si="3"/>
        <v>2356.8309071893823</v>
      </c>
    </row>
    <row r="12" spans="1:15" ht="12.75">
      <c r="A12" s="40" t="s">
        <v>17</v>
      </c>
      <c r="E12" s="61">
        <f>SUM(E6:E11)</f>
        <v>253512.82999999996</v>
      </c>
      <c r="F12" s="44"/>
      <c r="G12" s="45"/>
      <c r="H12" s="45"/>
      <c r="I12" s="61">
        <f>SUM(I6:I11)</f>
        <v>244154.96000000002</v>
      </c>
      <c r="J12" s="44"/>
      <c r="M12" s="61">
        <f>SUM(M6:M11)</f>
        <v>47620.276949</v>
      </c>
      <c r="N12" s="61">
        <f>SUM(N6:N11)</f>
        <v>47912.99680480136</v>
      </c>
      <c r="O12" s="61">
        <f>SUM(O6:O11)</f>
        <v>95533.27375380138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49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49" t="s">
        <v>13</v>
      </c>
      <c r="M15" s="44"/>
      <c r="N15" s="49" t="s">
        <v>16</v>
      </c>
      <c r="O15" s="49" t="s">
        <v>13</v>
      </c>
    </row>
    <row r="16" spans="1:15" ht="12.75">
      <c r="A16" s="40" t="s">
        <v>2</v>
      </c>
      <c r="B16" s="40" t="s">
        <v>3</v>
      </c>
      <c r="C16" s="40">
        <v>0.0125</v>
      </c>
      <c r="F16" s="44"/>
      <c r="G16" s="54">
        <v>13.25</v>
      </c>
      <c r="H16" s="54">
        <f aca="true" t="shared" si="4" ref="H16:H21">I16/G16</f>
        <v>0</v>
      </c>
      <c r="J16" s="44"/>
      <c r="K16" s="40">
        <v>0.001521</v>
      </c>
      <c r="L16" s="43">
        <f aca="true" t="shared" si="5" ref="L16:L21">+$D16*K16</f>
        <v>0</v>
      </c>
      <c r="M16" s="44"/>
      <c r="N16" s="40">
        <v>0.003957</v>
      </c>
      <c r="O16" s="43">
        <f aca="true" t="shared" si="6" ref="O16:O21">+$D16*N16</f>
        <v>0</v>
      </c>
    </row>
    <row r="17" spans="1:15" ht="12.75">
      <c r="A17" s="40" t="s">
        <v>5</v>
      </c>
      <c r="B17" s="40" t="s">
        <v>3</v>
      </c>
      <c r="C17" s="40">
        <v>0.0095</v>
      </c>
      <c r="F17" s="44"/>
      <c r="G17" s="59">
        <v>32.21</v>
      </c>
      <c r="H17" s="54">
        <f t="shared" si="4"/>
        <v>0</v>
      </c>
      <c r="J17" s="44"/>
      <c r="K17" s="40">
        <v>0.001521</v>
      </c>
      <c r="L17" s="43">
        <f t="shared" si="5"/>
        <v>0</v>
      </c>
      <c r="M17" s="44"/>
      <c r="N17" s="40">
        <v>0.003281</v>
      </c>
      <c r="O17" s="43">
        <f t="shared" si="6"/>
        <v>0</v>
      </c>
    </row>
    <row r="18" spans="1:15" ht="12.75">
      <c r="A18" s="40" t="s">
        <v>6</v>
      </c>
      <c r="B18" s="40" t="s">
        <v>9</v>
      </c>
      <c r="C18" s="40">
        <v>2.2816</v>
      </c>
      <c r="F18" s="44"/>
      <c r="G18" s="54">
        <v>204.28</v>
      </c>
      <c r="H18" s="54">
        <f t="shared" si="4"/>
        <v>0</v>
      </c>
      <c r="J18" s="44"/>
      <c r="K18" s="40">
        <v>0.703918</v>
      </c>
      <c r="L18" s="43">
        <f t="shared" si="5"/>
        <v>0</v>
      </c>
      <c r="M18" s="44"/>
      <c r="N18" s="40">
        <v>0.403767</v>
      </c>
      <c r="O18" s="43">
        <f t="shared" si="6"/>
        <v>0</v>
      </c>
    </row>
    <row r="19" spans="1:15" ht="12.75">
      <c r="A19" s="40" t="s">
        <v>7</v>
      </c>
      <c r="B19" s="40" t="s">
        <v>9</v>
      </c>
      <c r="C19" s="40">
        <v>2.3323</v>
      </c>
      <c r="F19" s="44"/>
      <c r="G19" s="59">
        <v>2.96</v>
      </c>
      <c r="H19" s="54">
        <f t="shared" si="4"/>
        <v>0</v>
      </c>
      <c r="J19" s="44"/>
      <c r="K19" s="40">
        <v>0.286512</v>
      </c>
      <c r="L19" s="43">
        <f t="shared" si="5"/>
        <v>0</v>
      </c>
      <c r="M19" s="44"/>
      <c r="N19" s="40">
        <v>1.864886</v>
      </c>
      <c r="O19" s="43">
        <f t="shared" si="6"/>
        <v>0</v>
      </c>
    </row>
    <row r="20" spans="1:15" ht="12.75">
      <c r="A20" s="40" t="s">
        <v>8</v>
      </c>
      <c r="B20" s="40" t="s">
        <v>9</v>
      </c>
      <c r="C20" s="40">
        <v>3.6587</v>
      </c>
      <c r="F20" s="44"/>
      <c r="G20" s="59">
        <v>0.59</v>
      </c>
      <c r="H20" s="54">
        <f t="shared" si="4"/>
        <v>0</v>
      </c>
      <c r="J20" s="44"/>
      <c r="K20" s="40">
        <v>0.478809</v>
      </c>
      <c r="L20" s="43">
        <f t="shared" si="5"/>
        <v>0</v>
      </c>
      <c r="M20" s="44"/>
      <c r="N20" s="40">
        <v>1.188604</v>
      </c>
      <c r="O20" s="43">
        <f t="shared" si="6"/>
        <v>0</v>
      </c>
    </row>
    <row r="21" spans="1:15" ht="12.75">
      <c r="A21" s="40" t="s">
        <v>10</v>
      </c>
      <c r="B21" s="40" t="s">
        <v>3</v>
      </c>
      <c r="C21" s="40">
        <v>0.0095</v>
      </c>
      <c r="F21" s="44"/>
      <c r="G21" s="54">
        <f>+G17</f>
        <v>32.21</v>
      </c>
      <c r="H21" s="54">
        <f t="shared" si="4"/>
        <v>0</v>
      </c>
      <c r="J21" s="44"/>
      <c r="K21" s="40">
        <v>0.001521</v>
      </c>
      <c r="L21" s="43">
        <f t="shared" si="5"/>
        <v>0</v>
      </c>
      <c r="M21" s="44"/>
      <c r="N21" s="40">
        <f>+N17</f>
        <v>0.003281</v>
      </c>
      <c r="O21" s="43">
        <f t="shared" si="6"/>
        <v>0</v>
      </c>
    </row>
    <row r="22" spans="1:15" ht="12.75">
      <c r="A22" s="40" t="s">
        <v>17</v>
      </c>
      <c r="E22" s="61">
        <f>SUM(E16:E21)</f>
        <v>0</v>
      </c>
      <c r="F22" s="44"/>
      <c r="G22" s="45"/>
      <c r="H22" s="45"/>
      <c r="I22" s="61">
        <f>SUM(I16:I21)</f>
        <v>0</v>
      </c>
      <c r="J22" s="44"/>
      <c r="L22" s="61">
        <f>SUM(L16:L21)</f>
        <v>0</v>
      </c>
      <c r="M22" s="45"/>
      <c r="O22" s="61">
        <f>SUM(O16:O21)</f>
        <v>0</v>
      </c>
    </row>
    <row r="23" spans="6:15" ht="12.75">
      <c r="F23" s="44"/>
      <c r="G23" s="45"/>
      <c r="H23" s="45"/>
      <c r="I23" s="45"/>
      <c r="J23" s="44"/>
      <c r="L23" s="43"/>
      <c r="O23" s="43"/>
    </row>
    <row r="24" spans="1:15" ht="13.5" thickBot="1">
      <c r="A24" s="40" t="s">
        <v>23</v>
      </c>
      <c r="E24" s="63">
        <f>+E12+E22</f>
        <v>253512.82999999996</v>
      </c>
      <c r="F24" s="44"/>
      <c r="G24" s="45"/>
      <c r="H24" s="45"/>
      <c r="I24" s="63">
        <f>+I12+I22</f>
        <v>244154.96000000002</v>
      </c>
      <c r="J24" s="44"/>
      <c r="L24" s="64">
        <f>+L22</f>
        <v>0</v>
      </c>
      <c r="O24" s="64">
        <f>+O12+O22</f>
        <v>95533.27375380138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4" right="0.26" top="0.78" bottom="0.38" header="0.22" footer="0.2"/>
  <pageSetup fitToHeight="1" fitToWidth="1" horizontalDpi="600" verticalDpi="600" orientation="landscape" scale="96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1" width="17.57421875" style="40" customWidth="1"/>
    <col min="2" max="2" width="4.8515625" style="40" bestFit="1" customWidth="1"/>
    <col min="3" max="3" width="9.140625" style="40" customWidth="1"/>
    <col min="4" max="4" width="14.00390625" style="40" bestFit="1" customWidth="1"/>
    <col min="5" max="5" width="11.28125" style="40" bestFit="1" customWidth="1"/>
    <col min="6" max="6" width="1.1484375" style="40" customWidth="1"/>
    <col min="7" max="8" width="9.140625" style="40" customWidth="1"/>
    <col min="9" max="9" width="11.28125" style="43" bestFit="1" customWidth="1"/>
    <col min="10" max="10" width="2.00390625" style="40" customWidth="1"/>
    <col min="11" max="11" width="9.140625" style="40" customWidth="1"/>
    <col min="12" max="12" width="9.140625" style="43" customWidth="1"/>
    <col min="13" max="13" width="11.140625" style="40" customWidth="1"/>
    <col min="14" max="14" width="10.28125" style="40" bestFit="1" customWidth="1"/>
    <col min="15" max="15" width="11.28125" style="43" bestFit="1" customWidth="1"/>
    <col min="16" max="16384" width="9.140625" style="40" customWidth="1"/>
  </cols>
  <sheetData>
    <row r="1" spans="1:8" ht="12.75">
      <c r="A1" s="40" t="s">
        <v>19</v>
      </c>
      <c r="E1" s="40" t="s">
        <v>31</v>
      </c>
      <c r="G1" s="42">
        <v>38018</v>
      </c>
      <c r="H1" s="43"/>
    </row>
    <row r="2" spans="1:13" ht="12.75">
      <c r="A2" s="40" t="s">
        <v>14</v>
      </c>
      <c r="E2" s="42"/>
      <c r="F2" s="44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49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50" t="s">
        <v>29</v>
      </c>
      <c r="M5" s="49" t="s">
        <v>37</v>
      </c>
      <c r="N5" s="49" t="s">
        <v>33</v>
      </c>
      <c r="O5" s="66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1">
        <v>16391015</v>
      </c>
      <c r="E6" s="67">
        <v>199972.49</v>
      </c>
      <c r="F6" s="53"/>
      <c r="G6" s="54">
        <v>13.25</v>
      </c>
      <c r="H6" s="54">
        <f aca="true" t="shared" si="0" ref="H6:H11">I6/G6</f>
        <v>15945.338867924527</v>
      </c>
      <c r="I6" s="43">
        <v>211275.74</v>
      </c>
      <c r="J6" s="53"/>
      <c r="K6" s="55">
        <v>0.0023</v>
      </c>
      <c r="L6" s="43">
        <v>2.54</v>
      </c>
      <c r="M6" s="43">
        <f aca="true" t="shared" si="1" ref="M6:M11">+D6*K6</f>
        <v>37699.3345</v>
      </c>
      <c r="N6" s="43">
        <f aca="true" t="shared" si="2" ref="N6:N11">+H6*L6</f>
        <v>40501.1607245283</v>
      </c>
      <c r="O6" s="43">
        <f aca="true" t="shared" si="3" ref="O6:O11">SUM(M6:N6)</f>
        <v>78200.4952245283</v>
      </c>
    </row>
    <row r="7" spans="1:15" ht="12.75">
      <c r="A7" s="40" t="s">
        <v>5</v>
      </c>
      <c r="B7" s="40" t="s">
        <v>3</v>
      </c>
      <c r="C7" s="52">
        <v>0.0091</v>
      </c>
      <c r="D7" s="41">
        <f>3921815</f>
        <v>3921815</v>
      </c>
      <c r="E7" s="68">
        <f>35688.77</f>
        <v>35688.77</v>
      </c>
      <c r="F7" s="58"/>
      <c r="G7" s="59">
        <v>32.21</v>
      </c>
      <c r="H7" s="54">
        <f t="shared" si="0"/>
        <v>1128.4725240608507</v>
      </c>
      <c r="I7" s="43">
        <v>36348.1</v>
      </c>
      <c r="J7" s="58"/>
      <c r="K7" s="55">
        <v>0.0017</v>
      </c>
      <c r="L7" s="43">
        <v>6.6</v>
      </c>
      <c r="M7" s="43">
        <f t="shared" si="1"/>
        <v>6667.085499999999</v>
      </c>
      <c r="N7" s="43">
        <f t="shared" si="2"/>
        <v>7447.918658801614</v>
      </c>
      <c r="O7" s="43">
        <f t="shared" si="3"/>
        <v>14115.004158801614</v>
      </c>
    </row>
    <row r="8" spans="1:15" ht="12.75">
      <c r="A8" s="40" t="s">
        <v>6</v>
      </c>
      <c r="B8" s="40" t="s">
        <v>9</v>
      </c>
      <c r="C8" s="52">
        <v>1.6919</v>
      </c>
      <c r="D8" s="41">
        <f>13076.73+32913.39+2634.239</f>
        <v>48624.359</v>
      </c>
      <c r="E8" s="67">
        <f>22124.49+55686.2+4456.88</f>
        <v>82267.57</v>
      </c>
      <c r="F8" s="53"/>
      <c r="G8" s="54">
        <v>204.28</v>
      </c>
      <c r="H8" s="54">
        <f t="shared" si="0"/>
        <v>207.96837673781084</v>
      </c>
      <c r="I8" s="43">
        <v>42483.78</v>
      </c>
      <c r="J8" s="53"/>
      <c r="K8" s="55">
        <v>0.3166</v>
      </c>
      <c r="L8" s="43">
        <v>41.86</v>
      </c>
      <c r="M8" s="43">
        <f t="shared" si="1"/>
        <v>15394.4720594</v>
      </c>
      <c r="N8" s="43">
        <f t="shared" si="2"/>
        <v>8705.556250244761</v>
      </c>
      <c r="O8" s="43">
        <f t="shared" si="3"/>
        <v>24100.02830964476</v>
      </c>
    </row>
    <row r="9" spans="1:15" ht="12.75">
      <c r="A9" s="40" t="s">
        <v>7</v>
      </c>
      <c r="B9" s="40" t="s">
        <v>9</v>
      </c>
      <c r="C9" s="52">
        <v>5.2694</v>
      </c>
      <c r="D9" s="41">
        <f>19.045</f>
        <v>19.045</v>
      </c>
      <c r="E9" s="68">
        <f>100.35</f>
        <v>100.35</v>
      </c>
      <c r="F9" s="58"/>
      <c r="G9" s="59">
        <v>2.96</v>
      </c>
      <c r="H9" s="54">
        <f t="shared" si="0"/>
        <v>48.442567567567565</v>
      </c>
      <c r="I9" s="43">
        <v>143.39</v>
      </c>
      <c r="J9" s="58"/>
      <c r="K9" s="55">
        <v>0.7792</v>
      </c>
      <c r="L9" s="43">
        <v>0.72</v>
      </c>
      <c r="M9" s="43">
        <f t="shared" si="1"/>
        <v>14.839864000000002</v>
      </c>
      <c r="N9" s="43">
        <f t="shared" si="2"/>
        <v>34.87864864864864</v>
      </c>
      <c r="O9" s="43">
        <f t="shared" si="3"/>
        <v>49.71851264864864</v>
      </c>
    </row>
    <row r="10" spans="1:15" ht="12.75">
      <c r="A10" s="40" t="s">
        <v>8</v>
      </c>
      <c r="B10" s="40" t="s">
        <v>9</v>
      </c>
      <c r="C10" s="52">
        <v>3.5359</v>
      </c>
      <c r="D10" s="41">
        <f>558.82</f>
        <v>558.82</v>
      </c>
      <c r="E10" s="68">
        <v>1975.93</v>
      </c>
      <c r="F10" s="58"/>
      <c r="G10" s="59">
        <v>0.59</v>
      </c>
      <c r="H10" s="54">
        <f t="shared" si="0"/>
        <v>3911.2372881355936</v>
      </c>
      <c r="I10" s="43">
        <v>2307.63</v>
      </c>
      <c r="J10" s="58"/>
      <c r="K10" s="55">
        <v>0.6629</v>
      </c>
      <c r="L10" s="43">
        <v>0.11</v>
      </c>
      <c r="M10" s="43">
        <f t="shared" si="1"/>
        <v>370.44177800000006</v>
      </c>
      <c r="N10" s="43">
        <f t="shared" si="2"/>
        <v>430.2361016949153</v>
      </c>
      <c r="O10" s="43">
        <f t="shared" si="3"/>
        <v>800.6778796949154</v>
      </c>
    </row>
    <row r="11" spans="1:15" ht="12.75">
      <c r="A11" s="40" t="s">
        <v>10</v>
      </c>
      <c r="B11" s="40" t="s">
        <v>3</v>
      </c>
      <c r="C11" s="52">
        <v>0.0091</v>
      </c>
      <c r="D11" s="41">
        <f>151327</f>
        <v>151327</v>
      </c>
      <c r="E11" s="67">
        <v>1377.18</v>
      </c>
      <c r="F11" s="53"/>
      <c r="G11" s="54">
        <f>+G7</f>
        <v>32.21</v>
      </c>
      <c r="H11" s="54">
        <f t="shared" si="0"/>
        <v>151.83328158956846</v>
      </c>
      <c r="I11" s="43">
        <v>4890.55</v>
      </c>
      <c r="J11" s="53"/>
      <c r="K11" s="60">
        <f>+K7</f>
        <v>0.0017</v>
      </c>
      <c r="L11" s="43">
        <f>+L7</f>
        <v>6.6</v>
      </c>
      <c r="M11" s="43">
        <f t="shared" si="1"/>
        <v>257.2559</v>
      </c>
      <c r="N11" s="43">
        <f t="shared" si="2"/>
        <v>1002.0996584911518</v>
      </c>
      <c r="O11" s="43">
        <f t="shared" si="3"/>
        <v>1259.355558491152</v>
      </c>
    </row>
    <row r="12" spans="1:15" ht="12.75">
      <c r="A12" s="40" t="s">
        <v>17</v>
      </c>
      <c r="E12" s="61">
        <f>SUM(E6:E11)</f>
        <v>321382.2899999999</v>
      </c>
      <c r="F12" s="44"/>
      <c r="G12" s="45"/>
      <c r="H12" s="45"/>
      <c r="I12" s="61">
        <f>SUM(I6:I11)</f>
        <v>297449.19</v>
      </c>
      <c r="J12" s="44"/>
      <c r="M12" s="61">
        <f>SUM(M6:M11)</f>
        <v>60403.42960139999</v>
      </c>
      <c r="N12" s="61">
        <f>SUM(N6:N11)</f>
        <v>58121.850042409395</v>
      </c>
      <c r="O12" s="61">
        <f>SUM(O6:O11)</f>
        <v>118525.27964380941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49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50" t="s">
        <v>13</v>
      </c>
      <c r="M15" s="44"/>
      <c r="N15" s="49" t="s">
        <v>16</v>
      </c>
      <c r="O15" s="50" t="s">
        <v>13</v>
      </c>
    </row>
    <row r="16" spans="1:15" ht="12.75">
      <c r="A16" s="40" t="s">
        <v>2</v>
      </c>
      <c r="B16" s="40" t="s">
        <v>3</v>
      </c>
      <c r="C16" s="40">
        <v>0.0125</v>
      </c>
      <c r="F16" s="44"/>
      <c r="G16" s="54">
        <v>13.25</v>
      </c>
      <c r="H16" s="54">
        <f aca="true" t="shared" si="4" ref="H16:H21">I16/G16</f>
        <v>0</v>
      </c>
      <c r="J16" s="44"/>
      <c r="K16" s="40">
        <v>0.001521</v>
      </c>
      <c r="L16" s="43">
        <f aca="true" t="shared" si="5" ref="L16:L21">+$D16*K16</f>
        <v>0</v>
      </c>
      <c r="M16" s="44"/>
      <c r="N16" s="40">
        <v>0.003957</v>
      </c>
      <c r="O16" s="43">
        <f aca="true" t="shared" si="6" ref="O16:O21">+$D16*N16</f>
        <v>0</v>
      </c>
    </row>
    <row r="17" spans="1:15" ht="12.75">
      <c r="A17" s="40" t="s">
        <v>5</v>
      </c>
      <c r="B17" s="40" t="s">
        <v>3</v>
      </c>
      <c r="C17" s="40">
        <v>0.0095</v>
      </c>
      <c r="F17" s="44"/>
      <c r="G17" s="59">
        <v>32.21</v>
      </c>
      <c r="H17" s="54">
        <f t="shared" si="4"/>
        <v>0</v>
      </c>
      <c r="J17" s="44"/>
      <c r="K17" s="40">
        <v>0.001521</v>
      </c>
      <c r="L17" s="43">
        <f t="shared" si="5"/>
        <v>0</v>
      </c>
      <c r="M17" s="44"/>
      <c r="N17" s="40">
        <v>0.003281</v>
      </c>
      <c r="O17" s="43">
        <f t="shared" si="6"/>
        <v>0</v>
      </c>
    </row>
    <row r="18" spans="1:15" ht="12.75">
      <c r="A18" s="40" t="s">
        <v>6</v>
      </c>
      <c r="B18" s="40" t="s">
        <v>9</v>
      </c>
      <c r="C18" s="40">
        <v>2.2816</v>
      </c>
      <c r="F18" s="44"/>
      <c r="G18" s="54">
        <v>204.28</v>
      </c>
      <c r="H18" s="54">
        <f t="shared" si="4"/>
        <v>0</v>
      </c>
      <c r="J18" s="44"/>
      <c r="K18" s="40">
        <v>0.703918</v>
      </c>
      <c r="L18" s="43">
        <f t="shared" si="5"/>
        <v>0</v>
      </c>
      <c r="M18" s="44"/>
      <c r="N18" s="40">
        <v>0.403767</v>
      </c>
      <c r="O18" s="43">
        <f t="shared" si="6"/>
        <v>0</v>
      </c>
    </row>
    <row r="19" spans="1:15" ht="12.75">
      <c r="A19" s="40" t="s">
        <v>7</v>
      </c>
      <c r="B19" s="40" t="s">
        <v>9</v>
      </c>
      <c r="C19" s="40">
        <v>2.3323</v>
      </c>
      <c r="F19" s="44"/>
      <c r="G19" s="59">
        <v>2.96</v>
      </c>
      <c r="H19" s="54">
        <f t="shared" si="4"/>
        <v>0</v>
      </c>
      <c r="J19" s="44"/>
      <c r="K19" s="40">
        <v>0.286512</v>
      </c>
      <c r="L19" s="43">
        <f t="shared" si="5"/>
        <v>0</v>
      </c>
      <c r="M19" s="44"/>
      <c r="N19" s="40">
        <v>1.864886</v>
      </c>
      <c r="O19" s="43">
        <f t="shared" si="6"/>
        <v>0</v>
      </c>
    </row>
    <row r="20" spans="1:15" ht="12.75">
      <c r="A20" s="40" t="s">
        <v>8</v>
      </c>
      <c r="B20" s="40" t="s">
        <v>9</v>
      </c>
      <c r="C20" s="40">
        <v>3.6587</v>
      </c>
      <c r="F20" s="44"/>
      <c r="G20" s="59">
        <v>0.59</v>
      </c>
      <c r="H20" s="54">
        <f t="shared" si="4"/>
        <v>0</v>
      </c>
      <c r="J20" s="44"/>
      <c r="K20" s="40">
        <v>0.478809</v>
      </c>
      <c r="L20" s="43">
        <f t="shared" si="5"/>
        <v>0</v>
      </c>
      <c r="M20" s="44"/>
      <c r="N20" s="40">
        <v>1.188604</v>
      </c>
      <c r="O20" s="43">
        <f t="shared" si="6"/>
        <v>0</v>
      </c>
    </row>
    <row r="21" spans="1:15" ht="12.75">
      <c r="A21" s="40" t="s">
        <v>10</v>
      </c>
      <c r="B21" s="40" t="s">
        <v>3</v>
      </c>
      <c r="C21" s="40">
        <v>0.0095</v>
      </c>
      <c r="F21" s="44"/>
      <c r="G21" s="54">
        <f>+G17</f>
        <v>32.21</v>
      </c>
      <c r="H21" s="54">
        <f t="shared" si="4"/>
        <v>0</v>
      </c>
      <c r="J21" s="44"/>
      <c r="K21" s="40">
        <v>0.001521</v>
      </c>
      <c r="L21" s="43">
        <f t="shared" si="5"/>
        <v>0</v>
      </c>
      <c r="M21" s="44"/>
      <c r="N21" s="40">
        <f>+N17</f>
        <v>0.003281</v>
      </c>
      <c r="O21" s="43">
        <f t="shared" si="6"/>
        <v>0</v>
      </c>
    </row>
    <row r="22" spans="1:15" ht="12.75">
      <c r="A22" s="40" t="s">
        <v>17</v>
      </c>
      <c r="E22" s="61">
        <f>SUM(E16:E21)</f>
        <v>0</v>
      </c>
      <c r="F22" s="44"/>
      <c r="G22" s="45"/>
      <c r="H22" s="45"/>
      <c r="I22" s="61">
        <f>SUM(I16:I21)</f>
        <v>0</v>
      </c>
      <c r="J22" s="44"/>
      <c r="L22" s="61">
        <f>SUM(L16:L21)</f>
        <v>0</v>
      </c>
      <c r="M22" s="45"/>
      <c r="O22" s="61">
        <f>SUM(O16:O21)</f>
        <v>0</v>
      </c>
    </row>
    <row r="23" spans="6:10" ht="12.75">
      <c r="F23" s="44"/>
      <c r="G23" s="45"/>
      <c r="H23" s="45"/>
      <c r="I23" s="45"/>
      <c r="J23" s="44"/>
    </row>
    <row r="24" spans="1:15" ht="13.5" thickBot="1">
      <c r="A24" s="40" t="s">
        <v>23</v>
      </c>
      <c r="E24" s="63">
        <f>+E12+E22</f>
        <v>321382.2899999999</v>
      </c>
      <c r="F24" s="44"/>
      <c r="G24" s="45"/>
      <c r="H24" s="45"/>
      <c r="I24" s="63">
        <f>+I12+I22</f>
        <v>297449.19</v>
      </c>
      <c r="J24" s="44"/>
      <c r="L24" s="64">
        <f>+L22</f>
        <v>0</v>
      </c>
      <c r="O24" s="64">
        <f>+O12+O22</f>
        <v>118525.27964380941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36" right="0.32" top="0.76" bottom="0.42" header="0.34" footer="0.2"/>
  <pageSetup fitToHeight="1" fitToWidth="1" horizontalDpi="600" verticalDpi="600" orientation="landscape" scale="94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40" customWidth="1"/>
    <col min="2" max="2" width="4.8515625" style="40" bestFit="1" customWidth="1"/>
    <col min="3" max="3" width="7.00390625" style="40" bestFit="1" customWidth="1"/>
    <col min="4" max="4" width="14.00390625" style="40" bestFit="1" customWidth="1"/>
    <col min="5" max="5" width="11.28125" style="40" bestFit="1" customWidth="1"/>
    <col min="6" max="6" width="0.85546875" style="40" customWidth="1"/>
    <col min="7" max="7" width="8.7109375" style="40" bestFit="1" customWidth="1"/>
    <col min="8" max="8" width="10.28125" style="40" bestFit="1" customWidth="1"/>
    <col min="9" max="9" width="11.28125" style="40" bestFit="1" customWidth="1"/>
    <col min="10" max="10" width="1.421875" style="40" customWidth="1"/>
    <col min="11" max="11" width="9.8515625" style="40" customWidth="1"/>
    <col min="12" max="12" width="9.140625" style="40" customWidth="1"/>
    <col min="13" max="13" width="10.421875" style="40" bestFit="1" customWidth="1"/>
    <col min="14" max="14" width="10.28125" style="43" bestFit="1" customWidth="1"/>
    <col min="15" max="15" width="10.28125" style="40" bestFit="1" customWidth="1"/>
    <col min="16" max="16384" width="9.140625" style="40" customWidth="1"/>
  </cols>
  <sheetData>
    <row r="1" spans="1:9" ht="12.75">
      <c r="A1" s="40" t="s">
        <v>19</v>
      </c>
      <c r="E1" s="40" t="s">
        <v>31</v>
      </c>
      <c r="G1" s="69">
        <v>38047</v>
      </c>
      <c r="H1" s="43"/>
      <c r="I1" s="43"/>
    </row>
    <row r="2" spans="1:13" ht="12.75">
      <c r="A2" s="40" t="s">
        <v>14</v>
      </c>
      <c r="E2" s="42"/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49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49" t="s">
        <v>29</v>
      </c>
      <c r="M5" s="49" t="s">
        <v>37</v>
      </c>
      <c r="N5" s="50" t="s">
        <v>33</v>
      </c>
      <c r="O5" s="51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1">
        <v>12534543</v>
      </c>
      <c r="E6" s="67">
        <v>152921.81</v>
      </c>
      <c r="F6" s="53"/>
      <c r="G6" s="54">
        <v>13.25</v>
      </c>
      <c r="H6" s="70">
        <f aca="true" t="shared" si="0" ref="H6:H11">I6/G6</f>
        <v>13169.405283018868</v>
      </c>
      <c r="I6" s="43">
        <v>174494.62</v>
      </c>
      <c r="J6" s="53"/>
      <c r="K6" s="55">
        <v>0.0023</v>
      </c>
      <c r="L6" s="43">
        <v>2.54</v>
      </c>
      <c r="M6" s="43">
        <f aca="true" t="shared" si="1" ref="M6:M11">+D6*K6</f>
        <v>28829.4489</v>
      </c>
      <c r="N6" s="43">
        <f aca="true" t="shared" si="2" ref="N6:N11">+H6*L6</f>
        <v>33450.28941886793</v>
      </c>
      <c r="O6" s="43">
        <f aca="true" t="shared" si="3" ref="O6:O11">SUM(M6:N6)</f>
        <v>62279.73831886792</v>
      </c>
    </row>
    <row r="7" spans="1:15" ht="12.75">
      <c r="A7" s="40" t="s">
        <v>5</v>
      </c>
      <c r="B7" s="40" t="s">
        <v>3</v>
      </c>
      <c r="C7" s="52">
        <v>0.0091</v>
      </c>
      <c r="D7" s="41">
        <f>3062406</f>
        <v>3062406</v>
      </c>
      <c r="E7" s="68">
        <f>27868.18</f>
        <v>27868.18</v>
      </c>
      <c r="F7" s="58"/>
      <c r="G7" s="59">
        <v>32.21</v>
      </c>
      <c r="H7" s="70">
        <f t="shared" si="0"/>
        <v>1013.010866190624</v>
      </c>
      <c r="I7" s="43">
        <v>32629.08</v>
      </c>
      <c r="J7" s="58"/>
      <c r="K7" s="55">
        <v>0.0017</v>
      </c>
      <c r="L7" s="43">
        <v>6.6</v>
      </c>
      <c r="M7" s="43">
        <f t="shared" si="1"/>
        <v>5206.0902</v>
      </c>
      <c r="N7" s="43">
        <f t="shared" si="2"/>
        <v>6685.871716858118</v>
      </c>
      <c r="O7" s="43">
        <f t="shared" si="3"/>
        <v>11891.961916858118</v>
      </c>
    </row>
    <row r="8" spans="1:15" ht="12.75">
      <c r="A8" s="40" t="s">
        <v>6</v>
      </c>
      <c r="B8" s="40" t="s">
        <v>9</v>
      </c>
      <c r="C8" s="52">
        <v>1.6919</v>
      </c>
      <c r="D8" s="41">
        <f>13497.65+31176.1+1749.649</f>
        <v>46423.399</v>
      </c>
      <c r="E8" s="67">
        <f>22836.66+52746.84+2960.22</f>
        <v>78543.72</v>
      </c>
      <c r="F8" s="53"/>
      <c r="G8" s="54">
        <v>204.28</v>
      </c>
      <c r="H8" s="70">
        <f t="shared" si="0"/>
        <v>176.5948208341492</v>
      </c>
      <c r="I8" s="43">
        <v>36074.79</v>
      </c>
      <c r="J8" s="53"/>
      <c r="K8" s="55">
        <v>0.3166</v>
      </c>
      <c r="L8" s="43">
        <v>41.86</v>
      </c>
      <c r="M8" s="43">
        <f t="shared" si="1"/>
        <v>14697.648123399998</v>
      </c>
      <c r="N8" s="43">
        <f t="shared" si="2"/>
        <v>7392.259200117485</v>
      </c>
      <c r="O8" s="43">
        <f t="shared" si="3"/>
        <v>22089.907323517484</v>
      </c>
    </row>
    <row r="9" spans="1:15" ht="12.75">
      <c r="A9" s="40" t="s">
        <v>7</v>
      </c>
      <c r="B9" s="40" t="s">
        <v>9</v>
      </c>
      <c r="C9" s="52">
        <v>5.2694</v>
      </c>
      <c r="D9" s="41">
        <v>17.482</v>
      </c>
      <c r="E9" s="68">
        <v>92.13</v>
      </c>
      <c r="F9" s="58"/>
      <c r="G9" s="59">
        <v>2.96</v>
      </c>
      <c r="H9" s="70">
        <f t="shared" si="0"/>
        <v>42.62162162162162</v>
      </c>
      <c r="I9" s="43">
        <v>126.16</v>
      </c>
      <c r="J9" s="58"/>
      <c r="K9" s="55">
        <v>0.7792</v>
      </c>
      <c r="L9" s="43">
        <v>0.72</v>
      </c>
      <c r="M9" s="43">
        <f t="shared" si="1"/>
        <v>13.6219744</v>
      </c>
      <c r="N9" s="43">
        <f t="shared" si="2"/>
        <v>30.687567567567566</v>
      </c>
      <c r="O9" s="43">
        <f t="shared" si="3"/>
        <v>44.30954196756757</v>
      </c>
    </row>
    <row r="10" spans="1:15" ht="12.75">
      <c r="A10" s="40" t="s">
        <v>8</v>
      </c>
      <c r="B10" s="40" t="s">
        <v>9</v>
      </c>
      <c r="C10" s="52">
        <v>3.5359</v>
      </c>
      <c r="D10" s="41">
        <v>522.77</v>
      </c>
      <c r="E10" s="68">
        <v>1848.46</v>
      </c>
      <c r="F10" s="58"/>
      <c r="G10" s="59">
        <v>0.59</v>
      </c>
      <c r="H10" s="70">
        <f t="shared" si="0"/>
        <v>3667.322033898305</v>
      </c>
      <c r="I10" s="43">
        <v>2163.72</v>
      </c>
      <c r="J10" s="58"/>
      <c r="K10" s="55">
        <v>0.6629</v>
      </c>
      <c r="L10" s="43">
        <v>0.11</v>
      </c>
      <c r="M10" s="43">
        <f t="shared" si="1"/>
        <v>346.544233</v>
      </c>
      <c r="N10" s="43">
        <f t="shared" si="2"/>
        <v>403.40542372881356</v>
      </c>
      <c r="O10" s="43">
        <f t="shared" si="3"/>
        <v>749.9496567288136</v>
      </c>
    </row>
    <row r="11" spans="1:15" ht="12.75">
      <c r="A11" s="40" t="s">
        <v>10</v>
      </c>
      <c r="B11" s="40" t="s">
        <v>3</v>
      </c>
      <c r="C11" s="52">
        <v>0.0091</v>
      </c>
      <c r="D11" s="41">
        <v>151095</v>
      </c>
      <c r="E11" s="67">
        <v>1375.07</v>
      </c>
      <c r="F11" s="53"/>
      <c r="G11" s="54">
        <f>+G7</f>
        <v>32.21</v>
      </c>
      <c r="H11" s="70">
        <f t="shared" si="0"/>
        <v>152</v>
      </c>
      <c r="I11" s="43">
        <v>4895.92</v>
      </c>
      <c r="J11" s="53"/>
      <c r="K11" s="60">
        <f>+K7</f>
        <v>0.0017</v>
      </c>
      <c r="L11" s="43">
        <f>+L7</f>
        <v>6.6</v>
      </c>
      <c r="M11" s="43">
        <f t="shared" si="1"/>
        <v>256.8615</v>
      </c>
      <c r="N11" s="43">
        <f t="shared" si="2"/>
        <v>1003.1999999999999</v>
      </c>
      <c r="O11" s="43">
        <f t="shared" si="3"/>
        <v>1260.0614999999998</v>
      </c>
    </row>
    <row r="12" spans="1:15" ht="12.75">
      <c r="A12" s="40" t="s">
        <v>17</v>
      </c>
      <c r="E12" s="61">
        <f>SUM(E6:E11)</f>
        <v>262649.37</v>
      </c>
      <c r="F12" s="44"/>
      <c r="G12" s="45"/>
      <c r="H12" s="45"/>
      <c r="I12" s="61">
        <f>SUM(I6:I11)</f>
        <v>250384.29000000004</v>
      </c>
      <c r="J12" s="44"/>
      <c r="M12" s="61">
        <f>SUM(M6:M11)</f>
        <v>49350.2149308</v>
      </c>
      <c r="N12" s="61">
        <f>SUM(N6:N11)</f>
        <v>48965.713327139914</v>
      </c>
      <c r="O12" s="61">
        <f>SUM(O6:O11)</f>
        <v>98315.9282579399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49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49" t="s">
        <v>13</v>
      </c>
      <c r="M15" s="44"/>
      <c r="N15" s="50" t="s">
        <v>16</v>
      </c>
      <c r="O15" s="49" t="s">
        <v>13</v>
      </c>
    </row>
    <row r="16" spans="1:15" ht="12.75">
      <c r="A16" s="40" t="s">
        <v>2</v>
      </c>
      <c r="B16" s="40" t="s">
        <v>3</v>
      </c>
      <c r="C16" s="40">
        <v>0.0125</v>
      </c>
      <c r="F16" s="44"/>
      <c r="G16" s="54">
        <v>13.25</v>
      </c>
      <c r="H16" s="54">
        <f aca="true" t="shared" si="4" ref="H16:H21">I16/G16</f>
        <v>0</v>
      </c>
      <c r="I16" s="43"/>
      <c r="J16" s="44"/>
      <c r="K16" s="40">
        <v>0.001521</v>
      </c>
      <c r="L16" s="43">
        <f aca="true" t="shared" si="5" ref="L16:L21">+$D16*K16</f>
        <v>0</v>
      </c>
      <c r="M16" s="44"/>
      <c r="N16" s="43">
        <v>0.003957</v>
      </c>
      <c r="O16" s="43">
        <f aca="true" t="shared" si="6" ref="O16:O21">+$D16*N16</f>
        <v>0</v>
      </c>
    </row>
    <row r="17" spans="1:15" ht="12.75">
      <c r="A17" s="40" t="s">
        <v>5</v>
      </c>
      <c r="B17" s="40" t="s">
        <v>3</v>
      </c>
      <c r="C17" s="40">
        <v>0.0095</v>
      </c>
      <c r="F17" s="44"/>
      <c r="G17" s="59">
        <v>32.21</v>
      </c>
      <c r="H17" s="54">
        <f t="shared" si="4"/>
        <v>0</v>
      </c>
      <c r="I17" s="43"/>
      <c r="J17" s="44"/>
      <c r="K17" s="40">
        <v>0.001521</v>
      </c>
      <c r="L17" s="43">
        <f t="shared" si="5"/>
        <v>0</v>
      </c>
      <c r="M17" s="44"/>
      <c r="N17" s="43">
        <v>0.003281</v>
      </c>
      <c r="O17" s="43">
        <f t="shared" si="6"/>
        <v>0</v>
      </c>
    </row>
    <row r="18" spans="1:15" ht="12.75">
      <c r="A18" s="40" t="s">
        <v>6</v>
      </c>
      <c r="B18" s="40" t="s">
        <v>9</v>
      </c>
      <c r="C18" s="40">
        <v>2.2816</v>
      </c>
      <c r="F18" s="44"/>
      <c r="G18" s="54">
        <v>204.28</v>
      </c>
      <c r="H18" s="54">
        <f t="shared" si="4"/>
        <v>0</v>
      </c>
      <c r="I18" s="43"/>
      <c r="J18" s="44"/>
      <c r="K18" s="40">
        <v>0.703918</v>
      </c>
      <c r="L18" s="43">
        <f t="shared" si="5"/>
        <v>0</v>
      </c>
      <c r="M18" s="44"/>
      <c r="N18" s="43">
        <v>0.403767</v>
      </c>
      <c r="O18" s="43">
        <f t="shared" si="6"/>
        <v>0</v>
      </c>
    </row>
    <row r="19" spans="1:15" ht="12.75">
      <c r="A19" s="40" t="s">
        <v>7</v>
      </c>
      <c r="B19" s="40" t="s">
        <v>9</v>
      </c>
      <c r="C19" s="40">
        <v>2.3323</v>
      </c>
      <c r="F19" s="44"/>
      <c r="G19" s="59">
        <v>2.96</v>
      </c>
      <c r="H19" s="54">
        <f t="shared" si="4"/>
        <v>0</v>
      </c>
      <c r="I19" s="43"/>
      <c r="J19" s="44"/>
      <c r="K19" s="40">
        <v>0.286512</v>
      </c>
      <c r="L19" s="43">
        <f t="shared" si="5"/>
        <v>0</v>
      </c>
      <c r="M19" s="44"/>
      <c r="N19" s="43">
        <v>1.864886</v>
      </c>
      <c r="O19" s="43">
        <f t="shared" si="6"/>
        <v>0</v>
      </c>
    </row>
    <row r="20" spans="1:15" ht="12.75">
      <c r="A20" s="40" t="s">
        <v>8</v>
      </c>
      <c r="B20" s="40" t="s">
        <v>9</v>
      </c>
      <c r="C20" s="40">
        <v>3.6587</v>
      </c>
      <c r="F20" s="44"/>
      <c r="G20" s="59">
        <v>0.59</v>
      </c>
      <c r="H20" s="54">
        <f t="shared" si="4"/>
        <v>0</v>
      </c>
      <c r="I20" s="43"/>
      <c r="J20" s="44"/>
      <c r="K20" s="40">
        <v>0.478809</v>
      </c>
      <c r="L20" s="43">
        <f t="shared" si="5"/>
        <v>0</v>
      </c>
      <c r="M20" s="44"/>
      <c r="N20" s="43">
        <v>1.188604</v>
      </c>
      <c r="O20" s="43">
        <f t="shared" si="6"/>
        <v>0</v>
      </c>
    </row>
    <row r="21" spans="1:15" ht="12.75">
      <c r="A21" s="40" t="s">
        <v>10</v>
      </c>
      <c r="B21" s="40" t="s">
        <v>3</v>
      </c>
      <c r="C21" s="40">
        <v>0.0095</v>
      </c>
      <c r="F21" s="44"/>
      <c r="G21" s="54">
        <f>+G17</f>
        <v>32.21</v>
      </c>
      <c r="H21" s="54">
        <f t="shared" si="4"/>
        <v>0</v>
      </c>
      <c r="I21" s="43"/>
      <c r="J21" s="44"/>
      <c r="K21" s="40">
        <v>0.001521</v>
      </c>
      <c r="L21" s="43">
        <f t="shared" si="5"/>
        <v>0</v>
      </c>
      <c r="M21" s="44"/>
      <c r="N21" s="43">
        <f>+N17</f>
        <v>0.003281</v>
      </c>
      <c r="O21" s="43">
        <f t="shared" si="6"/>
        <v>0</v>
      </c>
    </row>
    <row r="22" spans="1:15" ht="12.75">
      <c r="A22" s="40" t="s">
        <v>17</v>
      </c>
      <c r="E22" s="61">
        <f>SUM(E16:E21)</f>
        <v>0</v>
      </c>
      <c r="F22" s="44"/>
      <c r="G22" s="45"/>
      <c r="H22" s="45"/>
      <c r="I22" s="61">
        <f>SUM(I16:I21)</f>
        <v>0</v>
      </c>
      <c r="J22" s="44"/>
      <c r="L22" s="61">
        <f>SUM(L16:L21)</f>
        <v>0</v>
      </c>
      <c r="M22" s="45"/>
      <c r="O22" s="61">
        <f>SUM(O16:O21)</f>
        <v>0</v>
      </c>
    </row>
    <row r="23" spans="6:15" ht="12.75">
      <c r="F23" s="44"/>
      <c r="G23" s="45"/>
      <c r="H23" s="45"/>
      <c r="I23" s="45"/>
      <c r="J23" s="44"/>
      <c r="L23" s="43"/>
      <c r="O23" s="43"/>
    </row>
    <row r="24" spans="1:15" ht="13.5" thickBot="1">
      <c r="A24" s="40" t="s">
        <v>23</v>
      </c>
      <c r="E24" s="63">
        <f>+E12+E22</f>
        <v>262649.37</v>
      </c>
      <c r="F24" s="44"/>
      <c r="G24" s="45"/>
      <c r="H24" s="45"/>
      <c r="I24" s="63">
        <f>+I12+I22</f>
        <v>250384.29000000004</v>
      </c>
      <c r="J24" s="44"/>
      <c r="L24" s="64">
        <f>+L22</f>
        <v>0</v>
      </c>
      <c r="O24" s="64">
        <f>+O12+O22</f>
        <v>98315.9282579399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7" right="0.51" top="0.76" bottom="0.48" header="0.3" footer="0.2"/>
  <pageSetup fitToHeight="1" fitToWidth="1" horizontalDpi="600" verticalDpi="600" orientation="landscape" scale="97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1" width="17.28125" style="40" customWidth="1"/>
    <col min="2" max="2" width="4.8515625" style="40" bestFit="1" customWidth="1"/>
    <col min="3" max="3" width="7.00390625" style="40" bestFit="1" customWidth="1"/>
    <col min="4" max="4" width="12.8515625" style="40" bestFit="1" customWidth="1"/>
    <col min="5" max="5" width="11.28125" style="40" bestFit="1" customWidth="1"/>
    <col min="6" max="6" width="2.28125" style="40" customWidth="1"/>
    <col min="7" max="7" width="9.140625" style="40" customWidth="1"/>
    <col min="8" max="8" width="9.28125" style="40" bestFit="1" customWidth="1"/>
    <col min="9" max="9" width="11.28125" style="40" bestFit="1" customWidth="1"/>
    <col min="10" max="10" width="1.57421875" style="40" customWidth="1"/>
    <col min="11" max="11" width="9.140625" style="40" customWidth="1"/>
    <col min="12" max="12" width="11.140625" style="43" bestFit="1" customWidth="1"/>
    <col min="13" max="15" width="10.28125" style="40" bestFit="1" customWidth="1"/>
    <col min="16" max="16384" width="9.140625" style="40" customWidth="1"/>
  </cols>
  <sheetData>
    <row r="1" spans="1:9" ht="12.75">
      <c r="A1" s="46" t="s">
        <v>19</v>
      </c>
      <c r="E1" s="40" t="s">
        <v>31</v>
      </c>
      <c r="G1" s="69">
        <v>38078</v>
      </c>
      <c r="H1" s="43"/>
      <c r="I1" s="43"/>
    </row>
    <row r="2" spans="1:13" ht="12.75">
      <c r="A2" s="40" t="s">
        <v>14</v>
      </c>
      <c r="E2" s="42"/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49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50" t="s">
        <v>29</v>
      </c>
      <c r="M5" s="49" t="s">
        <v>37</v>
      </c>
      <c r="N5" s="49" t="s">
        <v>33</v>
      </c>
      <c r="O5" s="51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1">
        <v>10708092</v>
      </c>
      <c r="E6" s="67">
        <v>130639.32</v>
      </c>
      <c r="F6" s="53"/>
      <c r="G6" s="54">
        <v>13.25</v>
      </c>
      <c r="H6" s="70">
        <f aca="true" t="shared" si="0" ref="H6:H11">I6/G6</f>
        <v>12768.581886792452</v>
      </c>
      <c r="I6" s="43">
        <v>169183.71</v>
      </c>
      <c r="J6" s="53"/>
      <c r="K6" s="55">
        <v>0.0023</v>
      </c>
      <c r="L6" s="43">
        <v>2.54</v>
      </c>
      <c r="M6" s="43">
        <f aca="true" t="shared" si="1" ref="M6:M11">+D6*K6</f>
        <v>24628.6116</v>
      </c>
      <c r="N6" s="43">
        <f aca="true" t="shared" si="2" ref="N6:N11">+H6*L6</f>
        <v>32432.197992452828</v>
      </c>
      <c r="O6" s="43">
        <f aca="true" t="shared" si="3" ref="O6:O11">SUM(M6:N6)</f>
        <v>57060.80959245283</v>
      </c>
    </row>
    <row r="7" spans="1:15" ht="12.75">
      <c r="A7" s="40" t="s">
        <v>5</v>
      </c>
      <c r="B7" s="40" t="s">
        <v>3</v>
      </c>
      <c r="C7" s="52">
        <v>0.0091</v>
      </c>
      <c r="D7" s="41">
        <f>2509266</f>
        <v>2509266</v>
      </c>
      <c r="E7" s="68">
        <f>22834.44</f>
        <v>22834.44</v>
      </c>
      <c r="F7" s="58"/>
      <c r="G7" s="59">
        <v>32.21</v>
      </c>
      <c r="H7" s="70">
        <f t="shared" si="0"/>
        <v>856.8391803787644</v>
      </c>
      <c r="I7" s="43">
        <v>27598.79</v>
      </c>
      <c r="J7" s="58"/>
      <c r="K7" s="55">
        <v>0.0017</v>
      </c>
      <c r="L7" s="43">
        <v>6.6</v>
      </c>
      <c r="M7" s="43">
        <f t="shared" si="1"/>
        <v>4265.7522</v>
      </c>
      <c r="N7" s="43">
        <f t="shared" si="2"/>
        <v>5655.138590499844</v>
      </c>
      <c r="O7" s="43">
        <f t="shared" si="3"/>
        <v>9920.890790499845</v>
      </c>
    </row>
    <row r="8" spans="1:15" ht="12.75">
      <c r="A8" s="40" t="s">
        <v>6</v>
      </c>
      <c r="B8" s="40" t="s">
        <v>9</v>
      </c>
      <c r="C8" s="52">
        <v>1.6919</v>
      </c>
      <c r="D8" s="41">
        <f>8828.47+46.346+22084.85+1464.702</f>
        <v>32424.368</v>
      </c>
      <c r="E8" s="67">
        <f>14936.93+78.42+37365.37+2478.14</f>
        <v>54858.86</v>
      </c>
      <c r="F8" s="53"/>
      <c r="G8" s="54">
        <v>204.28</v>
      </c>
      <c r="H8" s="70">
        <f t="shared" si="0"/>
        <v>135.63256314861954</v>
      </c>
      <c r="I8" s="43">
        <v>27707.02</v>
      </c>
      <c r="J8" s="53"/>
      <c r="K8" s="55">
        <v>0.3166</v>
      </c>
      <c r="L8" s="43">
        <v>41.86</v>
      </c>
      <c r="M8" s="43">
        <f t="shared" si="1"/>
        <v>10265.554908799999</v>
      </c>
      <c r="N8" s="43">
        <f t="shared" si="2"/>
        <v>5677.579093401214</v>
      </c>
      <c r="O8" s="43">
        <f t="shared" si="3"/>
        <v>15943.134002201212</v>
      </c>
    </row>
    <row r="9" spans="1:15" ht="12.75">
      <c r="A9" s="40" t="s">
        <v>7</v>
      </c>
      <c r="B9" s="40" t="s">
        <v>9</v>
      </c>
      <c r="C9" s="52">
        <v>5.2694</v>
      </c>
      <c r="D9" s="41">
        <f>15.268</f>
        <v>15.268</v>
      </c>
      <c r="E9" s="68">
        <f>80.46</f>
        <v>80.46</v>
      </c>
      <c r="F9" s="58"/>
      <c r="G9" s="59">
        <v>2.96</v>
      </c>
      <c r="H9" s="70">
        <f t="shared" si="0"/>
        <v>38.60810810810811</v>
      </c>
      <c r="I9" s="43">
        <v>114.28</v>
      </c>
      <c r="J9" s="58"/>
      <c r="K9" s="55">
        <v>0.7792</v>
      </c>
      <c r="L9" s="43">
        <v>0.72</v>
      </c>
      <c r="M9" s="43">
        <f t="shared" si="1"/>
        <v>11.896825600000001</v>
      </c>
      <c r="N9" s="43">
        <f t="shared" si="2"/>
        <v>27.79783783783784</v>
      </c>
      <c r="O9" s="43">
        <f t="shared" si="3"/>
        <v>39.69466343783784</v>
      </c>
    </row>
    <row r="10" spans="1:15" ht="12.75">
      <c r="A10" s="40" t="s">
        <v>8</v>
      </c>
      <c r="B10" s="40" t="s">
        <v>9</v>
      </c>
      <c r="C10" s="52">
        <v>3.5359</v>
      </c>
      <c r="D10" s="41">
        <v>383.56</v>
      </c>
      <c r="E10" s="68">
        <v>1356.23</v>
      </c>
      <c r="F10" s="58"/>
      <c r="G10" s="59">
        <v>0.59</v>
      </c>
      <c r="H10" s="70">
        <f t="shared" si="0"/>
        <v>2654.576271186441</v>
      </c>
      <c r="I10" s="43">
        <v>1566.2</v>
      </c>
      <c r="J10" s="58"/>
      <c r="K10" s="55">
        <v>0.6629</v>
      </c>
      <c r="L10" s="43">
        <v>0.11</v>
      </c>
      <c r="M10" s="43">
        <f t="shared" si="1"/>
        <v>254.26192400000002</v>
      </c>
      <c r="N10" s="43">
        <f t="shared" si="2"/>
        <v>292.0033898305085</v>
      </c>
      <c r="O10" s="43">
        <f t="shared" si="3"/>
        <v>546.2653138305086</v>
      </c>
    </row>
    <row r="11" spans="1:15" ht="12.75">
      <c r="A11" s="40" t="s">
        <v>10</v>
      </c>
      <c r="B11" s="40" t="s">
        <v>3</v>
      </c>
      <c r="C11" s="52">
        <v>0.0091</v>
      </c>
      <c r="D11" s="41">
        <v>131646</v>
      </c>
      <c r="E11" s="67">
        <v>1198.03</v>
      </c>
      <c r="F11" s="53"/>
      <c r="G11" s="54">
        <f>+G7</f>
        <v>32.21</v>
      </c>
      <c r="H11" s="70">
        <f t="shared" si="0"/>
        <v>132.28841974542067</v>
      </c>
      <c r="I11" s="43">
        <v>4261.01</v>
      </c>
      <c r="J11" s="53"/>
      <c r="K11" s="60">
        <f>+K7</f>
        <v>0.0017</v>
      </c>
      <c r="L11" s="43">
        <f>+L7</f>
        <v>6.6</v>
      </c>
      <c r="M11" s="43">
        <f t="shared" si="1"/>
        <v>223.79819999999998</v>
      </c>
      <c r="N11" s="43">
        <f t="shared" si="2"/>
        <v>873.1035703197764</v>
      </c>
      <c r="O11" s="43">
        <f t="shared" si="3"/>
        <v>1096.9017703197765</v>
      </c>
    </row>
    <row r="12" spans="1:15" ht="12.75">
      <c r="A12" s="40" t="s">
        <v>17</v>
      </c>
      <c r="E12" s="61">
        <f>SUM(E6:E11)</f>
        <v>210967.34</v>
      </c>
      <c r="F12" s="44"/>
      <c r="G12" s="45"/>
      <c r="H12" s="45"/>
      <c r="I12" s="61">
        <f>SUM(I6:I11)</f>
        <v>230431.01</v>
      </c>
      <c r="J12" s="44"/>
      <c r="M12" s="61">
        <f>SUM(M6:M11)</f>
        <v>39649.87565839999</v>
      </c>
      <c r="N12" s="61">
        <f>SUM(N6:N11)</f>
        <v>44957.820474342014</v>
      </c>
      <c r="O12" s="61">
        <f>SUM(O6:O11)</f>
        <v>84607.69613274201</v>
      </c>
    </row>
    <row r="13" spans="5:15" ht="12.75">
      <c r="E13" s="43"/>
      <c r="F13" s="44"/>
      <c r="G13" s="45"/>
      <c r="H13" s="45"/>
      <c r="I13" s="45"/>
      <c r="J13" s="44"/>
      <c r="M13" s="43"/>
      <c r="N13" s="43"/>
      <c r="O13" s="43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49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50" t="s">
        <v>13</v>
      </c>
      <c r="M15" s="44"/>
      <c r="N15" s="49" t="s">
        <v>16</v>
      </c>
      <c r="O15" s="49" t="s">
        <v>13</v>
      </c>
    </row>
    <row r="16" spans="1:15" ht="12.75">
      <c r="A16" s="40" t="s">
        <v>2</v>
      </c>
      <c r="B16" s="40" t="s">
        <v>3</v>
      </c>
      <c r="C16" s="40">
        <v>0.0125</v>
      </c>
      <c r="D16" s="40">
        <v>1074669</v>
      </c>
      <c r="E16" s="71">
        <v>13439.17</v>
      </c>
      <c r="F16" s="44"/>
      <c r="G16" s="54">
        <v>13.25</v>
      </c>
      <c r="H16" s="54">
        <f aca="true" t="shared" si="4" ref="H16:H21">I16/G16</f>
        <v>0</v>
      </c>
      <c r="I16" s="43"/>
      <c r="J16" s="44"/>
      <c r="K16" s="40">
        <v>0.001521</v>
      </c>
      <c r="L16" s="43">
        <f aca="true" t="shared" si="5" ref="L16:L21">+$D16*K16</f>
        <v>1634.571549</v>
      </c>
      <c r="M16" s="44"/>
      <c r="N16" s="40">
        <v>0.003957</v>
      </c>
      <c r="O16" s="43">
        <f aca="true" t="shared" si="6" ref="O16:O21">+$D16*N16</f>
        <v>4252.465233</v>
      </c>
    </row>
    <row r="17" spans="1:15" ht="12.75">
      <c r="A17" s="40" t="s">
        <v>5</v>
      </c>
      <c r="B17" s="40" t="s">
        <v>3</v>
      </c>
      <c r="C17" s="40">
        <v>0.0095</v>
      </c>
      <c r="D17" s="40">
        <v>755872</v>
      </c>
      <c r="E17" s="71">
        <v>7181</v>
      </c>
      <c r="F17" s="44"/>
      <c r="G17" s="59">
        <v>32.21</v>
      </c>
      <c r="H17" s="54">
        <f t="shared" si="4"/>
        <v>0</v>
      </c>
      <c r="I17" s="43"/>
      <c r="J17" s="44"/>
      <c r="K17" s="40">
        <v>0.001521</v>
      </c>
      <c r="L17" s="43">
        <f t="shared" si="5"/>
        <v>1149.681312</v>
      </c>
      <c r="M17" s="44"/>
      <c r="N17" s="40">
        <v>0.003281</v>
      </c>
      <c r="O17" s="43">
        <f t="shared" si="6"/>
        <v>2480.016032</v>
      </c>
    </row>
    <row r="18" spans="1:15" ht="12.75">
      <c r="A18" s="40" t="s">
        <v>6</v>
      </c>
      <c r="B18" s="40" t="s">
        <v>9</v>
      </c>
      <c r="C18" s="40">
        <v>2.2816</v>
      </c>
      <c r="D18" s="40">
        <f>6658.69+6211.7</f>
        <v>12870.39</v>
      </c>
      <c r="E18" s="71">
        <f>15192.47+14172.61</f>
        <v>29365.08</v>
      </c>
      <c r="F18" s="44"/>
      <c r="G18" s="54">
        <v>204.28</v>
      </c>
      <c r="H18" s="54">
        <f t="shared" si="4"/>
        <v>0</v>
      </c>
      <c r="I18" s="43"/>
      <c r="J18" s="44"/>
      <c r="K18" s="40">
        <v>0.703918</v>
      </c>
      <c r="L18" s="43">
        <f t="shared" si="5"/>
        <v>9059.69918802</v>
      </c>
      <c r="M18" s="44"/>
      <c r="N18" s="40">
        <v>0.403767</v>
      </c>
      <c r="O18" s="43">
        <f t="shared" si="6"/>
        <v>5196.63875913</v>
      </c>
    </row>
    <row r="19" spans="1:15" ht="12.75">
      <c r="A19" s="40" t="s">
        <v>7</v>
      </c>
      <c r="B19" s="40" t="s">
        <v>9</v>
      </c>
      <c r="C19" s="40">
        <v>2.3323</v>
      </c>
      <c r="D19" s="40">
        <v>4.258</v>
      </c>
      <c r="E19" s="71">
        <v>19.5</v>
      </c>
      <c r="F19" s="44"/>
      <c r="G19" s="59">
        <v>2.96</v>
      </c>
      <c r="H19" s="54">
        <f t="shared" si="4"/>
        <v>0</v>
      </c>
      <c r="I19" s="43"/>
      <c r="J19" s="44"/>
      <c r="K19" s="40">
        <v>0.286512</v>
      </c>
      <c r="L19" s="43">
        <f t="shared" si="5"/>
        <v>1.219968096</v>
      </c>
      <c r="M19" s="44"/>
      <c r="N19" s="40">
        <v>1.864886</v>
      </c>
      <c r="O19" s="43">
        <f t="shared" si="6"/>
        <v>7.940684588</v>
      </c>
    </row>
    <row r="20" spans="1:15" ht="12.75">
      <c r="A20" s="40" t="s">
        <v>8</v>
      </c>
      <c r="B20" s="40" t="s">
        <v>9</v>
      </c>
      <c r="C20" s="40">
        <v>3.6587</v>
      </c>
      <c r="D20" s="40">
        <v>182.65</v>
      </c>
      <c r="E20" s="71">
        <v>668.26</v>
      </c>
      <c r="F20" s="44"/>
      <c r="G20" s="59">
        <v>0.59</v>
      </c>
      <c r="H20" s="54">
        <f t="shared" si="4"/>
        <v>0</v>
      </c>
      <c r="I20" s="43"/>
      <c r="J20" s="44"/>
      <c r="K20" s="40">
        <v>0.478809</v>
      </c>
      <c r="L20" s="43">
        <f t="shared" si="5"/>
        <v>87.45446385</v>
      </c>
      <c r="M20" s="44"/>
      <c r="N20" s="40">
        <v>1.188604</v>
      </c>
      <c r="O20" s="43">
        <f t="shared" si="6"/>
        <v>217.0985206</v>
      </c>
    </row>
    <row r="21" spans="1:15" ht="12.75">
      <c r="A21" s="40" t="s">
        <v>10</v>
      </c>
      <c r="B21" s="40" t="s">
        <v>3</v>
      </c>
      <c r="C21" s="40">
        <v>0.0095</v>
      </c>
      <c r="D21" s="40">
        <v>20717.01</v>
      </c>
      <c r="E21" s="71">
        <v>147.26</v>
      </c>
      <c r="F21" s="44"/>
      <c r="G21" s="54">
        <f>+G17</f>
        <v>32.21</v>
      </c>
      <c r="H21" s="54">
        <f t="shared" si="4"/>
        <v>0</v>
      </c>
      <c r="I21" s="43"/>
      <c r="J21" s="44"/>
      <c r="K21" s="40">
        <v>0.001521</v>
      </c>
      <c r="L21" s="43">
        <f t="shared" si="5"/>
        <v>31.510572209999996</v>
      </c>
      <c r="M21" s="44"/>
      <c r="N21" s="40">
        <f>+N17</f>
        <v>0.003281</v>
      </c>
      <c r="O21" s="43">
        <f t="shared" si="6"/>
        <v>67.97250980999999</v>
      </c>
    </row>
    <row r="22" spans="1:15" ht="12.75">
      <c r="A22" s="40" t="s">
        <v>17</v>
      </c>
      <c r="E22" s="61">
        <f>SUM(E16:E21)</f>
        <v>50820.270000000004</v>
      </c>
      <c r="F22" s="44"/>
      <c r="G22" s="45"/>
      <c r="H22" s="45"/>
      <c r="I22" s="61">
        <f>SUM(I16:I21)</f>
        <v>0</v>
      </c>
      <c r="J22" s="44"/>
      <c r="L22" s="61">
        <f>SUM(L16:L21)</f>
        <v>11964.137053176</v>
      </c>
      <c r="M22" s="45"/>
      <c r="O22" s="61">
        <f>SUM(O16:O21)</f>
        <v>12222.131739128</v>
      </c>
    </row>
    <row r="23" spans="6:15" ht="12.75">
      <c r="F23" s="44"/>
      <c r="G23" s="45"/>
      <c r="H23" s="45"/>
      <c r="I23" s="45"/>
      <c r="J23" s="44"/>
      <c r="O23" s="43"/>
    </row>
    <row r="24" spans="1:15" ht="13.5" thickBot="1">
      <c r="A24" s="40" t="s">
        <v>23</v>
      </c>
      <c r="E24" s="63">
        <f>+E12+E22</f>
        <v>261787.61</v>
      </c>
      <c r="F24" s="44"/>
      <c r="G24" s="45"/>
      <c r="H24" s="45"/>
      <c r="I24" s="63">
        <f>+I12+I22</f>
        <v>230431.01</v>
      </c>
      <c r="J24" s="44"/>
      <c r="L24" s="64">
        <f>+L22</f>
        <v>11964.137053176</v>
      </c>
      <c r="O24" s="64">
        <f>+O12+O22</f>
        <v>96829.82787187002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2" right="0.32" top="0.76" bottom="0.43" header="0.19" footer="0.2"/>
  <pageSetup fitToHeight="1" fitToWidth="1" horizontalDpi="600" verticalDpi="600" orientation="landscape" scale="96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3" width="9.140625" style="40" customWidth="1"/>
    <col min="4" max="4" width="10.7109375" style="40" bestFit="1" customWidth="1"/>
    <col min="5" max="5" width="11.28125" style="43" bestFit="1" customWidth="1"/>
    <col min="6" max="6" width="1.1484375" style="40" customWidth="1"/>
    <col min="7" max="8" width="9.140625" style="40" customWidth="1"/>
    <col min="9" max="9" width="10.28125" style="40" bestFit="1" customWidth="1"/>
    <col min="10" max="10" width="1.421875" style="40" customWidth="1"/>
    <col min="11" max="11" width="9.140625" style="40" customWidth="1"/>
    <col min="12" max="12" width="10.28125" style="43" bestFit="1" customWidth="1"/>
    <col min="13" max="14" width="9.140625" style="40" customWidth="1"/>
    <col min="15" max="15" width="10.28125" style="43" bestFit="1" customWidth="1"/>
    <col min="16" max="16384" width="9.140625" style="40" customWidth="1"/>
  </cols>
  <sheetData>
    <row r="1" spans="1:9" ht="12.75">
      <c r="A1" s="40" t="s">
        <v>19</v>
      </c>
      <c r="E1" s="43" t="s">
        <v>31</v>
      </c>
      <c r="G1" s="42">
        <v>38108</v>
      </c>
      <c r="H1" s="43"/>
      <c r="I1" s="43"/>
    </row>
    <row r="2" spans="1:13" ht="12.75">
      <c r="A2" s="40" t="s">
        <v>14</v>
      </c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50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50" t="s">
        <v>29</v>
      </c>
      <c r="M5" s="49" t="s">
        <v>37</v>
      </c>
      <c r="N5" s="49" t="s">
        <v>33</v>
      </c>
      <c r="O5" s="66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0">
        <v>2456691</v>
      </c>
      <c r="E6" s="67">
        <v>29972.38</v>
      </c>
      <c r="F6" s="53"/>
      <c r="G6" s="54">
        <v>13.25</v>
      </c>
      <c r="H6" s="54">
        <f aca="true" t="shared" si="0" ref="H6:H11">I6/G6</f>
        <v>3124.178113207547</v>
      </c>
      <c r="I6" s="43">
        <v>41395.36</v>
      </c>
      <c r="J6" s="53"/>
      <c r="K6" s="55">
        <v>0.0023</v>
      </c>
      <c r="L6" s="43">
        <v>2.54</v>
      </c>
      <c r="M6" s="43">
        <f aca="true" t="shared" si="1" ref="M6:M11">+D6*K6</f>
        <v>5650.3893</v>
      </c>
      <c r="N6" s="43">
        <f aca="true" t="shared" si="2" ref="N6:N11">+H6*L6</f>
        <v>7935.41240754717</v>
      </c>
      <c r="O6" s="43">
        <f aca="true" t="shared" si="3" ref="O6:O11">SUM(M6:N6)</f>
        <v>13585.801707547169</v>
      </c>
    </row>
    <row r="7" spans="1:15" ht="12.75">
      <c r="A7" s="40" t="s">
        <v>5</v>
      </c>
      <c r="B7" s="40" t="s">
        <v>3</v>
      </c>
      <c r="C7" s="52">
        <v>0.0091</v>
      </c>
      <c r="D7" s="40">
        <v>62001</v>
      </c>
      <c r="E7" s="68">
        <v>564.21</v>
      </c>
      <c r="F7" s="58"/>
      <c r="G7" s="59">
        <v>32.21</v>
      </c>
      <c r="H7" s="54">
        <f t="shared" si="0"/>
        <v>9.30021732381248</v>
      </c>
      <c r="I7" s="43">
        <v>299.56</v>
      </c>
      <c r="J7" s="58"/>
      <c r="K7" s="55">
        <v>0.0017</v>
      </c>
      <c r="L7" s="43">
        <v>6.6</v>
      </c>
      <c r="M7" s="43">
        <f t="shared" si="1"/>
        <v>105.40169999999999</v>
      </c>
      <c r="N7" s="43">
        <f t="shared" si="2"/>
        <v>61.38143433716237</v>
      </c>
      <c r="O7" s="43">
        <f t="shared" si="3"/>
        <v>166.78313433716235</v>
      </c>
    </row>
    <row r="8" spans="1:15" ht="12.75">
      <c r="A8" s="40" t="s">
        <v>6</v>
      </c>
      <c r="B8" s="40" t="s">
        <v>9</v>
      </c>
      <c r="C8" s="52">
        <v>1.6919</v>
      </c>
      <c r="D8" s="40">
        <v>397.571</v>
      </c>
      <c r="E8" s="67">
        <v>672.65</v>
      </c>
      <c r="F8" s="53"/>
      <c r="G8" s="54">
        <v>204.28</v>
      </c>
      <c r="H8" s="54">
        <f t="shared" si="0"/>
        <v>0.46671235559036617</v>
      </c>
      <c r="I8" s="43">
        <v>95.34</v>
      </c>
      <c r="J8" s="53"/>
      <c r="K8" s="55">
        <v>0.3166</v>
      </c>
      <c r="L8" s="43">
        <v>41.86</v>
      </c>
      <c r="M8" s="43">
        <f t="shared" si="1"/>
        <v>125.8709786</v>
      </c>
      <c r="N8" s="43">
        <f t="shared" si="2"/>
        <v>19.53657920501273</v>
      </c>
      <c r="O8" s="43">
        <f t="shared" si="3"/>
        <v>145.40755780501274</v>
      </c>
    </row>
    <row r="9" spans="1:15" ht="12.75">
      <c r="A9" s="40" t="s">
        <v>7</v>
      </c>
      <c r="B9" s="40" t="s">
        <v>9</v>
      </c>
      <c r="C9" s="52">
        <v>5.2694</v>
      </c>
      <c r="D9" s="40">
        <v>0</v>
      </c>
      <c r="E9" s="68"/>
      <c r="F9" s="58"/>
      <c r="G9" s="59">
        <v>2.96</v>
      </c>
      <c r="H9" s="54">
        <f t="shared" si="0"/>
        <v>0</v>
      </c>
      <c r="I9" s="43">
        <v>0</v>
      </c>
      <c r="J9" s="58"/>
      <c r="K9" s="55">
        <v>0.7792</v>
      </c>
      <c r="L9" s="43">
        <v>0.72</v>
      </c>
      <c r="M9" s="43">
        <f t="shared" si="1"/>
        <v>0</v>
      </c>
      <c r="N9" s="43">
        <f t="shared" si="2"/>
        <v>0</v>
      </c>
      <c r="O9" s="43">
        <f t="shared" si="3"/>
        <v>0</v>
      </c>
    </row>
    <row r="10" spans="1:15" ht="12.75">
      <c r="A10" s="40" t="s">
        <v>8</v>
      </c>
      <c r="B10" s="40" t="s">
        <v>9</v>
      </c>
      <c r="C10" s="52">
        <v>3.5359</v>
      </c>
      <c r="D10" s="40">
        <v>0</v>
      </c>
      <c r="E10" s="68"/>
      <c r="F10" s="58"/>
      <c r="G10" s="59">
        <v>0.59</v>
      </c>
      <c r="H10" s="54">
        <f t="shared" si="0"/>
        <v>0</v>
      </c>
      <c r="I10" s="43">
        <v>0</v>
      </c>
      <c r="J10" s="58"/>
      <c r="K10" s="55">
        <v>0.6629</v>
      </c>
      <c r="L10" s="43">
        <v>0.11</v>
      </c>
      <c r="M10" s="43">
        <f t="shared" si="1"/>
        <v>0</v>
      </c>
      <c r="N10" s="43">
        <f t="shared" si="2"/>
        <v>0</v>
      </c>
      <c r="O10" s="43">
        <f t="shared" si="3"/>
        <v>0</v>
      </c>
    </row>
    <row r="11" spans="1:15" ht="12.75">
      <c r="A11" s="40" t="s">
        <v>10</v>
      </c>
      <c r="B11" s="40" t="s">
        <v>3</v>
      </c>
      <c r="C11" s="52">
        <v>0.0091</v>
      </c>
      <c r="D11" s="40">
        <v>0</v>
      </c>
      <c r="E11" s="67"/>
      <c r="F11" s="53"/>
      <c r="G11" s="54">
        <f>+G7</f>
        <v>32.21</v>
      </c>
      <c r="H11" s="54">
        <f t="shared" si="0"/>
        <v>0</v>
      </c>
      <c r="I11" s="43">
        <v>0</v>
      </c>
      <c r="J11" s="53"/>
      <c r="K11" s="60">
        <f>+K7</f>
        <v>0.0017</v>
      </c>
      <c r="L11" s="43">
        <f>+L7</f>
        <v>6.6</v>
      </c>
      <c r="M11" s="43">
        <f t="shared" si="1"/>
        <v>0</v>
      </c>
      <c r="N11" s="43">
        <f t="shared" si="2"/>
        <v>0</v>
      </c>
      <c r="O11" s="43">
        <f t="shared" si="3"/>
        <v>0</v>
      </c>
    </row>
    <row r="12" spans="1:15" ht="12.75">
      <c r="A12" s="40" t="s">
        <v>17</v>
      </c>
      <c r="E12" s="61">
        <f>SUM(E6:E11)</f>
        <v>31209.24</v>
      </c>
      <c r="F12" s="44"/>
      <c r="G12" s="45"/>
      <c r="H12" s="45"/>
      <c r="I12" s="61">
        <f>SUM(I6:I11)</f>
        <v>41790.259999999995</v>
      </c>
      <c r="J12" s="44"/>
      <c r="M12" s="61">
        <f>SUM(M6:M11)</f>
        <v>5881.6619786</v>
      </c>
      <c r="N12" s="61">
        <f>SUM(N6:N11)</f>
        <v>8016.330421089345</v>
      </c>
      <c r="O12" s="61">
        <f>SUM(O6:O11)</f>
        <v>13897.992399689343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50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50" t="s">
        <v>13</v>
      </c>
      <c r="M15" s="44"/>
      <c r="N15" s="49" t="s">
        <v>16</v>
      </c>
      <c r="O15" s="50" t="s">
        <v>13</v>
      </c>
    </row>
    <row r="16" spans="1:15" ht="12.75">
      <c r="A16" s="40" t="s">
        <v>2</v>
      </c>
      <c r="B16" s="40" t="s">
        <v>3</v>
      </c>
      <c r="C16" s="40">
        <v>0.0125</v>
      </c>
      <c r="D16" s="72">
        <v>8817030</v>
      </c>
      <c r="E16" s="67">
        <v>110234.19</v>
      </c>
      <c r="F16" s="44"/>
      <c r="G16" s="54">
        <v>13.25</v>
      </c>
      <c r="H16" s="54">
        <f aca="true" t="shared" si="4" ref="H16:H21">I16/G16</f>
        <v>0</v>
      </c>
      <c r="I16" s="43"/>
      <c r="J16" s="44"/>
      <c r="K16" s="40">
        <v>0.001521</v>
      </c>
      <c r="L16" s="43">
        <f aca="true" t="shared" si="5" ref="L16:L21">+$D16*K16</f>
        <v>13410.70263</v>
      </c>
      <c r="M16" s="44"/>
      <c r="N16" s="40">
        <v>0.003957</v>
      </c>
      <c r="O16" s="43">
        <f aca="true" t="shared" si="6" ref="O16:O21">+$D16*N16</f>
        <v>34888.987709999994</v>
      </c>
    </row>
    <row r="17" spans="1:15" ht="12.75">
      <c r="A17" s="40" t="s">
        <v>5</v>
      </c>
      <c r="B17" s="40" t="s">
        <v>3</v>
      </c>
      <c r="C17" s="40">
        <v>0.0095</v>
      </c>
      <c r="D17" s="72">
        <v>2903880</v>
      </c>
      <c r="E17" s="67">
        <v>27588.31</v>
      </c>
      <c r="F17" s="44"/>
      <c r="G17" s="59">
        <v>32.21</v>
      </c>
      <c r="H17" s="54">
        <f t="shared" si="4"/>
        <v>0</v>
      </c>
      <c r="I17" s="43"/>
      <c r="J17" s="44"/>
      <c r="K17" s="40">
        <v>0.001521</v>
      </c>
      <c r="L17" s="43">
        <f t="shared" si="5"/>
        <v>4416.80148</v>
      </c>
      <c r="M17" s="44"/>
      <c r="N17" s="40">
        <v>0.003281</v>
      </c>
      <c r="O17" s="43">
        <f t="shared" si="6"/>
        <v>9527.63028</v>
      </c>
    </row>
    <row r="18" spans="1:15" ht="12.75">
      <c r="A18" s="40" t="s">
        <v>6</v>
      </c>
      <c r="B18" s="40" t="s">
        <v>9</v>
      </c>
      <c r="C18" s="40">
        <v>2.2816</v>
      </c>
      <c r="D18" s="72">
        <v>41591.29</v>
      </c>
      <c r="E18" s="67">
        <v>94894.7</v>
      </c>
      <c r="F18" s="44"/>
      <c r="G18" s="54">
        <v>204.28</v>
      </c>
      <c r="H18" s="54">
        <f t="shared" si="4"/>
        <v>0</v>
      </c>
      <c r="I18" s="43"/>
      <c r="J18" s="44"/>
      <c r="K18" s="40">
        <v>0.703918</v>
      </c>
      <c r="L18" s="43">
        <f t="shared" si="5"/>
        <v>29276.857674220002</v>
      </c>
      <c r="M18" s="44"/>
      <c r="N18" s="40">
        <v>0.403767</v>
      </c>
      <c r="O18" s="43">
        <f t="shared" si="6"/>
        <v>16793.19038943</v>
      </c>
    </row>
    <row r="19" spans="1:15" ht="12.75">
      <c r="A19" s="40" t="s">
        <v>7</v>
      </c>
      <c r="B19" s="40" t="s">
        <v>9</v>
      </c>
      <c r="C19" s="40">
        <v>2.3323</v>
      </c>
      <c r="D19" s="72">
        <v>15.283</v>
      </c>
      <c r="E19" s="67">
        <v>70.02</v>
      </c>
      <c r="F19" s="44"/>
      <c r="G19" s="59">
        <v>2.96</v>
      </c>
      <c r="H19" s="54">
        <f t="shared" si="4"/>
        <v>0</v>
      </c>
      <c r="I19" s="43"/>
      <c r="J19" s="44"/>
      <c r="K19" s="40">
        <v>0.286512</v>
      </c>
      <c r="L19" s="43">
        <f t="shared" si="5"/>
        <v>4.378762896</v>
      </c>
      <c r="M19" s="44"/>
      <c r="N19" s="40">
        <v>1.864886</v>
      </c>
      <c r="O19" s="43">
        <f t="shared" si="6"/>
        <v>28.501052738</v>
      </c>
    </row>
    <row r="20" spans="1:15" ht="12.75">
      <c r="A20" s="40" t="s">
        <v>8</v>
      </c>
      <c r="B20" s="40" t="s">
        <v>9</v>
      </c>
      <c r="C20" s="40">
        <v>3.6587</v>
      </c>
      <c r="D20" s="72">
        <v>547.9</v>
      </c>
      <c r="E20" s="67">
        <v>2004.6</v>
      </c>
      <c r="F20" s="44"/>
      <c r="G20" s="59">
        <v>0.59</v>
      </c>
      <c r="H20" s="54">
        <f t="shared" si="4"/>
        <v>0</v>
      </c>
      <c r="I20" s="43"/>
      <c r="J20" s="44"/>
      <c r="K20" s="40">
        <v>0.478809</v>
      </c>
      <c r="L20" s="43">
        <f t="shared" si="5"/>
        <v>262.33945109999996</v>
      </c>
      <c r="M20" s="44"/>
      <c r="N20" s="40">
        <v>1.188604</v>
      </c>
      <c r="O20" s="43">
        <f t="shared" si="6"/>
        <v>651.2361316</v>
      </c>
    </row>
    <row r="21" spans="1:15" ht="12.75">
      <c r="A21" s="40" t="s">
        <v>10</v>
      </c>
      <c r="B21" s="40" t="s">
        <v>3</v>
      </c>
      <c r="C21" s="40">
        <v>0.0095</v>
      </c>
      <c r="D21" s="72">
        <v>1334</v>
      </c>
      <c r="E21" s="67">
        <v>9.47</v>
      </c>
      <c r="F21" s="44"/>
      <c r="G21" s="54">
        <f>+G17</f>
        <v>32.21</v>
      </c>
      <c r="H21" s="54">
        <f t="shared" si="4"/>
        <v>0</v>
      </c>
      <c r="I21" s="43"/>
      <c r="J21" s="44"/>
      <c r="K21" s="40">
        <v>0.001521</v>
      </c>
      <c r="L21" s="43">
        <f t="shared" si="5"/>
        <v>2.029014</v>
      </c>
      <c r="M21" s="44"/>
      <c r="N21" s="40">
        <f>+N17</f>
        <v>0.003281</v>
      </c>
      <c r="O21" s="43">
        <f t="shared" si="6"/>
        <v>4.376854</v>
      </c>
    </row>
    <row r="22" spans="1:15" ht="12.75">
      <c r="A22" s="40" t="s">
        <v>17</v>
      </c>
      <c r="E22" s="61">
        <f>SUM(E16:E21)</f>
        <v>234801.29</v>
      </c>
      <c r="F22" s="44"/>
      <c r="G22" s="45"/>
      <c r="H22" s="45"/>
      <c r="I22" s="61">
        <f>SUM(I16:I21)</f>
        <v>0</v>
      </c>
      <c r="J22" s="44"/>
      <c r="L22" s="61">
        <f>SUM(L16:L21)</f>
        <v>47373.109012216</v>
      </c>
      <c r="M22" s="45"/>
      <c r="O22" s="61">
        <f>SUM(O16:O21)</f>
        <v>61893.92241776799</v>
      </c>
    </row>
    <row r="23" spans="6:10" ht="12.75">
      <c r="F23" s="44"/>
      <c r="G23" s="45"/>
      <c r="H23" s="45"/>
      <c r="I23" s="45"/>
      <c r="J23" s="44"/>
    </row>
    <row r="24" spans="1:15" ht="13.5" thickBot="1">
      <c r="A24" s="40" t="s">
        <v>23</v>
      </c>
      <c r="E24" s="64">
        <f>+E12+E22</f>
        <v>266010.53</v>
      </c>
      <c r="F24" s="44"/>
      <c r="G24" s="45"/>
      <c r="H24" s="45"/>
      <c r="I24" s="64">
        <f>+I12+I22</f>
        <v>41790.259999999995</v>
      </c>
      <c r="J24" s="44"/>
      <c r="L24" s="64">
        <f>+L22</f>
        <v>47373.109012216</v>
      </c>
      <c r="O24" s="64">
        <f>+O12+O22</f>
        <v>75791.91481745733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5" right="0.2" top="0.8" bottom="0.45" header="0.24" footer="0.2"/>
  <pageSetup fitToHeight="1" fitToWidth="1" horizontalDpi="600" verticalDpi="600" orientation="landscape" r:id="rId3"/>
  <headerFooter alignWithMargins="0">
    <oddFooter>&amp;L&amp;F&amp;R&amp;A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1" width="17.57421875" style="40" customWidth="1"/>
    <col min="2" max="3" width="9.140625" style="40" customWidth="1"/>
    <col min="4" max="4" width="11.7109375" style="40" bestFit="1" customWidth="1"/>
    <col min="5" max="5" width="11.28125" style="43" bestFit="1" customWidth="1"/>
    <col min="6" max="6" width="0.71875" style="40" customWidth="1"/>
    <col min="7" max="8" width="9.140625" style="40" customWidth="1"/>
    <col min="9" max="9" width="9.140625" style="43" customWidth="1"/>
    <col min="10" max="10" width="1.7109375" style="40" customWidth="1"/>
    <col min="11" max="11" width="9.140625" style="40" customWidth="1"/>
    <col min="12" max="12" width="10.28125" style="40" bestFit="1" customWidth="1"/>
    <col min="13" max="14" width="9.140625" style="40" customWidth="1"/>
    <col min="15" max="15" width="10.28125" style="43" bestFit="1" customWidth="1"/>
    <col min="16" max="16384" width="9.140625" style="40" customWidth="1"/>
  </cols>
  <sheetData>
    <row r="1" spans="1:8" ht="12.75">
      <c r="A1" s="40" t="s">
        <v>19</v>
      </c>
      <c r="E1" s="43" t="s">
        <v>31</v>
      </c>
      <c r="G1" s="42">
        <v>38139</v>
      </c>
      <c r="H1" s="43"/>
    </row>
    <row r="2" spans="1:13" ht="12.75">
      <c r="A2" s="40" t="s">
        <v>14</v>
      </c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50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49" t="s">
        <v>29</v>
      </c>
      <c r="M5" s="49" t="s">
        <v>37</v>
      </c>
      <c r="N5" s="49" t="s">
        <v>33</v>
      </c>
      <c r="O5" s="66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0">
        <v>3405</v>
      </c>
      <c r="E6" s="67">
        <v>41.56</v>
      </c>
      <c r="F6" s="53"/>
      <c r="G6" s="54">
        <v>13.25</v>
      </c>
      <c r="H6" s="54">
        <f aca="true" t="shared" si="0" ref="H6:H11">I6/G6</f>
        <v>13.02943396226415</v>
      </c>
      <c r="I6" s="43">
        <v>172.64</v>
      </c>
      <c r="J6" s="53"/>
      <c r="K6" s="55">
        <v>0.0023</v>
      </c>
      <c r="L6" s="43">
        <v>2.54</v>
      </c>
      <c r="M6" s="43">
        <f aca="true" t="shared" si="1" ref="M6:M11">+D6*K6</f>
        <v>7.8315</v>
      </c>
      <c r="N6" s="43">
        <f aca="true" t="shared" si="2" ref="N6:N11">+H6*L6</f>
        <v>33.094762264150944</v>
      </c>
      <c r="O6" s="43">
        <f aca="true" t="shared" si="3" ref="O6:O11">SUM(M6:N6)</f>
        <v>40.92626226415094</v>
      </c>
    </row>
    <row r="7" spans="1:15" ht="12.75">
      <c r="A7" s="40" t="s">
        <v>5</v>
      </c>
      <c r="B7" s="40" t="s">
        <v>3</v>
      </c>
      <c r="C7" s="52">
        <v>0.0091</v>
      </c>
      <c r="D7" s="40">
        <v>1276</v>
      </c>
      <c r="E7" s="68">
        <v>11.61</v>
      </c>
      <c r="F7" s="58"/>
      <c r="G7" s="59">
        <v>32.21</v>
      </c>
      <c r="H7" s="54">
        <f t="shared" si="0"/>
        <v>0.333436820863086</v>
      </c>
      <c r="I7" s="43">
        <v>10.74</v>
      </c>
      <c r="J7" s="58"/>
      <c r="K7" s="55">
        <v>0.0017</v>
      </c>
      <c r="L7" s="43">
        <v>6.6</v>
      </c>
      <c r="M7" s="43">
        <f t="shared" si="1"/>
        <v>2.1692</v>
      </c>
      <c r="N7" s="43">
        <f t="shared" si="2"/>
        <v>2.2006830176963676</v>
      </c>
      <c r="O7" s="43">
        <f t="shared" si="3"/>
        <v>4.369883017696368</v>
      </c>
    </row>
    <row r="8" spans="1:15" ht="12.75">
      <c r="A8" s="40" t="s">
        <v>6</v>
      </c>
      <c r="B8" s="40" t="s">
        <v>9</v>
      </c>
      <c r="C8" s="52">
        <v>1.6919</v>
      </c>
      <c r="D8" s="40">
        <v>150.449</v>
      </c>
      <c r="E8" s="67">
        <v>254.54</v>
      </c>
      <c r="F8" s="53"/>
      <c r="G8" s="54">
        <v>204.28</v>
      </c>
      <c r="H8" s="54">
        <f t="shared" si="0"/>
        <v>0.9667123555903661</v>
      </c>
      <c r="I8" s="43">
        <v>197.48</v>
      </c>
      <c r="J8" s="53"/>
      <c r="K8" s="55">
        <v>0.3166</v>
      </c>
      <c r="L8" s="43">
        <v>41.86</v>
      </c>
      <c r="M8" s="43">
        <f t="shared" si="1"/>
        <v>47.6321534</v>
      </c>
      <c r="N8" s="43">
        <f t="shared" si="2"/>
        <v>40.46657920501272</v>
      </c>
      <c r="O8" s="43">
        <f t="shared" si="3"/>
        <v>88.09873260501271</v>
      </c>
    </row>
    <row r="9" spans="1:15" ht="12.75">
      <c r="A9" s="40" t="s">
        <v>7</v>
      </c>
      <c r="B9" s="40" t="s">
        <v>9</v>
      </c>
      <c r="C9" s="52">
        <v>5.2694</v>
      </c>
      <c r="D9" s="40">
        <v>0</v>
      </c>
      <c r="E9" s="68"/>
      <c r="F9" s="58"/>
      <c r="G9" s="59">
        <v>2.96</v>
      </c>
      <c r="H9" s="54">
        <f t="shared" si="0"/>
        <v>0</v>
      </c>
      <c r="I9" s="43">
        <v>0</v>
      </c>
      <c r="J9" s="58"/>
      <c r="K9" s="55">
        <v>0.7792</v>
      </c>
      <c r="L9" s="43">
        <v>0.72</v>
      </c>
      <c r="M9" s="43">
        <f t="shared" si="1"/>
        <v>0</v>
      </c>
      <c r="N9" s="43">
        <f t="shared" si="2"/>
        <v>0</v>
      </c>
      <c r="O9" s="43">
        <f t="shared" si="3"/>
        <v>0</v>
      </c>
    </row>
    <row r="10" spans="1:15" ht="12.75">
      <c r="A10" s="40" t="s">
        <v>8</v>
      </c>
      <c r="B10" s="40" t="s">
        <v>9</v>
      </c>
      <c r="C10" s="52">
        <v>3.5359</v>
      </c>
      <c r="D10" s="40">
        <v>0</v>
      </c>
      <c r="E10" s="68"/>
      <c r="F10" s="58"/>
      <c r="G10" s="59">
        <v>0.59</v>
      </c>
      <c r="H10" s="54">
        <f t="shared" si="0"/>
        <v>0</v>
      </c>
      <c r="I10" s="43">
        <v>0</v>
      </c>
      <c r="J10" s="58"/>
      <c r="K10" s="55">
        <v>0.6629</v>
      </c>
      <c r="L10" s="43">
        <v>0.11</v>
      </c>
      <c r="M10" s="43">
        <f t="shared" si="1"/>
        <v>0</v>
      </c>
      <c r="N10" s="43">
        <f t="shared" si="2"/>
        <v>0</v>
      </c>
      <c r="O10" s="43">
        <f t="shared" si="3"/>
        <v>0</v>
      </c>
    </row>
    <row r="11" spans="1:15" ht="12.75">
      <c r="A11" s="40" t="s">
        <v>10</v>
      </c>
      <c r="B11" s="40" t="s">
        <v>3</v>
      </c>
      <c r="C11" s="52">
        <v>0.0091</v>
      </c>
      <c r="D11" s="40">
        <v>0</v>
      </c>
      <c r="E11" s="67"/>
      <c r="F11" s="53"/>
      <c r="G11" s="54">
        <f>+G7</f>
        <v>32.21</v>
      </c>
      <c r="H11" s="54">
        <f t="shared" si="0"/>
        <v>0</v>
      </c>
      <c r="I11" s="43">
        <v>0</v>
      </c>
      <c r="J11" s="53"/>
      <c r="K11" s="60">
        <f>+K7</f>
        <v>0.0017</v>
      </c>
      <c r="L11" s="43">
        <f>+L7</f>
        <v>6.6</v>
      </c>
      <c r="M11" s="43">
        <f t="shared" si="1"/>
        <v>0</v>
      </c>
      <c r="N11" s="43">
        <f t="shared" si="2"/>
        <v>0</v>
      </c>
      <c r="O11" s="43">
        <f t="shared" si="3"/>
        <v>0</v>
      </c>
    </row>
    <row r="12" spans="1:15" ht="12.75">
      <c r="A12" s="40" t="s">
        <v>17</v>
      </c>
      <c r="E12" s="61">
        <f>SUM(E6:E11)</f>
        <v>307.71</v>
      </c>
      <c r="F12" s="44"/>
      <c r="G12" s="45"/>
      <c r="H12" s="45"/>
      <c r="I12" s="61">
        <f>SUM(I6:I11)</f>
        <v>380.86</v>
      </c>
      <c r="J12" s="44"/>
      <c r="M12" s="61">
        <f>SUM(M6:M11)</f>
        <v>57.6328534</v>
      </c>
      <c r="N12" s="61">
        <f>SUM(N6:N11)</f>
        <v>75.76202448686004</v>
      </c>
      <c r="O12" s="61">
        <f>SUM(O6:O11)</f>
        <v>133.39487788686003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50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49" t="s">
        <v>13</v>
      </c>
      <c r="M15" s="44"/>
      <c r="N15" s="49" t="s">
        <v>16</v>
      </c>
      <c r="O15" s="50" t="s">
        <v>13</v>
      </c>
    </row>
    <row r="16" spans="1:15" ht="12.75">
      <c r="A16" s="40" t="s">
        <v>2</v>
      </c>
      <c r="B16" s="40" t="s">
        <v>3</v>
      </c>
      <c r="C16" s="40">
        <v>0.0125</v>
      </c>
      <c r="D16" s="72">
        <v>10232899</v>
      </c>
      <c r="E16" s="67">
        <v>127939.6</v>
      </c>
      <c r="F16" s="44"/>
      <c r="G16" s="54">
        <v>13.25</v>
      </c>
      <c r="H16" s="54">
        <f aca="true" t="shared" si="4" ref="H16:H21">I16/G16</f>
        <v>0</v>
      </c>
      <c r="J16" s="44"/>
      <c r="K16" s="40">
        <v>0.001521</v>
      </c>
      <c r="L16" s="43">
        <f aca="true" t="shared" si="5" ref="L16:L21">+$D16*K16</f>
        <v>15564.239379</v>
      </c>
      <c r="M16" s="44"/>
      <c r="N16" s="40">
        <v>0.003957</v>
      </c>
      <c r="O16" s="43">
        <f aca="true" t="shared" si="6" ref="O16:O21">+$D16*N16</f>
        <v>40491.581343</v>
      </c>
    </row>
    <row r="17" spans="1:15" ht="12.75">
      <c r="A17" s="40" t="s">
        <v>5</v>
      </c>
      <c r="B17" s="40" t="s">
        <v>3</v>
      </c>
      <c r="C17" s="40">
        <v>0.0095</v>
      </c>
      <c r="D17" s="72">
        <v>3133705</v>
      </c>
      <c r="E17" s="67">
        <v>29771.72</v>
      </c>
      <c r="F17" s="44"/>
      <c r="G17" s="59">
        <v>32.21</v>
      </c>
      <c r="H17" s="54">
        <f t="shared" si="4"/>
        <v>0</v>
      </c>
      <c r="J17" s="44"/>
      <c r="K17" s="40">
        <v>0.001521</v>
      </c>
      <c r="L17" s="43">
        <f t="shared" si="5"/>
        <v>4766.365305</v>
      </c>
      <c r="M17" s="44"/>
      <c r="N17" s="40">
        <v>0.003281</v>
      </c>
      <c r="O17" s="43">
        <f t="shared" si="6"/>
        <v>10281.686105</v>
      </c>
    </row>
    <row r="18" spans="1:15" ht="12.75">
      <c r="A18" s="40" t="s">
        <v>6</v>
      </c>
      <c r="B18" s="40" t="s">
        <v>9</v>
      </c>
      <c r="C18" s="40">
        <v>2.2816</v>
      </c>
      <c r="D18" s="72">
        <v>47999.85</v>
      </c>
      <c r="E18" s="67">
        <v>109516.49</v>
      </c>
      <c r="F18" s="44"/>
      <c r="G18" s="54">
        <v>204.28</v>
      </c>
      <c r="H18" s="54">
        <f t="shared" si="4"/>
        <v>0</v>
      </c>
      <c r="J18" s="44"/>
      <c r="K18" s="40">
        <v>0.703918</v>
      </c>
      <c r="L18" s="43">
        <f t="shared" si="5"/>
        <v>33787.9584123</v>
      </c>
      <c r="M18" s="44"/>
      <c r="N18" s="40">
        <v>0.403767</v>
      </c>
      <c r="O18" s="43">
        <f t="shared" si="6"/>
        <v>19380.75543495</v>
      </c>
    </row>
    <row r="19" spans="1:15" ht="12.75">
      <c r="A19" s="40" t="s">
        <v>7</v>
      </c>
      <c r="B19" s="40" t="s">
        <v>9</v>
      </c>
      <c r="C19" s="40">
        <v>2.3323</v>
      </c>
      <c r="D19" s="72">
        <v>22.683</v>
      </c>
      <c r="E19" s="67">
        <v>103.93</v>
      </c>
      <c r="F19" s="44"/>
      <c r="G19" s="59">
        <v>2.96</v>
      </c>
      <c r="H19" s="54">
        <f t="shared" si="4"/>
        <v>0</v>
      </c>
      <c r="J19" s="44"/>
      <c r="K19" s="40">
        <v>0.286512</v>
      </c>
      <c r="L19" s="43">
        <f t="shared" si="5"/>
        <v>6.498951696</v>
      </c>
      <c r="M19" s="44"/>
      <c r="N19" s="40">
        <v>1.864886</v>
      </c>
      <c r="O19" s="43">
        <f t="shared" si="6"/>
        <v>42.301209138</v>
      </c>
    </row>
    <row r="20" spans="1:15" ht="12.75">
      <c r="A20" s="40" t="s">
        <v>8</v>
      </c>
      <c r="B20" s="40" t="s">
        <v>9</v>
      </c>
      <c r="C20" s="40">
        <v>3.6587</v>
      </c>
      <c r="D20" s="72">
        <v>566.16</v>
      </c>
      <c r="E20" s="67">
        <v>2071.41</v>
      </c>
      <c r="F20" s="44"/>
      <c r="G20" s="59">
        <v>0.59</v>
      </c>
      <c r="H20" s="54">
        <f t="shared" si="4"/>
        <v>0</v>
      </c>
      <c r="J20" s="44"/>
      <c r="K20" s="40">
        <v>0.478809</v>
      </c>
      <c r="L20" s="43">
        <f t="shared" si="5"/>
        <v>271.08250344</v>
      </c>
      <c r="M20" s="44"/>
      <c r="N20" s="40">
        <v>1.188604</v>
      </c>
      <c r="O20" s="43">
        <f t="shared" si="6"/>
        <v>672.94004064</v>
      </c>
    </row>
    <row r="21" spans="1:15" ht="12.75">
      <c r="A21" s="40" t="s">
        <v>10</v>
      </c>
      <c r="B21" s="40" t="s">
        <v>3</v>
      </c>
      <c r="C21" s="40">
        <v>0.0095</v>
      </c>
      <c r="D21" s="72">
        <v>307306.02</v>
      </c>
      <c r="E21" s="67">
        <v>2182.08</v>
      </c>
      <c r="F21" s="44"/>
      <c r="G21" s="54">
        <f>+G17</f>
        <v>32.21</v>
      </c>
      <c r="H21" s="54">
        <f t="shared" si="4"/>
        <v>0</v>
      </c>
      <c r="J21" s="44"/>
      <c r="K21" s="40">
        <v>0.001521</v>
      </c>
      <c r="L21" s="43">
        <f t="shared" si="5"/>
        <v>467.41245642</v>
      </c>
      <c r="M21" s="44"/>
      <c r="N21" s="40">
        <f>+N17</f>
        <v>0.003281</v>
      </c>
      <c r="O21" s="43">
        <f t="shared" si="6"/>
        <v>1008.2710516200001</v>
      </c>
    </row>
    <row r="22" spans="1:15" ht="12.75">
      <c r="A22" s="40" t="s">
        <v>17</v>
      </c>
      <c r="D22" s="72"/>
      <c r="E22" s="61">
        <f>SUM(E16:E21)</f>
        <v>271585.23</v>
      </c>
      <c r="F22" s="44"/>
      <c r="G22" s="45"/>
      <c r="H22" s="45"/>
      <c r="I22" s="61">
        <f>SUM(I16:I21)</f>
        <v>0</v>
      </c>
      <c r="J22" s="44"/>
      <c r="L22" s="61">
        <f>SUM(L16:L21)</f>
        <v>54863.557007856</v>
      </c>
      <c r="M22" s="45"/>
      <c r="O22" s="61">
        <f>SUM(O16:O21)</f>
        <v>71877.53518434799</v>
      </c>
    </row>
    <row r="23" spans="6:12" ht="12.75">
      <c r="F23" s="44"/>
      <c r="G23" s="45"/>
      <c r="H23" s="45"/>
      <c r="I23" s="45"/>
      <c r="J23" s="44"/>
      <c r="L23" s="43"/>
    </row>
    <row r="24" spans="1:15" ht="13.5" thickBot="1">
      <c r="A24" s="40" t="s">
        <v>23</v>
      </c>
      <c r="E24" s="64">
        <f>+E12+E22</f>
        <v>271892.94</v>
      </c>
      <c r="F24" s="44"/>
      <c r="G24" s="45"/>
      <c r="H24" s="45"/>
      <c r="I24" s="64">
        <f>+I12+I22</f>
        <v>380.86</v>
      </c>
      <c r="J24" s="44"/>
      <c r="L24" s="64">
        <f>+L22</f>
        <v>54863.557007856</v>
      </c>
      <c r="O24" s="64">
        <f>+O12+O22</f>
        <v>72010.93006223485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2" right="0.38" top="0.92" bottom="0.51" header="0.5" footer="0.21"/>
  <pageSetup fitToHeight="1" fitToWidth="1" horizontalDpi="600" verticalDpi="600" orientation="landscape" scale="96" r:id="rId3"/>
  <headerFooter alignWithMargins="0">
    <oddFooter>&amp;L&amp;F&amp;R&amp;A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3" width="9.140625" style="40" customWidth="1"/>
    <col min="4" max="4" width="14.00390625" style="40" bestFit="1" customWidth="1"/>
    <col min="5" max="5" width="11.28125" style="43" bestFit="1" customWidth="1"/>
    <col min="6" max="6" width="2.140625" style="40" customWidth="1"/>
    <col min="7" max="7" width="9.140625" style="40" customWidth="1"/>
    <col min="8" max="8" width="6.28125" style="40" bestFit="1" customWidth="1"/>
    <col min="9" max="9" width="9.140625" style="43" customWidth="1"/>
    <col min="10" max="10" width="1.57421875" style="40" customWidth="1"/>
    <col min="11" max="11" width="9.140625" style="40" customWidth="1"/>
    <col min="12" max="12" width="10.28125" style="40" bestFit="1" customWidth="1"/>
    <col min="13" max="14" width="9.140625" style="40" customWidth="1"/>
    <col min="15" max="15" width="10.28125" style="40" bestFit="1" customWidth="1"/>
    <col min="16" max="16384" width="9.140625" style="40" customWidth="1"/>
  </cols>
  <sheetData>
    <row r="1" spans="1:8" ht="12.75">
      <c r="A1" s="40" t="s">
        <v>19</v>
      </c>
      <c r="E1" s="43" t="s">
        <v>31</v>
      </c>
      <c r="G1" s="42">
        <v>38169</v>
      </c>
      <c r="H1" s="43"/>
    </row>
    <row r="2" spans="1:13" ht="12.75">
      <c r="A2" s="40" t="s">
        <v>14</v>
      </c>
      <c r="F2" s="44"/>
      <c r="G2" s="45"/>
      <c r="H2" s="45"/>
      <c r="I2" s="45"/>
      <c r="J2" s="44"/>
      <c r="K2" s="46" t="s">
        <v>21</v>
      </c>
      <c r="M2" s="40" t="s">
        <v>35</v>
      </c>
    </row>
    <row r="3" spans="3:10" ht="12.75">
      <c r="C3" s="83" t="s">
        <v>30</v>
      </c>
      <c r="D3" s="84"/>
      <c r="E3" s="84"/>
      <c r="F3" s="84"/>
      <c r="G3" s="84"/>
      <c r="H3" s="84"/>
      <c r="I3" s="86"/>
      <c r="J3" s="44"/>
    </row>
    <row r="4" spans="1:15" ht="12.75">
      <c r="A4" s="46" t="s">
        <v>15</v>
      </c>
      <c r="B4" s="80" t="s">
        <v>25</v>
      </c>
      <c r="C4" s="81"/>
      <c r="D4" s="81"/>
      <c r="E4" s="82"/>
      <c r="F4" s="44"/>
      <c r="G4" s="80" t="s">
        <v>26</v>
      </c>
      <c r="H4" s="81"/>
      <c r="I4" s="82"/>
      <c r="J4" s="47"/>
      <c r="K4" s="83" t="s">
        <v>22</v>
      </c>
      <c r="L4" s="84"/>
      <c r="M4" s="84"/>
      <c r="N4" s="84"/>
      <c r="O4" s="86"/>
    </row>
    <row r="5" spans="1:15" ht="12.75">
      <c r="A5" s="48" t="s">
        <v>0</v>
      </c>
      <c r="B5" s="49" t="s">
        <v>1</v>
      </c>
      <c r="C5" s="49" t="s">
        <v>16</v>
      </c>
      <c r="D5" s="49" t="s">
        <v>12</v>
      </c>
      <c r="E5" s="50" t="s">
        <v>28</v>
      </c>
      <c r="F5" s="49"/>
      <c r="G5" s="50" t="s">
        <v>16</v>
      </c>
      <c r="H5" s="50" t="s">
        <v>27</v>
      </c>
      <c r="I5" s="50" t="s">
        <v>34</v>
      </c>
      <c r="J5" s="44"/>
      <c r="K5" s="49" t="s">
        <v>36</v>
      </c>
      <c r="L5" s="49" t="s">
        <v>29</v>
      </c>
      <c r="M5" s="49" t="s">
        <v>37</v>
      </c>
      <c r="N5" s="49" t="s">
        <v>33</v>
      </c>
      <c r="O5" s="51" t="s">
        <v>17</v>
      </c>
    </row>
    <row r="6" spans="1:15" ht="12.75">
      <c r="A6" s="40" t="s">
        <v>2</v>
      </c>
      <c r="B6" s="40" t="s">
        <v>3</v>
      </c>
      <c r="C6" s="52">
        <v>0.0122</v>
      </c>
      <c r="D6" s="40">
        <v>61</v>
      </c>
      <c r="E6" s="67">
        <v>0.73</v>
      </c>
      <c r="F6" s="53"/>
      <c r="G6" s="54">
        <v>13.25</v>
      </c>
      <c r="H6" s="54">
        <f aca="true" t="shared" si="0" ref="H6:H11">I6/G6</f>
        <v>0.499622641509434</v>
      </c>
      <c r="I6" s="43">
        <v>6.62</v>
      </c>
      <c r="J6" s="53"/>
      <c r="K6" s="55">
        <v>0.0023</v>
      </c>
      <c r="L6" s="43">
        <v>2.54</v>
      </c>
      <c r="M6" s="43">
        <f aca="true" t="shared" si="1" ref="M6:M11">+D6*K6</f>
        <v>0.1403</v>
      </c>
      <c r="N6" s="43">
        <f aca="true" t="shared" si="2" ref="N6:N11">+H6*L6</f>
        <v>1.2690415094339622</v>
      </c>
      <c r="O6" s="56">
        <f aca="true" t="shared" si="3" ref="O6:O11">SUM(M6:N6)</f>
        <v>1.4093415094339623</v>
      </c>
    </row>
    <row r="7" spans="1:15" ht="12.75">
      <c r="A7" s="40" t="s">
        <v>5</v>
      </c>
      <c r="B7" s="40" t="s">
        <v>3</v>
      </c>
      <c r="C7" s="52">
        <v>0.0091</v>
      </c>
      <c r="D7" s="40">
        <v>-1644</v>
      </c>
      <c r="E7" s="68">
        <v>-14.96</v>
      </c>
      <c r="F7" s="58"/>
      <c r="G7" s="59">
        <v>32.21</v>
      </c>
      <c r="H7" s="54">
        <f t="shared" si="0"/>
        <v>0</v>
      </c>
      <c r="I7" s="43">
        <v>0</v>
      </c>
      <c r="J7" s="58"/>
      <c r="K7" s="55">
        <v>0.0017</v>
      </c>
      <c r="L7" s="43">
        <v>6.6</v>
      </c>
      <c r="M7" s="43">
        <f t="shared" si="1"/>
        <v>-2.7948</v>
      </c>
      <c r="N7" s="43">
        <f t="shared" si="2"/>
        <v>0</v>
      </c>
      <c r="O7" s="56">
        <f t="shared" si="3"/>
        <v>-2.7948</v>
      </c>
    </row>
    <row r="8" spans="1:15" ht="12.75">
      <c r="A8" s="40" t="s">
        <v>6</v>
      </c>
      <c r="B8" s="40" t="s">
        <v>9</v>
      </c>
      <c r="C8" s="52">
        <v>1.6919</v>
      </c>
      <c r="D8" s="40">
        <v>-206.4</v>
      </c>
      <c r="E8" s="67">
        <v>-349.21</v>
      </c>
      <c r="F8" s="53"/>
      <c r="G8" s="54">
        <v>204.28</v>
      </c>
      <c r="H8" s="54">
        <f t="shared" si="0"/>
        <v>-0.7999804190327001</v>
      </c>
      <c r="I8" s="43">
        <v>-163.42</v>
      </c>
      <c r="J8" s="53"/>
      <c r="K8" s="55">
        <v>0.3166</v>
      </c>
      <c r="L8" s="43">
        <v>41.86</v>
      </c>
      <c r="M8" s="43">
        <f t="shared" si="1"/>
        <v>-65.34624</v>
      </c>
      <c r="N8" s="43">
        <f t="shared" si="2"/>
        <v>-33.487180340708825</v>
      </c>
      <c r="O8" s="56">
        <f t="shared" si="3"/>
        <v>-98.83342034070881</v>
      </c>
    </row>
    <row r="9" spans="1:15" ht="12.75">
      <c r="A9" s="40" t="s">
        <v>7</v>
      </c>
      <c r="B9" s="40" t="s">
        <v>9</v>
      </c>
      <c r="C9" s="52">
        <v>5.2694</v>
      </c>
      <c r="D9" s="40">
        <v>0</v>
      </c>
      <c r="E9" s="68"/>
      <c r="F9" s="58"/>
      <c r="G9" s="59">
        <v>2.96</v>
      </c>
      <c r="H9" s="54">
        <f t="shared" si="0"/>
        <v>0</v>
      </c>
      <c r="I9" s="43">
        <v>0</v>
      </c>
      <c r="J9" s="58"/>
      <c r="K9" s="55">
        <v>0.7792</v>
      </c>
      <c r="L9" s="43">
        <v>0.72</v>
      </c>
      <c r="M9" s="43">
        <f t="shared" si="1"/>
        <v>0</v>
      </c>
      <c r="N9" s="43">
        <f t="shared" si="2"/>
        <v>0</v>
      </c>
      <c r="O9" s="56">
        <f t="shared" si="3"/>
        <v>0</v>
      </c>
    </row>
    <row r="10" spans="1:15" ht="12.75">
      <c r="A10" s="40" t="s">
        <v>8</v>
      </c>
      <c r="B10" s="40" t="s">
        <v>9</v>
      </c>
      <c r="C10" s="52">
        <v>3.5359</v>
      </c>
      <c r="D10" s="40">
        <v>0</v>
      </c>
      <c r="E10" s="68"/>
      <c r="F10" s="58"/>
      <c r="G10" s="59">
        <v>0.59</v>
      </c>
      <c r="H10" s="54">
        <f t="shared" si="0"/>
        <v>0</v>
      </c>
      <c r="I10" s="43">
        <v>0</v>
      </c>
      <c r="J10" s="58"/>
      <c r="K10" s="55">
        <v>0.6629</v>
      </c>
      <c r="L10" s="43">
        <v>0.11</v>
      </c>
      <c r="M10" s="43">
        <f t="shared" si="1"/>
        <v>0</v>
      </c>
      <c r="N10" s="43">
        <f t="shared" si="2"/>
        <v>0</v>
      </c>
      <c r="O10" s="56">
        <f t="shared" si="3"/>
        <v>0</v>
      </c>
    </row>
    <row r="11" spans="1:15" ht="12.75">
      <c r="A11" s="40" t="s">
        <v>10</v>
      </c>
      <c r="B11" s="40" t="s">
        <v>3</v>
      </c>
      <c r="C11" s="52">
        <v>0.0091</v>
      </c>
      <c r="D11" s="40">
        <v>0</v>
      </c>
      <c r="E11" s="67"/>
      <c r="F11" s="53"/>
      <c r="G11" s="54">
        <f>+G7</f>
        <v>32.21</v>
      </c>
      <c r="H11" s="54">
        <f t="shared" si="0"/>
        <v>0</v>
      </c>
      <c r="I11" s="43">
        <v>0</v>
      </c>
      <c r="J11" s="53"/>
      <c r="K11" s="60">
        <f>+K7</f>
        <v>0.0017</v>
      </c>
      <c r="L11" s="43">
        <f>+L7</f>
        <v>6.6</v>
      </c>
      <c r="M11" s="43">
        <f t="shared" si="1"/>
        <v>0</v>
      </c>
      <c r="N11" s="43">
        <f t="shared" si="2"/>
        <v>0</v>
      </c>
      <c r="O11" s="56">
        <f t="shared" si="3"/>
        <v>0</v>
      </c>
    </row>
    <row r="12" spans="1:15" ht="12.75">
      <c r="A12" s="40" t="s">
        <v>17</v>
      </c>
      <c r="E12" s="61">
        <f>SUM(E6:E11)</f>
        <v>-363.44</v>
      </c>
      <c r="F12" s="44"/>
      <c r="G12" s="45"/>
      <c r="H12" s="45"/>
      <c r="I12" s="61">
        <f>SUM(I6:I11)</f>
        <v>-156.79999999999998</v>
      </c>
      <c r="J12" s="44"/>
      <c r="M12" s="61">
        <f>SUM(M6:M11)</f>
        <v>-68.00074</v>
      </c>
      <c r="N12" s="61">
        <f>SUM(N6:N11)</f>
        <v>-32.218138831274864</v>
      </c>
      <c r="O12" s="61">
        <f>SUM(O6:O11)</f>
        <v>-100.21887883127485</v>
      </c>
    </row>
    <row r="13" spans="6:10" ht="12.75">
      <c r="F13" s="44"/>
      <c r="G13" s="45"/>
      <c r="H13" s="45"/>
      <c r="I13" s="45"/>
      <c r="J13" s="44"/>
    </row>
    <row r="14" spans="1:15" ht="12.75">
      <c r="A14" s="46" t="s">
        <v>18</v>
      </c>
      <c r="B14" s="80" t="s">
        <v>25</v>
      </c>
      <c r="C14" s="81"/>
      <c r="D14" s="81"/>
      <c r="E14" s="82"/>
      <c r="F14" s="44"/>
      <c r="G14" s="80" t="s">
        <v>26</v>
      </c>
      <c r="H14" s="81"/>
      <c r="I14" s="82"/>
      <c r="J14" s="44"/>
      <c r="K14" s="83" t="s">
        <v>20</v>
      </c>
      <c r="L14" s="84"/>
      <c r="M14" s="62"/>
      <c r="N14" s="85" t="s">
        <v>22</v>
      </c>
      <c r="O14" s="85"/>
    </row>
    <row r="15" spans="1:15" ht="12.75">
      <c r="A15" s="48" t="s">
        <v>0</v>
      </c>
      <c r="B15" s="49" t="s">
        <v>1</v>
      </c>
      <c r="C15" s="49" t="s">
        <v>16</v>
      </c>
      <c r="D15" s="49" t="s">
        <v>12</v>
      </c>
      <c r="E15" s="50" t="s">
        <v>13</v>
      </c>
      <c r="F15" s="44"/>
      <c r="G15" s="50" t="s">
        <v>16</v>
      </c>
      <c r="H15" s="50" t="s">
        <v>27</v>
      </c>
      <c r="I15" s="50" t="s">
        <v>34</v>
      </c>
      <c r="J15" s="44"/>
      <c r="K15" s="49" t="s">
        <v>16</v>
      </c>
      <c r="L15" s="49" t="s">
        <v>13</v>
      </c>
      <c r="M15" s="44"/>
      <c r="N15" s="49" t="s">
        <v>16</v>
      </c>
      <c r="O15" s="49" t="s">
        <v>13</v>
      </c>
    </row>
    <row r="16" spans="1:15" ht="12.75">
      <c r="A16" s="40" t="s">
        <v>2</v>
      </c>
      <c r="B16" s="40" t="s">
        <v>3</v>
      </c>
      <c r="C16" s="40">
        <v>0.0125</v>
      </c>
      <c r="D16" s="43">
        <v>11753439</v>
      </c>
      <c r="E16" s="67">
        <v>146947.35</v>
      </c>
      <c r="F16" s="44"/>
      <c r="G16" s="54">
        <v>13.25</v>
      </c>
      <c r="H16" s="54">
        <f aca="true" t="shared" si="4" ref="H16:H21">I16/G16</f>
        <v>0</v>
      </c>
      <c r="J16" s="44"/>
      <c r="K16" s="40">
        <v>0.001521</v>
      </c>
      <c r="L16" s="43">
        <f aca="true" t="shared" si="5" ref="L16:L21">+$D16*K16</f>
        <v>17876.980719</v>
      </c>
      <c r="M16" s="44"/>
      <c r="N16" s="40">
        <v>0.003957</v>
      </c>
      <c r="O16" s="43">
        <f aca="true" t="shared" si="6" ref="O16:O21">+$D16*N16</f>
        <v>46508.358123</v>
      </c>
    </row>
    <row r="17" spans="1:15" ht="12.75">
      <c r="A17" s="40" t="s">
        <v>5</v>
      </c>
      <c r="B17" s="40" t="s">
        <v>3</v>
      </c>
      <c r="C17" s="40">
        <v>0.0095</v>
      </c>
      <c r="D17" s="43">
        <v>3032887</v>
      </c>
      <c r="E17" s="67">
        <v>28814.05</v>
      </c>
      <c r="F17" s="44"/>
      <c r="G17" s="59">
        <v>32.21</v>
      </c>
      <c r="H17" s="54">
        <f t="shared" si="4"/>
        <v>0</v>
      </c>
      <c r="J17" s="44"/>
      <c r="K17" s="40">
        <v>0.001521</v>
      </c>
      <c r="L17" s="43">
        <f t="shared" si="5"/>
        <v>4613.021127</v>
      </c>
      <c r="M17" s="44"/>
      <c r="N17" s="40">
        <v>0.003281</v>
      </c>
      <c r="O17" s="43">
        <f t="shared" si="6"/>
        <v>9950.902247</v>
      </c>
    </row>
    <row r="18" spans="1:15" ht="12.75">
      <c r="A18" s="40" t="s">
        <v>6</v>
      </c>
      <c r="B18" s="40" t="s">
        <v>9</v>
      </c>
      <c r="C18" s="40">
        <v>2.2816</v>
      </c>
      <c r="D18" s="43">
        <v>43634.89</v>
      </c>
      <c r="E18" s="67">
        <v>99557.39</v>
      </c>
      <c r="F18" s="44"/>
      <c r="G18" s="54">
        <v>204.28</v>
      </c>
      <c r="H18" s="54">
        <f t="shared" si="4"/>
        <v>0</v>
      </c>
      <c r="J18" s="44"/>
      <c r="K18" s="40">
        <v>0.703918</v>
      </c>
      <c r="L18" s="43">
        <f t="shared" si="5"/>
        <v>30715.38449902</v>
      </c>
      <c r="M18" s="44"/>
      <c r="N18" s="40">
        <v>0.403767</v>
      </c>
      <c r="O18" s="43">
        <f t="shared" si="6"/>
        <v>17618.32863063</v>
      </c>
    </row>
    <row r="19" spans="1:15" ht="12.75">
      <c r="A19" s="40" t="s">
        <v>7</v>
      </c>
      <c r="B19" s="40" t="s">
        <v>9</v>
      </c>
      <c r="C19" s="40">
        <v>2.3323</v>
      </c>
      <c r="D19" s="43">
        <v>18.737</v>
      </c>
      <c r="E19" s="67">
        <v>85.85</v>
      </c>
      <c r="F19" s="44"/>
      <c r="G19" s="59">
        <v>2.96</v>
      </c>
      <c r="H19" s="54">
        <f t="shared" si="4"/>
        <v>0</v>
      </c>
      <c r="J19" s="44"/>
      <c r="K19" s="40">
        <v>0.286512</v>
      </c>
      <c r="L19" s="43">
        <f t="shared" si="5"/>
        <v>5.3683753439999995</v>
      </c>
      <c r="M19" s="44"/>
      <c r="N19" s="40">
        <v>1.864886</v>
      </c>
      <c r="O19" s="43">
        <f t="shared" si="6"/>
        <v>34.942368982</v>
      </c>
    </row>
    <row r="20" spans="1:15" ht="12.75">
      <c r="A20" s="40" t="s">
        <v>8</v>
      </c>
      <c r="B20" s="40" t="s">
        <v>9</v>
      </c>
      <c r="C20" s="40">
        <v>3.6587</v>
      </c>
      <c r="D20" s="43">
        <v>547.9</v>
      </c>
      <c r="E20" s="67">
        <v>2004.6</v>
      </c>
      <c r="F20" s="44"/>
      <c r="G20" s="59">
        <v>0.59</v>
      </c>
      <c r="H20" s="54">
        <f t="shared" si="4"/>
        <v>0</v>
      </c>
      <c r="J20" s="44"/>
      <c r="K20" s="40">
        <v>0.478809</v>
      </c>
      <c r="L20" s="43">
        <f t="shared" si="5"/>
        <v>262.33945109999996</v>
      </c>
      <c r="M20" s="44"/>
      <c r="N20" s="40">
        <v>1.188604</v>
      </c>
      <c r="O20" s="43">
        <f t="shared" si="6"/>
        <v>651.2361316</v>
      </c>
    </row>
    <row r="21" spans="1:15" ht="12.75">
      <c r="A21" s="40" t="s">
        <v>10</v>
      </c>
      <c r="B21" s="40" t="s">
        <v>3</v>
      </c>
      <c r="C21" s="40">
        <v>0.0095</v>
      </c>
      <c r="D21" s="43">
        <v>158598</v>
      </c>
      <c r="E21" s="67">
        <v>1126.15</v>
      </c>
      <c r="F21" s="44"/>
      <c r="G21" s="54">
        <f>+G17</f>
        <v>32.21</v>
      </c>
      <c r="H21" s="54">
        <f t="shared" si="4"/>
        <v>0</v>
      </c>
      <c r="J21" s="44"/>
      <c r="K21" s="40">
        <v>0.001521</v>
      </c>
      <c r="L21" s="43">
        <f t="shared" si="5"/>
        <v>241.227558</v>
      </c>
      <c r="M21" s="44"/>
      <c r="N21" s="40">
        <f>+N17</f>
        <v>0.003281</v>
      </c>
      <c r="O21" s="43">
        <f t="shared" si="6"/>
        <v>520.360038</v>
      </c>
    </row>
    <row r="22" spans="1:15" ht="12.75">
      <c r="A22" s="40" t="s">
        <v>17</v>
      </c>
      <c r="E22" s="61">
        <f>SUM(E16:E21)</f>
        <v>278535.38999999996</v>
      </c>
      <c r="F22" s="44"/>
      <c r="G22" s="45"/>
      <c r="H22" s="45"/>
      <c r="I22" s="61">
        <f>SUM(I16:I21)</f>
        <v>0</v>
      </c>
      <c r="J22" s="44"/>
      <c r="L22" s="61">
        <f>SUM(L16:L21)</f>
        <v>53714.321729464</v>
      </c>
      <c r="M22" s="45"/>
      <c r="O22" s="61">
        <f>SUM(O16:O21)</f>
        <v>75284.12753921199</v>
      </c>
    </row>
    <row r="23" spans="6:15" ht="12.75">
      <c r="F23" s="44"/>
      <c r="G23" s="45"/>
      <c r="H23" s="45"/>
      <c r="I23" s="45"/>
      <c r="J23" s="44"/>
      <c r="L23" s="43"/>
      <c r="O23" s="43"/>
    </row>
    <row r="24" spans="1:15" ht="13.5" thickBot="1">
      <c r="A24" s="40" t="s">
        <v>23</v>
      </c>
      <c r="E24" s="64">
        <f>+E12+E22</f>
        <v>278171.94999999995</v>
      </c>
      <c r="F24" s="44"/>
      <c r="G24" s="45"/>
      <c r="H24" s="45"/>
      <c r="I24" s="64">
        <f>+I12+I22</f>
        <v>-156.79999999999998</v>
      </c>
      <c r="J24" s="44"/>
      <c r="L24" s="64">
        <f>+L22</f>
        <v>53714.321729464</v>
      </c>
      <c r="O24" s="64">
        <f>+O12+O22</f>
        <v>75183.90866038071</v>
      </c>
    </row>
    <row r="25" spans="6:10" ht="13.5" thickTop="1">
      <c r="F25" s="44"/>
      <c r="G25" s="45"/>
      <c r="H25" s="45"/>
      <c r="I25" s="45"/>
      <c r="J25" s="44"/>
    </row>
    <row r="26" spans="6:10" ht="12.75">
      <c r="F26" s="44"/>
      <c r="G26" s="45"/>
      <c r="H26" s="45"/>
      <c r="I26" s="45"/>
      <c r="J26" s="44"/>
    </row>
    <row r="27" spans="1:10" ht="12.75">
      <c r="A27" s="46" t="s">
        <v>4</v>
      </c>
      <c r="F27" s="44"/>
      <c r="G27" s="45"/>
      <c r="H27" s="45"/>
      <c r="I27" s="45"/>
      <c r="J27" s="44"/>
    </row>
    <row r="28" spans="1:10" ht="12.75">
      <c r="A28" s="65" t="s">
        <v>38</v>
      </c>
      <c r="F28" s="44"/>
      <c r="G28" s="45"/>
      <c r="H28" s="45"/>
      <c r="I28" s="45"/>
      <c r="J28" s="44"/>
    </row>
    <row r="29" spans="1:10" ht="12.75">
      <c r="A29" s="40" t="s">
        <v>32</v>
      </c>
      <c r="F29" s="44"/>
      <c r="G29" s="45"/>
      <c r="H29" s="45"/>
      <c r="I29" s="45"/>
      <c r="J29" s="44"/>
    </row>
    <row r="30" spans="1:10" ht="12.75">
      <c r="A30" s="40" t="s">
        <v>11</v>
      </c>
      <c r="F30" s="44"/>
      <c r="G30" s="45"/>
      <c r="H30" s="45"/>
      <c r="I30" s="45"/>
      <c r="J30" s="44"/>
    </row>
    <row r="31" spans="1:10" ht="12.75">
      <c r="A31" s="40" t="s">
        <v>24</v>
      </c>
      <c r="F31" s="44"/>
      <c r="G31" s="45"/>
      <c r="H31" s="45"/>
      <c r="I31" s="45"/>
      <c r="J31" s="44"/>
    </row>
    <row r="32" spans="6:10" ht="12.75">
      <c r="F32" s="44"/>
      <c r="G32" s="45"/>
      <c r="H32" s="45"/>
      <c r="I32" s="45"/>
      <c r="J32" s="44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42" right="0.31" top="0.93" bottom="0.46" header="0.19" footer="0.2"/>
  <pageSetup fitToHeight="1" fitToWidth="1" horizontalDpi="600" verticalDpi="600" orientation="landscape" r:id="rId3"/>
  <headerFooter alignWithMargins="0">
    <oddFooter>&amp;L&amp;F&amp;R&amp;A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B1">
      <selection activeCell="I24" sqref="I24"/>
    </sheetView>
  </sheetViews>
  <sheetFormatPr defaultColWidth="9.140625" defaultRowHeight="12.75"/>
  <cols>
    <col min="1" max="1" width="17.28125" style="0" customWidth="1"/>
    <col min="4" max="4" width="12.8515625" style="0" bestFit="1" customWidth="1"/>
    <col min="5" max="5" width="11.28125" style="0" bestFit="1" customWidth="1"/>
    <col min="6" max="6" width="1.57421875" style="0" customWidth="1"/>
    <col min="10" max="10" width="1.7109375" style="0" customWidth="1"/>
    <col min="12" max="12" width="10.28125" style="0" bestFit="1" customWidth="1"/>
    <col min="15" max="15" width="10.28125" style="0" bestFit="1" customWidth="1"/>
  </cols>
  <sheetData>
    <row r="1" spans="1:9" ht="12.75">
      <c r="A1" t="s">
        <v>19</v>
      </c>
      <c r="E1" t="s">
        <v>31</v>
      </c>
      <c r="G1" s="8">
        <v>38200</v>
      </c>
      <c r="H1" s="12"/>
      <c r="I1" s="12"/>
    </row>
    <row r="2" spans="1:14" ht="12.75">
      <c r="A2" t="s">
        <v>14</v>
      </c>
      <c r="E2" s="8"/>
      <c r="F2" s="5"/>
      <c r="G2" s="10"/>
      <c r="H2" s="10"/>
      <c r="I2" s="10"/>
      <c r="J2" s="5"/>
      <c r="K2" s="2" t="s">
        <v>21</v>
      </c>
      <c r="M2" s="18" t="s">
        <v>35</v>
      </c>
      <c r="N2" s="18"/>
    </row>
    <row r="3" spans="3:10" ht="12.75">
      <c r="C3" s="90" t="s">
        <v>30</v>
      </c>
      <c r="D3" s="91"/>
      <c r="E3" s="91"/>
      <c r="F3" s="91"/>
      <c r="G3" s="91"/>
      <c r="H3" s="91"/>
      <c r="I3" s="93"/>
      <c r="J3" s="5"/>
    </row>
    <row r="4" spans="1:15" ht="12.75">
      <c r="A4" s="2" t="s">
        <v>15</v>
      </c>
      <c r="B4" s="87" t="s">
        <v>25</v>
      </c>
      <c r="C4" s="88"/>
      <c r="D4" s="88"/>
      <c r="E4" s="89"/>
      <c r="F4" s="5"/>
      <c r="G4" s="87" t="s">
        <v>26</v>
      </c>
      <c r="H4" s="88"/>
      <c r="I4" s="89"/>
      <c r="J4" s="9"/>
      <c r="K4" s="90" t="s">
        <v>22</v>
      </c>
      <c r="L4" s="91"/>
      <c r="M4" s="91"/>
      <c r="N4" s="91"/>
      <c r="O4" s="93"/>
    </row>
    <row r="5" spans="1:15" ht="12.75">
      <c r="A5" s="1" t="s">
        <v>0</v>
      </c>
      <c r="B5" s="23" t="s">
        <v>1</v>
      </c>
      <c r="C5" s="23" t="s">
        <v>16</v>
      </c>
      <c r="D5" s="23" t="s">
        <v>12</v>
      </c>
      <c r="E5" s="23" t="s">
        <v>28</v>
      </c>
      <c r="F5" s="23"/>
      <c r="G5" s="24" t="s">
        <v>16</v>
      </c>
      <c r="H5" s="24" t="s">
        <v>27</v>
      </c>
      <c r="I5" s="24" t="s">
        <v>34</v>
      </c>
      <c r="J5" s="5"/>
      <c r="K5" s="23" t="s">
        <v>36</v>
      </c>
      <c r="L5" s="23" t="s">
        <v>29</v>
      </c>
      <c r="M5" s="23" t="s">
        <v>37</v>
      </c>
      <c r="N5" s="23" t="s">
        <v>33</v>
      </c>
      <c r="O5" s="26" t="s">
        <v>17</v>
      </c>
    </row>
    <row r="6" spans="1:15" ht="12.75">
      <c r="A6" t="s">
        <v>2</v>
      </c>
      <c r="B6" t="s">
        <v>3</v>
      </c>
      <c r="C6" s="13">
        <v>0.0122</v>
      </c>
      <c r="D6">
        <v>0</v>
      </c>
      <c r="E6" s="3"/>
      <c r="F6" s="6"/>
      <c r="G6" s="14">
        <v>13.25</v>
      </c>
      <c r="H6" s="14">
        <f aca="true" t="shared" si="0" ref="H6:H11">I6/G6</f>
        <v>0</v>
      </c>
      <c r="I6" s="34">
        <v>0</v>
      </c>
      <c r="J6" s="6"/>
      <c r="K6" s="16">
        <v>0.0023</v>
      </c>
      <c r="L6" s="25">
        <v>2.54</v>
      </c>
      <c r="M6" s="25">
        <f aca="true" t="shared" si="1" ref="M6:M11">+D6*K6</f>
        <v>0</v>
      </c>
      <c r="N6" s="25">
        <f aca="true" t="shared" si="2" ref="N6:N11">+H6*L6</f>
        <v>0</v>
      </c>
      <c r="O6" s="28">
        <f aca="true" t="shared" si="3" ref="O6:O11">SUM(M6:N6)</f>
        <v>0</v>
      </c>
    </row>
    <row r="7" spans="1:15" ht="12.75">
      <c r="A7" t="s">
        <v>5</v>
      </c>
      <c r="B7" t="s">
        <v>3</v>
      </c>
      <c r="C7" s="13">
        <v>0.0091</v>
      </c>
      <c r="D7">
        <v>1630</v>
      </c>
      <c r="E7" s="4">
        <v>14.84</v>
      </c>
      <c r="F7" s="7"/>
      <c r="G7" s="15">
        <v>32.21</v>
      </c>
      <c r="H7" s="14">
        <f t="shared" si="0"/>
        <v>0</v>
      </c>
      <c r="I7" s="34">
        <v>0</v>
      </c>
      <c r="J7" s="7"/>
      <c r="K7" s="16">
        <v>0.0017</v>
      </c>
      <c r="L7" s="25">
        <v>6.6</v>
      </c>
      <c r="M7" s="25">
        <f t="shared" si="1"/>
        <v>2.771</v>
      </c>
      <c r="N7" s="25">
        <f t="shared" si="2"/>
        <v>0</v>
      </c>
      <c r="O7" s="28">
        <f t="shared" si="3"/>
        <v>2.771</v>
      </c>
    </row>
    <row r="8" spans="1:15" ht="12.75">
      <c r="A8" t="s">
        <v>6</v>
      </c>
      <c r="B8" t="s">
        <v>9</v>
      </c>
      <c r="C8" s="13">
        <v>1.6919</v>
      </c>
      <c r="D8">
        <v>144</v>
      </c>
      <c r="E8" s="3">
        <v>243.63</v>
      </c>
      <c r="F8" s="6"/>
      <c r="G8" s="14">
        <v>204.28</v>
      </c>
      <c r="H8" s="14">
        <f t="shared" si="0"/>
        <v>0.7999804190327001</v>
      </c>
      <c r="I8" s="34">
        <v>163.42</v>
      </c>
      <c r="J8" s="6"/>
      <c r="K8" s="16">
        <v>0.3166</v>
      </c>
      <c r="L8" s="25">
        <v>41.86</v>
      </c>
      <c r="M8" s="25">
        <f t="shared" si="1"/>
        <v>45.5904</v>
      </c>
      <c r="N8" s="25">
        <f t="shared" si="2"/>
        <v>33.487180340708825</v>
      </c>
      <c r="O8" s="28">
        <f t="shared" si="3"/>
        <v>79.07758034070883</v>
      </c>
    </row>
    <row r="9" spans="1:15" ht="12.75">
      <c r="A9" t="s">
        <v>7</v>
      </c>
      <c r="B9" t="s">
        <v>9</v>
      </c>
      <c r="C9" s="13">
        <v>5.2694</v>
      </c>
      <c r="D9">
        <v>0</v>
      </c>
      <c r="E9" s="4"/>
      <c r="F9" s="7"/>
      <c r="G9" s="15">
        <v>2.96</v>
      </c>
      <c r="H9" s="14">
        <f t="shared" si="0"/>
        <v>0</v>
      </c>
      <c r="I9" s="34">
        <v>0</v>
      </c>
      <c r="J9" s="7"/>
      <c r="K9" s="16">
        <v>0.7792</v>
      </c>
      <c r="L9" s="25">
        <v>0.72</v>
      </c>
      <c r="M9" s="25">
        <f t="shared" si="1"/>
        <v>0</v>
      </c>
      <c r="N9" s="25">
        <f t="shared" si="2"/>
        <v>0</v>
      </c>
      <c r="O9" s="28">
        <f t="shared" si="3"/>
        <v>0</v>
      </c>
    </row>
    <row r="10" spans="1:15" ht="12.75">
      <c r="A10" t="s">
        <v>8</v>
      </c>
      <c r="B10" t="s">
        <v>9</v>
      </c>
      <c r="C10" s="13">
        <v>3.5359</v>
      </c>
      <c r="D10">
        <v>0</v>
      </c>
      <c r="E10" s="4"/>
      <c r="F10" s="7"/>
      <c r="G10" s="15">
        <v>0.59</v>
      </c>
      <c r="H10" s="14">
        <f t="shared" si="0"/>
        <v>0</v>
      </c>
      <c r="I10" s="34">
        <v>0</v>
      </c>
      <c r="J10" s="7"/>
      <c r="K10" s="16">
        <v>0.6629</v>
      </c>
      <c r="L10" s="25">
        <v>0.11</v>
      </c>
      <c r="M10" s="25">
        <f t="shared" si="1"/>
        <v>0</v>
      </c>
      <c r="N10" s="25">
        <f t="shared" si="2"/>
        <v>0</v>
      </c>
      <c r="O10" s="28">
        <f t="shared" si="3"/>
        <v>0</v>
      </c>
    </row>
    <row r="11" spans="1:15" ht="12.75">
      <c r="A11" t="s">
        <v>10</v>
      </c>
      <c r="B11" t="s">
        <v>3</v>
      </c>
      <c r="C11" s="13">
        <v>0.0091</v>
      </c>
      <c r="D11">
        <v>0</v>
      </c>
      <c r="E11" s="3"/>
      <c r="F11" s="6"/>
      <c r="G11" s="14">
        <f>+G7</f>
        <v>32.21</v>
      </c>
      <c r="H11" s="14">
        <f t="shared" si="0"/>
        <v>0</v>
      </c>
      <c r="I11" s="34">
        <v>0</v>
      </c>
      <c r="J11" s="6"/>
      <c r="K11" s="17">
        <f>+K7</f>
        <v>0.0017</v>
      </c>
      <c r="L11" s="25">
        <f>+L7</f>
        <v>6.6</v>
      </c>
      <c r="M11" s="25">
        <f t="shared" si="1"/>
        <v>0</v>
      </c>
      <c r="N11" s="25">
        <f t="shared" si="2"/>
        <v>0</v>
      </c>
      <c r="O11" s="28">
        <f t="shared" si="3"/>
        <v>0</v>
      </c>
    </row>
    <row r="12" spans="1:15" ht="12.75">
      <c r="A12" t="s">
        <v>17</v>
      </c>
      <c r="E12" s="19">
        <f>SUM(E6:E11)</f>
        <v>258.46999999999997</v>
      </c>
      <c r="F12" s="5"/>
      <c r="G12" s="10"/>
      <c r="H12" s="10"/>
      <c r="I12" s="19">
        <f>SUM(I6:I11)</f>
        <v>163.42</v>
      </c>
      <c r="J12" s="5"/>
      <c r="K12" s="18"/>
      <c r="L12" s="18"/>
      <c r="M12" s="19">
        <f>SUM(M6:M11)</f>
        <v>48.3614</v>
      </c>
      <c r="N12" s="19">
        <f>SUM(N6:N11)</f>
        <v>33.487180340708825</v>
      </c>
      <c r="O12" s="19">
        <f>SUM(O6:O11)</f>
        <v>81.84858034070884</v>
      </c>
    </row>
    <row r="13" spans="6:10" ht="12.75">
      <c r="F13" s="5"/>
      <c r="G13" s="10"/>
      <c r="H13" s="10"/>
      <c r="I13" s="10"/>
      <c r="J13" s="5"/>
    </row>
    <row r="14" spans="1:15" ht="12.75">
      <c r="A14" s="2" t="s">
        <v>18</v>
      </c>
      <c r="B14" s="87" t="s">
        <v>25</v>
      </c>
      <c r="C14" s="88"/>
      <c r="D14" s="88"/>
      <c r="E14" s="89"/>
      <c r="F14" s="5"/>
      <c r="G14" s="87" t="s">
        <v>26</v>
      </c>
      <c r="H14" s="88"/>
      <c r="I14" s="89"/>
      <c r="J14" s="5"/>
      <c r="K14" s="90" t="s">
        <v>20</v>
      </c>
      <c r="L14" s="91"/>
      <c r="M14" s="11"/>
      <c r="N14" s="92" t="s">
        <v>22</v>
      </c>
      <c r="O14" s="92"/>
    </row>
    <row r="15" spans="1:15" ht="12.75">
      <c r="A15" s="1" t="s">
        <v>0</v>
      </c>
      <c r="B15" s="23" t="s">
        <v>1</v>
      </c>
      <c r="C15" s="23" t="s">
        <v>16</v>
      </c>
      <c r="D15" s="23" t="s">
        <v>12</v>
      </c>
      <c r="E15" s="23" t="s">
        <v>13</v>
      </c>
      <c r="F15" s="5"/>
      <c r="G15" s="24" t="s">
        <v>16</v>
      </c>
      <c r="H15" s="24" t="s">
        <v>27</v>
      </c>
      <c r="I15" s="24" t="s">
        <v>34</v>
      </c>
      <c r="J15" s="5"/>
      <c r="K15" s="23" t="s">
        <v>16</v>
      </c>
      <c r="L15" s="23" t="s">
        <v>13</v>
      </c>
      <c r="M15" s="5"/>
      <c r="N15" s="23" t="s">
        <v>16</v>
      </c>
      <c r="O15" s="23" t="s">
        <v>13</v>
      </c>
    </row>
    <row r="16" spans="1:15" ht="12.75">
      <c r="A16" t="s">
        <v>2</v>
      </c>
      <c r="B16" t="s">
        <v>3</v>
      </c>
      <c r="C16" s="18">
        <v>0.0125</v>
      </c>
      <c r="D16" s="32">
        <v>12949584</v>
      </c>
      <c r="E16" s="33">
        <v>161898.97</v>
      </c>
      <c r="F16" s="5"/>
      <c r="G16" s="14">
        <v>13.25</v>
      </c>
      <c r="H16" s="14">
        <f aca="true" t="shared" si="4" ref="H16:H21">I16/G16</f>
        <v>0</v>
      </c>
      <c r="I16" s="12"/>
      <c r="J16" s="5"/>
      <c r="K16" s="18">
        <v>0.001521</v>
      </c>
      <c r="L16" s="25">
        <f aca="true" t="shared" si="5" ref="L16:L21">+$D16*K16</f>
        <v>19696.317264</v>
      </c>
      <c r="M16" s="20"/>
      <c r="N16" s="18">
        <v>0.003957</v>
      </c>
      <c r="O16" s="25">
        <f aca="true" t="shared" si="6" ref="O16:O21">+$D16*N16</f>
        <v>51241.50388799999</v>
      </c>
    </row>
    <row r="17" spans="1:15" ht="12.75">
      <c r="A17" t="s">
        <v>5</v>
      </c>
      <c r="B17" t="s">
        <v>3</v>
      </c>
      <c r="C17" s="18">
        <v>0.0095</v>
      </c>
      <c r="D17" s="32">
        <v>3422702</v>
      </c>
      <c r="E17" s="33">
        <v>32517.19</v>
      </c>
      <c r="F17" s="5"/>
      <c r="G17" s="15">
        <v>32.21</v>
      </c>
      <c r="H17" s="14">
        <f t="shared" si="4"/>
        <v>0</v>
      </c>
      <c r="I17" s="12"/>
      <c r="J17" s="5"/>
      <c r="K17" s="18">
        <v>0.001521</v>
      </c>
      <c r="L17" s="25">
        <f t="shared" si="5"/>
        <v>5205.929742</v>
      </c>
      <c r="M17" s="20"/>
      <c r="N17" s="18">
        <v>0.003281</v>
      </c>
      <c r="O17" s="25">
        <f t="shared" si="6"/>
        <v>11229.885262</v>
      </c>
    </row>
    <row r="18" spans="1:15" ht="12.75">
      <c r="A18" t="s">
        <v>6</v>
      </c>
      <c r="B18" t="s">
        <v>9</v>
      </c>
      <c r="C18" s="18">
        <v>2.2816</v>
      </c>
      <c r="D18" s="32">
        <v>46663.16</v>
      </c>
      <c r="E18" s="33">
        <v>106466.56</v>
      </c>
      <c r="F18" s="5"/>
      <c r="G18" s="14">
        <v>204.28</v>
      </c>
      <c r="H18" s="14">
        <f t="shared" si="4"/>
        <v>0</v>
      </c>
      <c r="I18" s="12"/>
      <c r="J18" s="5"/>
      <c r="K18" s="18">
        <v>0.703918</v>
      </c>
      <c r="L18" s="25">
        <f t="shared" si="5"/>
        <v>32847.03826088001</v>
      </c>
      <c r="M18" s="20"/>
      <c r="N18" s="18">
        <v>0.403767</v>
      </c>
      <c r="O18" s="25">
        <f t="shared" si="6"/>
        <v>18841.04412372</v>
      </c>
    </row>
    <row r="19" spans="1:15" ht="12.75">
      <c r="A19" t="s">
        <v>7</v>
      </c>
      <c r="B19" t="s">
        <v>9</v>
      </c>
      <c r="C19" s="18">
        <v>2.3323</v>
      </c>
      <c r="D19" s="32">
        <v>19.689</v>
      </c>
      <c r="E19" s="33">
        <v>90.24</v>
      </c>
      <c r="F19" s="5"/>
      <c r="G19" s="15">
        <v>2.96</v>
      </c>
      <c r="H19" s="14">
        <f t="shared" si="4"/>
        <v>0</v>
      </c>
      <c r="I19" s="12"/>
      <c r="J19" s="5"/>
      <c r="K19" s="18">
        <v>0.286512</v>
      </c>
      <c r="L19" s="25">
        <f t="shared" si="5"/>
        <v>5.641134768</v>
      </c>
      <c r="M19" s="20"/>
      <c r="N19" s="18">
        <v>1.864886</v>
      </c>
      <c r="O19" s="25">
        <f t="shared" si="6"/>
        <v>36.717740454</v>
      </c>
    </row>
    <row r="20" spans="1:15" ht="12.75">
      <c r="A20" t="s">
        <v>8</v>
      </c>
      <c r="B20" t="s">
        <v>9</v>
      </c>
      <c r="C20" s="18">
        <v>3.6587</v>
      </c>
      <c r="D20" s="32">
        <v>566.16</v>
      </c>
      <c r="E20" s="33">
        <v>2071.41</v>
      </c>
      <c r="F20" s="5"/>
      <c r="G20" s="15">
        <v>0.59</v>
      </c>
      <c r="H20" s="14">
        <f t="shared" si="4"/>
        <v>0</v>
      </c>
      <c r="I20" s="12"/>
      <c r="J20" s="5"/>
      <c r="K20" s="18">
        <v>0.478809</v>
      </c>
      <c r="L20" s="25">
        <f t="shared" si="5"/>
        <v>271.08250344</v>
      </c>
      <c r="M20" s="20"/>
      <c r="N20" s="18">
        <v>1.188604</v>
      </c>
      <c r="O20" s="25">
        <f t="shared" si="6"/>
        <v>672.94004064</v>
      </c>
    </row>
    <row r="21" spans="1:15" ht="12.75">
      <c r="A21" t="s">
        <v>10</v>
      </c>
      <c r="B21" t="s">
        <v>3</v>
      </c>
      <c r="C21" s="18">
        <v>0.0095</v>
      </c>
      <c r="D21" s="32">
        <v>159425</v>
      </c>
      <c r="E21" s="33">
        <v>1132.02</v>
      </c>
      <c r="F21" s="5"/>
      <c r="G21" s="14">
        <f>+G17</f>
        <v>32.21</v>
      </c>
      <c r="H21" s="14">
        <f t="shared" si="4"/>
        <v>0</v>
      </c>
      <c r="I21" s="12"/>
      <c r="J21" s="5"/>
      <c r="K21" s="18">
        <v>0.001521</v>
      </c>
      <c r="L21" s="25">
        <f t="shared" si="5"/>
        <v>242.485425</v>
      </c>
      <c r="M21" s="20"/>
      <c r="N21" s="18">
        <f>+N17</f>
        <v>0.003281</v>
      </c>
      <c r="O21" s="25">
        <f t="shared" si="6"/>
        <v>523.073425</v>
      </c>
    </row>
    <row r="22" spans="1:15" ht="12.75">
      <c r="A22" t="s">
        <v>17</v>
      </c>
      <c r="D22" s="12"/>
      <c r="E22" s="19">
        <f>SUM(E16:E21)</f>
        <v>304176.38999999996</v>
      </c>
      <c r="F22" s="5"/>
      <c r="G22" s="10"/>
      <c r="H22" s="10"/>
      <c r="I22" s="19">
        <f>SUM(I16:I21)</f>
        <v>0</v>
      </c>
      <c r="J22" s="5"/>
      <c r="K22" s="18"/>
      <c r="L22" s="19">
        <f>SUM(L16:L21)</f>
        <v>58268.494330088</v>
      </c>
      <c r="M22" s="21"/>
      <c r="N22" s="18"/>
      <c r="O22" s="19">
        <f>SUM(O16:O21)</f>
        <v>82545.16447981398</v>
      </c>
    </row>
    <row r="23" spans="4:15" ht="12.75">
      <c r="D23" s="12"/>
      <c r="E23" s="12"/>
      <c r="F23" s="5"/>
      <c r="G23" s="10"/>
      <c r="H23" s="10"/>
      <c r="I23" s="10"/>
      <c r="J23" s="5"/>
      <c r="K23" s="18"/>
      <c r="L23" s="25"/>
      <c r="M23" s="18"/>
      <c r="N23" s="18"/>
      <c r="O23" s="25"/>
    </row>
    <row r="24" spans="1:15" ht="13.5" thickBot="1">
      <c r="A24" t="s">
        <v>23</v>
      </c>
      <c r="D24" s="12"/>
      <c r="E24" s="27">
        <f>+E12+E22</f>
        <v>304434.8599999999</v>
      </c>
      <c r="F24" s="5"/>
      <c r="G24" s="10"/>
      <c r="H24" s="10"/>
      <c r="I24" s="27">
        <f>+I12+I22</f>
        <v>163.42</v>
      </c>
      <c r="J24" s="5"/>
      <c r="K24" s="18"/>
      <c r="L24" s="27">
        <f>+L22</f>
        <v>58268.494330088</v>
      </c>
      <c r="M24" s="18"/>
      <c r="N24" s="18"/>
      <c r="O24" s="27">
        <f>+O12+O22</f>
        <v>82627.01306015468</v>
      </c>
    </row>
    <row r="25" spans="4:10" ht="13.5" thickTop="1">
      <c r="D25" s="12"/>
      <c r="E25" s="12"/>
      <c r="F25" s="5"/>
      <c r="G25" s="10"/>
      <c r="H25" s="10"/>
      <c r="I25" s="10"/>
      <c r="J25" s="5"/>
    </row>
    <row r="26" spans="6:10" ht="12.75">
      <c r="F26" s="5"/>
      <c r="G26" s="10"/>
      <c r="H26" s="10"/>
      <c r="I26" s="10"/>
      <c r="J26" s="5"/>
    </row>
    <row r="27" spans="1:10" ht="12.75">
      <c r="A27" s="2" t="s">
        <v>4</v>
      </c>
      <c r="F27" s="5"/>
      <c r="G27" s="10"/>
      <c r="H27" s="10"/>
      <c r="I27" s="10"/>
      <c r="J27" s="5"/>
    </row>
    <row r="28" spans="1:10" ht="12.75">
      <c r="A28" s="30" t="s">
        <v>38</v>
      </c>
      <c r="F28" s="5"/>
      <c r="G28" s="10"/>
      <c r="H28" s="10"/>
      <c r="I28" s="10"/>
      <c r="J28" s="5"/>
    </row>
    <row r="29" spans="1:10" ht="12.75">
      <c r="A29" t="s">
        <v>32</v>
      </c>
      <c r="F29" s="5"/>
      <c r="G29" s="10"/>
      <c r="H29" s="10"/>
      <c r="I29" s="10"/>
      <c r="J29" s="5"/>
    </row>
    <row r="30" spans="1:10" ht="12.75">
      <c r="A30" t="s">
        <v>11</v>
      </c>
      <c r="F30" s="5"/>
      <c r="G30" s="10"/>
      <c r="H30" s="10"/>
      <c r="I30" s="10"/>
      <c r="J30" s="5"/>
    </row>
    <row r="31" spans="1:10" ht="12.75">
      <c r="A31" t="s">
        <v>24</v>
      </c>
      <c r="F31" s="5"/>
      <c r="G31" s="10"/>
      <c r="H31" s="10"/>
      <c r="I31" s="10"/>
      <c r="J31" s="5"/>
    </row>
    <row r="32" spans="6:10" ht="12.75">
      <c r="F32" s="5"/>
      <c r="G32" s="10"/>
      <c r="H32" s="10"/>
      <c r="I32" s="10"/>
      <c r="J32" s="5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37" right="0.31" top="0.92" bottom="0.42" header="0.18" footer="0.2"/>
  <pageSetup fitToHeight="1" fitToWidth="1" horizontalDpi="600" verticalDpi="600" orientation="landscape" scale="96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Barrett</dc:creator>
  <cp:keywords/>
  <dc:description/>
  <cp:lastModifiedBy>tom.barrett</cp:lastModifiedBy>
  <cp:lastPrinted>2012-05-28T13:50:30Z</cp:lastPrinted>
  <dcterms:created xsi:type="dcterms:W3CDTF">2004-05-20T15:36:24Z</dcterms:created>
  <dcterms:modified xsi:type="dcterms:W3CDTF">2012-05-28T13:50:41Z</dcterms:modified>
  <cp:category/>
  <cp:version/>
  <cp:contentType/>
  <cp:contentStatus/>
</cp:coreProperties>
</file>