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65" windowWidth="27570" windowHeight="6465" activeTab="0"/>
  </bookViews>
  <sheets>
    <sheet name="SMDR" sheetId="1" r:id="rId1"/>
    <sheet name="SMFA COLLECTED" sheetId="2" r:id="rId2"/>
    <sheet name="Customer Count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'SMDR'!$B$1:$T$45</definedName>
    <definedName name="_xlnm.Print_Area" localSheetId="1">'SMFA COLLECTED'!$B$1:$T$28</definedName>
  </definedNames>
  <calcPr fullCalcOnLoad="1"/>
</workbook>
</file>

<file path=xl/sharedStrings.xml><?xml version="1.0" encoding="utf-8"?>
<sst xmlns="http://schemas.openxmlformats.org/spreadsheetml/2006/main" count="108" uniqueCount="63">
  <si>
    <t>Revenue Requirement for the Historical Years</t>
  </si>
  <si>
    <t>Total</t>
  </si>
  <si>
    <t>ID and Factors</t>
  </si>
  <si>
    <t>Explanation Allocator</t>
  </si>
  <si>
    <t>Allocated per Class</t>
  </si>
  <si>
    <t>Revenue Requirement allocated to each Class before PILs</t>
  </si>
  <si>
    <t>Revenue Generated from Smart Meter Funding Adder</t>
  </si>
  <si>
    <t>Number of Metered Customers</t>
  </si>
  <si>
    <t>Number of Smart Meters Installed for each Class</t>
  </si>
  <si>
    <t>Total 2009 to 2011</t>
  </si>
  <si>
    <t>Total Return on Capital</t>
  </si>
  <si>
    <t>Amortization and interest Expense</t>
  </si>
  <si>
    <t>Grossed-up Taxes/PILs</t>
  </si>
  <si>
    <t>TOTAL REVENUE REQUIREMENT</t>
  </si>
  <si>
    <t>Smart Meter Disposition Rate Rider</t>
  </si>
  <si>
    <t>Net Deferred Revenue Requirement</t>
  </si>
  <si>
    <t>Large Use &gt;5000 kW</t>
  </si>
  <si>
    <t xml:space="preserve">Residential </t>
  </si>
  <si>
    <t>General Service &lt; 50 kW</t>
  </si>
  <si>
    <t>Smart Meter Funding Adder Revenues</t>
  </si>
  <si>
    <t>Residential</t>
  </si>
  <si>
    <t>GS &lt; 50 kW</t>
  </si>
  <si>
    <t>Other Metered Customer Classes</t>
  </si>
  <si>
    <t>Year</t>
  </si>
  <si>
    <t>Number of customers</t>
  </si>
  <si>
    <t>SMFA Revenues directly attributable to class</t>
  </si>
  <si>
    <t>Residual SMFA revenues (from other metered classes) attributed evenly</t>
  </si>
  <si>
    <t>Even allocation</t>
  </si>
  <si>
    <t>London Hydro -Smart Merter Recoveries - EB-2012-0187</t>
  </si>
  <si>
    <t xml:space="preserve">Operating Expenses </t>
  </si>
  <si>
    <t>Actual SMFA Revenues</t>
  </si>
  <si>
    <r>
      <t xml:space="preserve">Percentage of costs allocated to </t>
    </r>
    <r>
      <rPr>
        <b/>
        <sz val="10"/>
        <color indexed="10"/>
        <rFont val="Calibri"/>
        <family val="2"/>
      </rPr>
      <t>Residential and GS &lt; 50 kW</t>
    </r>
    <r>
      <rPr>
        <b/>
        <sz val="10"/>
        <color indexed="8"/>
        <rFont val="Calibri"/>
        <family val="2"/>
      </rPr>
      <t xml:space="preserve"> customer classes</t>
    </r>
  </si>
  <si>
    <t>Smart Meter Funding Adder collected by Rate Class</t>
  </si>
  <si>
    <t>Year 2006</t>
  </si>
  <si>
    <t>Year 2007</t>
  </si>
  <si>
    <t>Year 2008</t>
  </si>
  <si>
    <t>Year 2009</t>
  </si>
  <si>
    <t>Year 2010</t>
  </si>
  <si>
    <t>Year 2011</t>
  </si>
  <si>
    <t>Year 2012 - JAN - APR</t>
  </si>
  <si>
    <t>TOTAL by Rate</t>
  </si>
  <si>
    <t>TOTAL by Rate Class</t>
  </si>
  <si>
    <t xml:space="preserve">Rate class </t>
  </si>
  <si>
    <t>Rate</t>
  </si>
  <si>
    <t>No of bills</t>
  </si>
  <si>
    <t>SMFA $</t>
  </si>
  <si>
    <t>General Service &lt;50</t>
  </si>
  <si>
    <t>General Service&gt;50</t>
  </si>
  <si>
    <t>Large User</t>
  </si>
  <si>
    <t>Cogeneration</t>
  </si>
  <si>
    <t>forecast</t>
  </si>
  <si>
    <t xml:space="preserve">Additonal collected compared forecasted amount filed in Application  </t>
  </si>
  <si>
    <t>to actual results.</t>
  </si>
  <si>
    <t>Amount includes forecasted 1Q12 (as per  Application)</t>
  </si>
  <si>
    <t>Actual Amounts Collected</t>
  </si>
  <si>
    <t>2012 (to April 30th 2012)</t>
  </si>
  <si>
    <r>
      <t xml:space="preserve">Allocation of </t>
    </r>
    <r>
      <rPr>
        <sz val="10"/>
        <color indexed="10"/>
        <rFont val="Calibri"/>
        <family val="2"/>
      </rPr>
      <t>1.11%</t>
    </r>
    <r>
      <rPr>
        <sz val="10"/>
        <color indexed="8"/>
        <rFont val="Calibri"/>
        <family val="2"/>
      </rPr>
      <t xml:space="preserve"> to Res and GS &lt; 50 kW</t>
    </r>
  </si>
  <si>
    <t>General Service &gt; 50 to 4999 kW</t>
  </si>
  <si>
    <t>1Q2012</t>
  </si>
  <si>
    <t>(1Q2012)</t>
  </si>
  <si>
    <t xml:space="preserve">Revenues Generated from SMFA  including carry charges </t>
  </si>
  <si>
    <t>SMFA Actual upto April 30, 12</t>
  </si>
  <si>
    <t>Carrying Charges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</si>
</sst>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%"/>
    <numFmt numFmtId="174" formatCode="0.0000"/>
    <numFmt numFmtId="175" formatCode="#,##0.0000"/>
    <numFmt numFmtId="176" formatCode="0.00000000000000000%"/>
    <numFmt numFmtId="177" formatCode="0.0000000000000000%"/>
    <numFmt numFmtId="178" formatCode="0.000000000000000%"/>
    <numFmt numFmtId="179" formatCode="0.00000000000000%"/>
    <numFmt numFmtId="180" formatCode="0.0000000000000%"/>
    <numFmt numFmtId="181" formatCode="0.000000000000%"/>
    <numFmt numFmtId="182" formatCode="0.00000000000%"/>
    <numFmt numFmtId="183" formatCode="0.0000000000%"/>
    <numFmt numFmtId="184" formatCode="0.000000000%"/>
    <numFmt numFmtId="185" formatCode="0.00000000%"/>
    <numFmt numFmtId="186" formatCode="0.0000000%"/>
    <numFmt numFmtId="187" formatCode="0.000000%"/>
    <numFmt numFmtId="188" formatCode="0.00000%"/>
    <numFmt numFmtId="189" formatCode="0.0000%"/>
    <numFmt numFmtId="190" formatCode="0.000%"/>
    <numFmt numFmtId="191" formatCode="_(* #,##0_);_(* \(#,##0\);_(* &quot;-&quot;??_);_(@_)"/>
    <numFmt numFmtId="192" formatCode="_(&quot;$&quot;* #,##0_);_(&quot;$&quot;* \(#,##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23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double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9" fontId="4" fillId="32" borderId="10" xfId="57" applyFont="1" applyFill="1" applyBorder="1" applyAlignment="1">
      <alignment horizontal="center" vertical="center"/>
    </xf>
    <xf numFmtId="9" fontId="4" fillId="32" borderId="11" xfId="57" applyFont="1" applyFill="1" applyBorder="1" applyAlignment="1">
      <alignment horizontal="center" vertical="center"/>
    </xf>
    <xf numFmtId="41" fontId="3" fillId="32" borderId="10" xfId="0" applyNumberFormat="1" applyFont="1" applyFill="1" applyBorder="1" applyAlignment="1">
      <alignment horizontal="center" vertical="center" wrapText="1"/>
    </xf>
    <xf numFmtId="41" fontId="3" fillId="32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wrapText="1"/>
      <protection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3" fontId="5" fillId="0" borderId="0" xfId="0" applyNumberFormat="1" applyFont="1" applyAlignment="1">
      <alignment horizontal="center" wrapText="1"/>
    </xf>
    <xf numFmtId="3" fontId="6" fillId="33" borderId="0" xfId="0" applyNumberFormat="1" applyFont="1" applyFill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6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172" fontId="47" fillId="34" borderId="12" xfId="0" applyNumberFormat="1" applyFont="1" applyFill="1" applyBorder="1" applyAlignment="1">
      <alignment/>
    </xf>
    <xf numFmtId="172" fontId="48" fillId="34" borderId="12" xfId="0" applyNumberFormat="1" applyFont="1" applyFill="1" applyBorder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8" fillId="0" borderId="0" xfId="0" applyFont="1" applyAlignment="1">
      <alignment/>
    </xf>
    <xf numFmtId="0" fontId="48" fillId="0" borderId="14" xfId="0" applyFont="1" applyBorder="1" applyAlignment="1">
      <alignment wrapText="1"/>
    </xf>
    <xf numFmtId="0" fontId="48" fillId="0" borderId="14" xfId="0" applyFont="1" applyBorder="1" applyAlignment="1">
      <alignment horizontal="center"/>
    </xf>
    <xf numFmtId="0" fontId="8" fillId="4" borderId="14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wrapText="1"/>
    </xf>
    <xf numFmtId="172" fontId="8" fillId="34" borderId="12" xfId="0" applyNumberFormat="1" applyFont="1" applyFill="1" applyBorder="1" applyAlignment="1">
      <alignment/>
    </xf>
    <xf numFmtId="0" fontId="48" fillId="34" borderId="0" xfId="0" applyFont="1" applyFill="1" applyAlignment="1">
      <alignment wrapText="1"/>
    </xf>
    <xf numFmtId="0" fontId="48" fillId="34" borderId="12" xfId="0" applyFont="1" applyFill="1" applyBorder="1" applyAlignment="1">
      <alignment/>
    </xf>
    <xf numFmtId="0" fontId="48" fillId="0" borderId="12" xfId="0" applyFont="1" applyBorder="1" applyAlignment="1">
      <alignment wrapText="1"/>
    </xf>
    <xf numFmtId="172" fontId="48" fillId="0" borderId="12" xfId="0" applyNumberFormat="1" applyFont="1" applyBorder="1" applyAlignment="1">
      <alignment/>
    </xf>
    <xf numFmtId="172" fontId="8" fillId="4" borderId="12" xfId="0" applyNumberFormat="1" applyFont="1" applyFill="1" applyBorder="1" applyAlignment="1">
      <alignment/>
    </xf>
    <xf numFmtId="0" fontId="48" fillId="0" borderId="12" xfId="0" applyFont="1" applyBorder="1" applyAlignment="1">
      <alignment/>
    </xf>
    <xf numFmtId="172" fontId="48" fillId="0" borderId="12" xfId="0" applyNumberFormat="1" applyFont="1" applyBorder="1" applyAlignment="1">
      <alignment wrapText="1"/>
    </xf>
    <xf numFmtId="10" fontId="48" fillId="0" borderId="12" xfId="0" applyNumberFormat="1" applyFont="1" applyBorder="1" applyAlignment="1">
      <alignment wrapText="1"/>
    </xf>
    <xf numFmtId="172" fontId="48" fillId="35" borderId="12" xfId="0" applyNumberFormat="1" applyFont="1" applyFill="1" applyBorder="1" applyAlignment="1">
      <alignment/>
    </xf>
    <xf numFmtId="0" fontId="8" fillId="0" borderId="12" xfId="0" applyFont="1" applyBorder="1" applyAlignment="1">
      <alignment wrapText="1"/>
    </xf>
    <xf numFmtId="172" fontId="48" fillId="0" borderId="12" xfId="0" applyNumberFormat="1" applyFont="1" applyFill="1" applyBorder="1" applyAlignment="1">
      <alignment/>
    </xf>
    <xf numFmtId="3" fontId="48" fillId="0" borderId="12" xfId="0" applyNumberFormat="1" applyFont="1" applyBorder="1" applyAlignment="1">
      <alignment wrapText="1"/>
    </xf>
    <xf numFmtId="3" fontId="48" fillId="0" borderId="12" xfId="0" applyNumberFormat="1" applyFont="1" applyBorder="1" applyAlignment="1">
      <alignment/>
    </xf>
    <xf numFmtId="172" fontId="48" fillId="0" borderId="12" xfId="0" applyNumberFormat="1" applyFont="1" applyBorder="1" applyAlignment="1" applyProtection="1">
      <alignment/>
      <protection/>
    </xf>
    <xf numFmtId="172" fontId="8" fillId="0" borderId="15" xfId="0" applyNumberFormat="1" applyFont="1" applyFill="1" applyBorder="1" applyAlignment="1">
      <alignment/>
    </xf>
    <xf numFmtId="0" fontId="48" fillId="0" borderId="15" xfId="0" applyFont="1" applyBorder="1" applyAlignment="1">
      <alignment/>
    </xf>
    <xf numFmtId="172" fontId="8" fillId="0" borderId="16" xfId="0" applyNumberFormat="1" applyFont="1" applyFill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48" fillId="0" borderId="0" xfId="0" applyNumberFormat="1" applyFont="1" applyAlignment="1">
      <alignment/>
    </xf>
    <xf numFmtId="10" fontId="48" fillId="35" borderId="0" xfId="0" applyNumberFormat="1" applyFont="1" applyFill="1" applyAlignment="1">
      <alignment/>
    </xf>
    <xf numFmtId="10" fontId="48" fillId="0" borderId="14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48" fillId="33" borderId="0" xfId="0" applyFont="1" applyFill="1" applyBorder="1" applyAlignment="1">
      <alignment horizontal="right"/>
    </xf>
    <xf numFmtId="172" fontId="8" fillId="33" borderId="0" xfId="0" applyNumberFormat="1" applyFont="1" applyFill="1" applyAlignment="1">
      <alignment/>
    </xf>
    <xf numFmtId="0" fontId="48" fillId="0" borderId="0" xfId="0" applyFont="1" applyAlignment="1">
      <alignment wrapText="1"/>
    </xf>
    <xf numFmtId="10" fontId="48" fillId="33" borderId="12" xfId="57" applyNumberFormat="1" applyFont="1" applyFill="1" applyBorder="1" applyAlignment="1">
      <alignment/>
    </xf>
    <xf numFmtId="10" fontId="48" fillId="33" borderId="19" xfId="57" applyNumberFormat="1" applyFont="1" applyFill="1" applyBorder="1" applyAlignment="1">
      <alignment/>
    </xf>
    <xf numFmtId="0" fontId="48" fillId="33" borderId="0" xfId="0" applyFont="1" applyFill="1" applyAlignment="1">
      <alignment wrapText="1"/>
    </xf>
    <xf numFmtId="170" fontId="48" fillId="33" borderId="12" xfId="44" applyFont="1" applyFill="1" applyBorder="1" applyAlignment="1">
      <alignment/>
    </xf>
    <xf numFmtId="172" fontId="48" fillId="33" borderId="12" xfId="0" applyNumberFormat="1" applyFont="1" applyFill="1" applyBorder="1" applyAlignment="1">
      <alignment/>
    </xf>
    <xf numFmtId="172" fontId="8" fillId="34" borderId="0" xfId="0" applyNumberFormat="1" applyFont="1" applyFill="1" applyAlignment="1">
      <alignment/>
    </xf>
    <xf numFmtId="0" fontId="48" fillId="34" borderId="0" xfId="0" applyFont="1" applyFill="1" applyAlignment="1">
      <alignment/>
    </xf>
    <xf numFmtId="0" fontId="48" fillId="0" borderId="0" xfId="0" applyFont="1" applyAlignment="1" quotePrefix="1">
      <alignment/>
    </xf>
    <xf numFmtId="172" fontId="10" fillId="2" borderId="20" xfId="0" applyNumberFormat="1" applyFont="1" applyFill="1" applyBorder="1" applyAlignment="1">
      <alignment/>
    </xf>
    <xf numFmtId="0" fontId="11" fillId="2" borderId="17" xfId="0" applyFont="1" applyFill="1" applyBorder="1" applyAlignment="1">
      <alignment wrapText="1"/>
    </xf>
    <xf numFmtId="0" fontId="11" fillId="2" borderId="17" xfId="0" applyFont="1" applyFill="1" applyBorder="1" applyAlignment="1">
      <alignment/>
    </xf>
    <xf numFmtId="172" fontId="48" fillId="35" borderId="18" xfId="0" applyNumberFormat="1" applyFont="1" applyFill="1" applyBorder="1" applyAlignment="1">
      <alignment/>
    </xf>
    <xf numFmtId="172" fontId="7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170" fontId="8" fillId="0" borderId="0" xfId="44" applyFont="1" applyAlignment="1">
      <alignment/>
    </xf>
    <xf numFmtId="170" fontId="48" fillId="0" borderId="0" xfId="44" applyFont="1" applyAlignment="1">
      <alignment wrapText="1"/>
    </xf>
    <xf numFmtId="170" fontId="48" fillId="0" borderId="0" xfId="44" applyFont="1" applyAlignment="1">
      <alignment/>
    </xf>
    <xf numFmtId="170" fontId="48" fillId="0" borderId="0" xfId="0" applyNumberFormat="1" applyFont="1" applyAlignment="1">
      <alignment/>
    </xf>
    <xf numFmtId="10" fontId="8" fillId="0" borderId="0" xfId="57" applyNumberFormat="1" applyFont="1" applyAlignment="1">
      <alignment/>
    </xf>
    <xf numFmtId="10" fontId="48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0" fontId="12" fillId="0" borderId="0" xfId="0" applyNumberFormat="1" applyFont="1" applyAlignment="1">
      <alignment wrapText="1"/>
    </xf>
    <xf numFmtId="190" fontId="8" fillId="0" borderId="21" xfId="0" applyNumberFormat="1" applyFont="1" applyBorder="1" applyAlignment="1">
      <alignment/>
    </xf>
    <xf numFmtId="190" fontId="48" fillId="0" borderId="21" xfId="0" applyNumberFormat="1" applyFont="1" applyBorder="1" applyAlignment="1">
      <alignment wrapText="1"/>
    </xf>
    <xf numFmtId="10" fontId="8" fillId="0" borderId="0" xfId="0" applyNumberFormat="1" applyFont="1" applyAlignment="1">
      <alignment/>
    </xf>
    <xf numFmtId="10" fontId="48" fillId="0" borderId="0" xfId="0" applyNumberFormat="1" applyFont="1" applyAlignment="1">
      <alignment wrapText="1"/>
    </xf>
    <xf numFmtId="10" fontId="49" fillId="0" borderId="0" xfId="57" applyNumberFormat="1" applyFont="1" applyAlignment="1">
      <alignment/>
    </xf>
    <xf numFmtId="0" fontId="45" fillId="0" borderId="0" xfId="0" applyFont="1" applyAlignment="1">
      <alignment/>
    </xf>
    <xf numFmtId="0" fontId="45" fillId="36" borderId="22" xfId="0" applyFont="1" applyFill="1" applyBorder="1" applyAlignment="1">
      <alignment horizontal="center"/>
    </xf>
    <xf numFmtId="0" fontId="45" fillId="36" borderId="22" xfId="0" applyFont="1" applyFill="1" applyBorder="1" applyAlignment="1">
      <alignment horizontal="center" wrapText="1"/>
    </xf>
    <xf numFmtId="0" fontId="45" fillId="0" borderId="23" xfId="0" applyFont="1" applyBorder="1" applyAlignment="1">
      <alignment/>
    </xf>
    <xf numFmtId="0" fontId="45" fillId="36" borderId="24" xfId="0" applyFont="1" applyFill="1" applyBorder="1" applyAlignment="1">
      <alignment horizontal="center"/>
    </xf>
    <xf numFmtId="0" fontId="45" fillId="36" borderId="25" xfId="0" applyFont="1" applyFill="1" applyBorder="1" applyAlignment="1">
      <alignment horizontal="center"/>
    </xf>
    <xf numFmtId="0" fontId="45" fillId="36" borderId="26" xfId="0" applyFont="1" applyFill="1" applyBorder="1" applyAlignment="1">
      <alignment horizontal="center"/>
    </xf>
    <xf numFmtId="171" fontId="0" fillId="0" borderId="0" xfId="42" applyFont="1" applyAlignment="1">
      <alignment/>
    </xf>
    <xf numFmtId="191" fontId="0" fillId="0" borderId="27" xfId="42" applyNumberFormat="1" applyFont="1" applyBorder="1" applyAlignment="1">
      <alignment/>
    </xf>
    <xf numFmtId="192" fontId="0" fillId="0" borderId="28" xfId="44" applyNumberFormat="1" applyFont="1" applyBorder="1" applyAlignment="1">
      <alignment/>
    </xf>
    <xf numFmtId="191" fontId="0" fillId="0" borderId="22" xfId="42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0" fontId="0" fillId="0" borderId="23" xfId="0" applyBorder="1" applyAlignment="1">
      <alignment/>
    </xf>
    <xf numFmtId="171" fontId="0" fillId="0" borderId="23" xfId="42" applyFont="1" applyBorder="1" applyAlignment="1">
      <alignment/>
    </xf>
    <xf numFmtId="191" fontId="0" fillId="0" borderId="24" xfId="42" applyNumberFormat="1" applyFont="1" applyBorder="1" applyAlignment="1">
      <alignment/>
    </xf>
    <xf numFmtId="192" fontId="0" fillId="0" borderId="25" xfId="44" applyNumberFormat="1" applyFont="1" applyBorder="1" applyAlignment="1">
      <alignment/>
    </xf>
    <xf numFmtId="191" fontId="0" fillId="0" borderId="26" xfId="42" applyNumberFormat="1" applyFont="1" applyBorder="1" applyAlignment="1">
      <alignment/>
    </xf>
    <xf numFmtId="191" fontId="0" fillId="0" borderId="28" xfId="0" applyNumberFormat="1" applyBorder="1" applyAlignment="1">
      <alignment/>
    </xf>
    <xf numFmtId="191" fontId="0" fillId="0" borderId="25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191" fontId="45" fillId="36" borderId="29" xfId="0" applyNumberFormat="1" applyFont="1" applyFill="1" applyBorder="1" applyAlignment="1">
      <alignment/>
    </xf>
    <xf numFmtId="192" fontId="45" fillId="36" borderId="30" xfId="44" applyNumberFormat="1" applyFont="1" applyFill="1" applyBorder="1" applyAlignment="1">
      <alignment/>
    </xf>
    <xf numFmtId="192" fontId="45" fillId="36" borderId="31" xfId="44" applyNumberFormat="1" applyFont="1" applyFill="1" applyBorder="1" applyAlignment="1">
      <alignment/>
    </xf>
    <xf numFmtId="191" fontId="0" fillId="0" borderId="0" xfId="42" applyNumberFormat="1" applyFont="1" applyAlignment="1">
      <alignment/>
    </xf>
    <xf numFmtId="191" fontId="0" fillId="0" borderId="0" xfId="0" applyNumberFormat="1" applyAlignment="1">
      <alignment/>
    </xf>
    <xf numFmtId="0" fontId="50" fillId="0" borderId="0" xfId="0" applyFont="1" applyAlignment="1">
      <alignment horizontal="right"/>
    </xf>
    <xf numFmtId="192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3" fontId="0" fillId="37" borderId="0" xfId="0" applyNumberFormat="1" applyFill="1" applyAlignment="1">
      <alignment horizontal="center"/>
    </xf>
    <xf numFmtId="172" fontId="42" fillId="0" borderId="0" xfId="54" applyNumberFormat="1" applyFill="1" applyAlignment="1">
      <alignment/>
    </xf>
    <xf numFmtId="44" fontId="48" fillId="0" borderId="0" xfId="0" applyNumberFormat="1" applyFont="1" applyAlignment="1">
      <alignment/>
    </xf>
    <xf numFmtId="44" fontId="0" fillId="0" borderId="0" xfId="0" applyNumberFormat="1" applyAlignment="1">
      <alignment/>
    </xf>
    <xf numFmtId="172" fontId="40" fillId="29" borderId="1" xfId="52" applyNumberFormat="1" applyAlignment="1">
      <alignment/>
    </xf>
    <xf numFmtId="0" fontId="40" fillId="29" borderId="1" xfId="52" applyAlignment="1">
      <alignment wrapText="1"/>
    </xf>
    <xf numFmtId="10" fontId="8" fillId="0" borderId="0" xfId="57" applyNumberFormat="1" applyFont="1" applyBorder="1" applyAlignment="1">
      <alignment/>
    </xf>
    <xf numFmtId="10" fontId="49" fillId="0" borderId="0" xfId="57" applyNumberFormat="1" applyFont="1" applyBorder="1" applyAlignment="1">
      <alignment/>
    </xf>
    <xf numFmtId="10" fontId="48" fillId="0" borderId="0" xfId="0" applyNumberFormat="1" applyFont="1" applyBorder="1" applyAlignment="1">
      <alignment/>
    </xf>
    <xf numFmtId="10" fontId="12" fillId="0" borderId="0" xfId="0" applyNumberFormat="1" applyFont="1" applyBorder="1" applyAlignment="1">
      <alignment/>
    </xf>
    <xf numFmtId="10" fontId="12" fillId="0" borderId="0" xfId="0" applyNumberFormat="1" applyFont="1" applyBorder="1" applyAlignment="1">
      <alignment wrapText="1"/>
    </xf>
    <xf numFmtId="0" fontId="48" fillId="0" borderId="0" xfId="0" applyFont="1" applyBorder="1" applyAlignment="1">
      <alignment/>
    </xf>
    <xf numFmtId="190" fontId="8" fillId="0" borderId="0" xfId="0" applyNumberFormat="1" applyFont="1" applyBorder="1" applyAlignment="1">
      <alignment/>
    </xf>
    <xf numFmtId="190" fontId="48" fillId="0" borderId="0" xfId="0" applyNumberFormat="1" applyFont="1" applyBorder="1" applyAlignment="1">
      <alignment wrapText="1"/>
    </xf>
    <xf numFmtId="10" fontId="8" fillId="0" borderId="0" xfId="0" applyNumberFormat="1" applyFont="1" applyBorder="1" applyAlignment="1">
      <alignment/>
    </xf>
    <xf numFmtId="10" fontId="48" fillId="0" borderId="0" xfId="0" applyNumberFormat="1" applyFont="1" applyBorder="1" applyAlignment="1">
      <alignment wrapText="1"/>
    </xf>
    <xf numFmtId="0" fontId="48" fillId="0" borderId="0" xfId="0" applyFont="1" applyAlignment="1">
      <alignment wrapText="1"/>
    </xf>
    <xf numFmtId="172" fontId="8" fillId="0" borderId="0" xfId="0" applyNumberFormat="1" applyFont="1" applyAlignment="1">
      <alignment horizontal="center"/>
    </xf>
    <xf numFmtId="172" fontId="48" fillId="0" borderId="0" xfId="0" applyNumberFormat="1" applyFont="1" applyAlignment="1">
      <alignment wrapText="1"/>
    </xf>
    <xf numFmtId="172" fontId="48" fillId="0" borderId="0" xfId="0" applyNumberFormat="1" applyFont="1" applyAlignment="1">
      <alignment horizontal="center"/>
    </xf>
    <xf numFmtId="172" fontId="8" fillId="0" borderId="33" xfId="0" applyNumberFormat="1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8" fillId="0" borderId="20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 applyProtection="1">
      <alignment horizontal="right"/>
      <protection/>
    </xf>
    <xf numFmtId="0" fontId="48" fillId="33" borderId="0" xfId="0" applyFont="1" applyFill="1" applyAlignment="1">
      <alignment wrapText="1"/>
    </xf>
    <xf numFmtId="0" fontId="48" fillId="0" borderId="34" xfId="0" applyFont="1" applyBorder="1" applyAlignment="1">
      <alignment wrapText="1"/>
    </xf>
    <xf numFmtId="0" fontId="48" fillId="33" borderId="21" xfId="0" applyFont="1" applyFill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35" xfId="0" applyFont="1" applyBorder="1" applyAlignment="1">
      <alignment wrapText="1"/>
    </xf>
    <xf numFmtId="0" fontId="48" fillId="33" borderId="0" xfId="0" applyFont="1" applyFill="1" applyBorder="1" applyAlignment="1">
      <alignment horizontal="left"/>
    </xf>
    <xf numFmtId="0" fontId="45" fillId="36" borderId="27" xfId="0" applyFont="1" applyFill="1" applyBorder="1" applyAlignment="1">
      <alignment horizontal="center"/>
    </xf>
    <xf numFmtId="0" fontId="45" fillId="36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Cost%20Allocation\CA%20New%20Model\Guelph_APPL_CA_Model_v2_July%2028_201108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ondonHydro_smart_meter_model_REvised%20!RR_2012052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egulatory%20files\Smart%20Meters\2012%20Smart%20Meter%20Rate%20Application\SM%20Application%20Corrected%20-%20Filed%2002%20APR%2012\Tables%20for%202012%20Smart%20Meter%20Recovery%20Application%20UPDATED%20IRR%20May%20201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ondonHydro_Appendix%20A_smart_meter_model_Revised%20IRR2_201205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Guelph_APPL_CA_Model_v2_July 28"/>
    </sheetNames>
    <sheetDataSet>
      <sheetData sheetId="2">
        <row r="20">
          <cell r="C20" t="str">
            <v>Residential</v>
          </cell>
          <cell r="D20" t="str">
            <v>Residential</v>
          </cell>
        </row>
        <row r="21">
          <cell r="C21" t="str">
            <v>GS &lt;50</v>
          </cell>
          <cell r="D21" t="str">
            <v>General Service Less than 50 kW</v>
          </cell>
        </row>
      </sheetData>
      <sheetData sheetId="29">
        <row r="93">
          <cell r="A93" t="str">
            <v>Weighted Meter -Capital </v>
          </cell>
          <cell r="B93" t="str">
            <v>CWMC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</sheetNames>
    <sheetDataSet>
      <sheetData sheetId="4">
        <row r="47">
          <cell r="I47">
            <v>66.12795</v>
          </cell>
          <cell r="K47">
            <v>1109.9212874999998</v>
          </cell>
          <cell r="M47">
            <v>161512.55918587928</v>
          </cell>
          <cell r="O47">
            <v>836393.032577586</v>
          </cell>
          <cell r="Q47">
            <v>1384926.887458576</v>
          </cell>
        </row>
        <row r="50">
          <cell r="I50">
            <v>5998</v>
          </cell>
          <cell r="K50">
            <v>101711</v>
          </cell>
          <cell r="M50">
            <v>113349.01999999999</v>
          </cell>
          <cell r="O50">
            <v>422882.262</v>
          </cell>
          <cell r="Q50">
            <v>162770.95029999997</v>
          </cell>
        </row>
        <row r="58">
          <cell r="I58">
            <v>0</v>
          </cell>
          <cell r="M58">
            <v>151854.2515238095</v>
          </cell>
          <cell r="O58">
            <v>804882.1334047618</v>
          </cell>
          <cell r="Q58">
            <v>1942100.2187380951</v>
          </cell>
        </row>
        <row r="68">
          <cell r="I68">
            <v>20.603242673763447</v>
          </cell>
          <cell r="K68">
            <v>293.9772916353364</v>
          </cell>
          <cell r="M68">
            <v>-147888.96606057195</v>
          </cell>
          <cell r="O68">
            <v>-357339.31532406574</v>
          </cell>
          <cell r="Q68">
            <v>-284194.23448566475</v>
          </cell>
        </row>
      </sheetData>
      <sheetData sheetId="10">
        <row r="30">
          <cell r="I30">
            <v>6084.731192673764</v>
          </cell>
          <cell r="K30">
            <v>103114.89857913533</v>
          </cell>
          <cell r="M30">
            <v>278826.8646491168</v>
          </cell>
          <cell r="O30">
            <v>1706818.112658282</v>
          </cell>
          <cell r="Q30">
            <v>3205603.822011006</v>
          </cell>
        </row>
        <row r="32">
          <cell r="I32">
            <v>0</v>
          </cell>
          <cell r="K32">
            <v>940.8337468333334</v>
          </cell>
          <cell r="M32">
            <v>1745.111444101852</v>
          </cell>
          <cell r="O32">
            <v>8890.822315381482</v>
          </cell>
          <cell r="Q32">
            <v>36508.50156981222</v>
          </cell>
        </row>
        <row r="42">
          <cell r="G42">
            <v>2954.1099999999997</v>
          </cell>
          <cell r="I42">
            <v>22476.25</v>
          </cell>
          <cell r="K42">
            <v>36197.69</v>
          </cell>
          <cell r="M42">
            <v>15038.519999999999</v>
          </cell>
          <cell r="O42">
            <v>22438.729999999996</v>
          </cell>
          <cell r="Q42">
            <v>66805.9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dit"/>
      <sheetName val="SM Costs"/>
      <sheetName val="Sector Compare"/>
      <sheetName val="SM IMPL"/>
      <sheetName val="IRM 2011"/>
      <sheetName val="Sum SM Costs"/>
      <sheetName val="SM True Up"/>
      <sheetName val="SMDR"/>
      <sheetName val="SMIRR"/>
      <sheetName val="BillImp"/>
      <sheetName val="Res Cur"/>
      <sheetName val="GS under 50 Cur"/>
      <sheetName val="Res Appl"/>
      <sheetName val="GS under 50 Appl"/>
      <sheetName val="Motion"/>
      <sheetName val="Sheet1"/>
    </sheetNames>
    <sheetDataSet>
      <sheetData sheetId="7">
        <row r="8">
          <cell r="D8">
            <v>0.8212823880906222</v>
          </cell>
        </row>
        <row r="10">
          <cell r="D10">
            <v>134658</v>
          </cell>
          <cell r="E10">
            <v>11779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</sheetNames>
    <sheetDataSet>
      <sheetData sheetId="10">
        <row r="42">
          <cell r="S42">
            <v>30315.18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80" zoomScaleNormal="80" zoomScalePageLayoutView="0" workbookViewId="0" topLeftCell="A7">
      <selection activeCell="Q27" sqref="Q27"/>
    </sheetView>
  </sheetViews>
  <sheetFormatPr defaultColWidth="9.140625" defaultRowHeight="15"/>
  <cols>
    <col min="1" max="1" width="4.140625" style="0" customWidth="1"/>
    <col min="2" max="2" width="25.00390625" style="19" customWidth="1"/>
    <col min="3" max="6" width="12.7109375" style="20" customWidth="1"/>
    <col min="7" max="7" width="15.140625" style="21" customWidth="1"/>
    <col min="8" max="8" width="13.421875" style="19" customWidth="1"/>
    <col min="9" max="9" width="16.421875" style="20" customWidth="1"/>
    <col min="10" max="10" width="15.7109375" style="20" bestFit="1" customWidth="1"/>
    <col min="11" max="11" width="15.140625" style="20" customWidth="1"/>
    <col min="12" max="12" width="14.421875" style="20" customWidth="1"/>
    <col min="13" max="13" width="13.7109375" style="20" customWidth="1"/>
    <col min="14" max="14" width="13.421875" style="20" customWidth="1"/>
    <col min="15" max="15" width="14.57421875" style="0" customWidth="1"/>
    <col min="16" max="16" width="15.140625" style="0" hidden="1" customWidth="1"/>
    <col min="17" max="17" width="15.140625" style="0" customWidth="1"/>
    <col min="18" max="20" width="15.57421875" style="0" customWidth="1"/>
    <col min="23" max="23" width="15.140625" style="0" bestFit="1" customWidth="1"/>
  </cols>
  <sheetData>
    <row r="1" spans="2:9" ht="26.25">
      <c r="B1" s="19" t="s">
        <v>28</v>
      </c>
      <c r="G1" s="20"/>
      <c r="H1" s="21"/>
      <c r="I1" s="19"/>
    </row>
    <row r="2" spans="7:10" ht="15.75" thickBot="1">
      <c r="G2" s="20"/>
      <c r="H2" s="20"/>
      <c r="I2" s="21"/>
      <c r="J2" s="19"/>
    </row>
    <row r="3" spans="2:14" ht="38.25">
      <c r="B3" s="22"/>
      <c r="C3" s="23">
        <v>2007</v>
      </c>
      <c r="D3" s="23">
        <v>2008</v>
      </c>
      <c r="E3" s="23">
        <v>2009</v>
      </c>
      <c r="F3" s="23">
        <v>2010</v>
      </c>
      <c r="G3" s="23">
        <v>2011</v>
      </c>
      <c r="H3" s="23"/>
      <c r="I3" s="24" t="s">
        <v>9</v>
      </c>
      <c r="J3" s="8" t="s">
        <v>3</v>
      </c>
      <c r="K3" s="9" t="s">
        <v>2</v>
      </c>
      <c r="L3" s="3" t="s">
        <v>1</v>
      </c>
      <c r="M3" s="5" t="str">
        <f>IF('[1]I2 LDC class'!$D$20="",'[1]I2 LDC class'!$C$20,'[1]I2 LDC class'!$D$20)</f>
        <v>Residential</v>
      </c>
      <c r="N3" s="5" t="str">
        <f>IF('[1]I2 LDC class'!$D$21="",'[1]I2 LDC class'!$C$21,'[1]I2 LDC class'!$D$21)</f>
        <v>General Service Less than 50 kW</v>
      </c>
    </row>
    <row r="4" spans="2:14" ht="26.25">
      <c r="B4" s="25" t="s">
        <v>0</v>
      </c>
      <c r="C4" s="18">
        <f>+'[2]9. SMFA_SMDR_SMIRR'!$I$30+'[2]9. SMFA_SMDR_SMIRR'!$I$32</f>
        <v>6084.731192673764</v>
      </c>
      <c r="D4" s="18">
        <f>+'[2]9. SMFA_SMDR_SMIRR'!$K$30+'[2]9. SMFA_SMDR_SMIRR'!$K$32</f>
        <v>104055.73232596867</v>
      </c>
      <c r="E4" s="18">
        <f>+'[2]9. SMFA_SMDR_SMIRR'!$M$30+'[2]9. SMFA_SMDR_SMIRR'!$M$32</f>
        <v>280571.97609321866</v>
      </c>
      <c r="F4" s="17">
        <f>+'[2]9. SMFA_SMDR_SMIRR'!$O$30+'[2]9. SMFA_SMDR_SMIRR'!$O$32</f>
        <v>1715708.9349736634</v>
      </c>
      <c r="G4" s="18">
        <f>+'[2]9. SMFA_SMDR_SMIRR'!$Q$30+'[2]9. SMFA_SMDR_SMIRR'!$Q$32</f>
        <v>3242112.3235808183</v>
      </c>
      <c r="H4" s="18"/>
      <c r="I4" s="26">
        <f>SUM(C4:G4)</f>
        <v>5348533.698166342</v>
      </c>
      <c r="J4" s="27"/>
      <c r="K4" s="28"/>
      <c r="L4" s="28"/>
      <c r="M4" s="28"/>
      <c r="N4" s="28"/>
    </row>
    <row r="5" spans="2:14" ht="15">
      <c r="B5" s="29"/>
      <c r="C5" s="30"/>
      <c r="D5" s="30"/>
      <c r="E5" s="30"/>
      <c r="F5" s="30"/>
      <c r="G5" s="30"/>
      <c r="H5" s="30"/>
      <c r="I5" s="31"/>
      <c r="J5" s="19"/>
      <c r="K5" s="32"/>
      <c r="L5" s="32"/>
      <c r="M5" s="32"/>
      <c r="N5" s="32"/>
    </row>
    <row r="6" spans="2:14" s="2" customFormat="1" ht="26.25">
      <c r="B6" s="7" t="s">
        <v>10</v>
      </c>
      <c r="C6" s="33">
        <f>+'[2]5. SM_Rev_Reqt'!$I$47</f>
        <v>66.12795</v>
      </c>
      <c r="D6" s="33">
        <f>+'[2]5. SM_Rev_Reqt'!$K$47</f>
        <v>1109.9212874999998</v>
      </c>
      <c r="E6" s="33">
        <f>+'[2]5. SM_Rev_Reqt'!$M$47</f>
        <v>161512.55918587928</v>
      </c>
      <c r="F6" s="33">
        <f>+'[2]5. SM_Rev_Reqt'!$O$47</f>
        <v>836393.032577586</v>
      </c>
      <c r="G6" s="33">
        <f>+'[2]5. SM_Rev_Reqt'!$Q$47</f>
        <v>1384926.887458576</v>
      </c>
      <c r="H6" s="33"/>
      <c r="I6" s="26">
        <f>SUM(C6:G6)</f>
        <v>2384008.528459541</v>
      </c>
      <c r="J6" s="19" t="str">
        <f>'[1]E2 Allocators'!A93</f>
        <v>Weighted Meter -Capital </v>
      </c>
      <c r="K6" s="29" t="str">
        <f>'[1]E2 Allocators'!B93</f>
        <v>CWMC</v>
      </c>
      <c r="L6" s="34">
        <f aca="true" t="shared" si="0" ref="L6:L13">SUM(M6:N6)</f>
        <v>1</v>
      </c>
      <c r="M6" s="34">
        <f>+'[3]SMDR'!$D$8</f>
        <v>0.8212823880906222</v>
      </c>
      <c r="N6" s="34">
        <f>100%-M6</f>
        <v>0.17871761190937785</v>
      </c>
    </row>
    <row r="7" spans="2:14" ht="15">
      <c r="B7" s="29"/>
      <c r="C7" s="30"/>
      <c r="D7" s="30"/>
      <c r="E7" s="30"/>
      <c r="F7" s="30"/>
      <c r="G7" s="30"/>
      <c r="H7" s="30"/>
      <c r="I7" s="26" t="s">
        <v>4</v>
      </c>
      <c r="J7" s="27"/>
      <c r="K7" s="32"/>
      <c r="L7" s="35">
        <f t="shared" si="0"/>
        <v>2384008.528459541</v>
      </c>
      <c r="M7" s="30">
        <f>M6*$I$6</f>
        <v>1957944.2174816618</v>
      </c>
      <c r="N7" s="30">
        <f>N6*$I$6</f>
        <v>426064.3109778792</v>
      </c>
    </row>
    <row r="8" spans="2:14" ht="26.25">
      <c r="B8" s="36" t="s">
        <v>11</v>
      </c>
      <c r="C8" s="30">
        <f>+'[2]5. SM_Rev_Reqt'!$I$58+'[2]9. SMFA_SMDR_SMIRR'!$I$32</f>
        <v>0</v>
      </c>
      <c r="D8" s="30">
        <f>+'[2]9. SMFA_SMDR_SMIRR'!$K$32</f>
        <v>940.8337468333334</v>
      </c>
      <c r="E8" s="30">
        <f>+'[2]5. SM_Rev_Reqt'!$M$58+'[2]9. SMFA_SMDR_SMIRR'!$M$32</f>
        <v>153599.36296791135</v>
      </c>
      <c r="F8" s="30">
        <f>+'[2]5. SM_Rev_Reqt'!$O$58+'[2]9. SMFA_SMDR_SMIRR'!$O$32</f>
        <v>813772.9557201433</v>
      </c>
      <c r="G8" s="37">
        <f>+'[2]5. SM_Rev_Reqt'!$Q$58+'[2]9. SMFA_SMDR_SMIRR'!$Q$32</f>
        <v>1978608.7203079073</v>
      </c>
      <c r="H8" s="30"/>
      <c r="I8" s="26">
        <f>SUM(C8:G8)</f>
        <v>2946921.8727427954</v>
      </c>
      <c r="J8" s="19" t="str">
        <f>J6</f>
        <v>Weighted Meter -Capital </v>
      </c>
      <c r="K8" s="29" t="str">
        <f>K6</f>
        <v>CWMC</v>
      </c>
      <c r="L8" s="34">
        <f t="shared" si="0"/>
        <v>1</v>
      </c>
      <c r="M8" s="34">
        <f>M6</f>
        <v>0.8212823880906222</v>
      </c>
      <c r="N8" s="34">
        <f>N6</f>
        <v>0.17871761190937785</v>
      </c>
    </row>
    <row r="9" spans="2:14" ht="15">
      <c r="B9" s="29"/>
      <c r="C9" s="30"/>
      <c r="D9" s="30"/>
      <c r="E9" s="30"/>
      <c r="F9" s="30"/>
      <c r="G9" s="30"/>
      <c r="H9" s="30"/>
      <c r="I9" s="26" t="s">
        <v>4</v>
      </c>
      <c r="J9" s="27"/>
      <c r="K9" s="32"/>
      <c r="L9" s="35">
        <f t="shared" si="0"/>
        <v>2946921.8727427954</v>
      </c>
      <c r="M9" s="30">
        <f>$I$8*M8</f>
        <v>2420255.0331626916</v>
      </c>
      <c r="N9" s="30">
        <f>$I$8*N8</f>
        <v>526666.8395801039</v>
      </c>
    </row>
    <row r="10" spans="2:14" ht="39">
      <c r="B10" s="7" t="s">
        <v>29</v>
      </c>
      <c r="C10" s="30">
        <f>+'[2]5. SM_Rev_Reqt'!$I$50</f>
        <v>5998</v>
      </c>
      <c r="D10" s="30">
        <f>+'[2]5. SM_Rev_Reqt'!$K$50</f>
        <v>101711</v>
      </c>
      <c r="E10" s="30">
        <f>+'[2]5. SM_Rev_Reqt'!$M$50</f>
        <v>113349.01999999999</v>
      </c>
      <c r="F10" s="30">
        <f>+'[2]5. SM_Rev_Reqt'!$O$50</f>
        <v>422882.262</v>
      </c>
      <c r="G10" s="37">
        <f>+'[2]5. SM_Rev_Reqt'!$Q$50</f>
        <v>162770.95029999997</v>
      </c>
      <c r="H10" s="30"/>
      <c r="I10" s="26">
        <f>SUM(C10:G10)</f>
        <v>806711.2323</v>
      </c>
      <c r="J10" s="19" t="s">
        <v>8</v>
      </c>
      <c r="K10" s="32"/>
      <c r="L10" s="38">
        <f t="shared" si="0"/>
        <v>146437</v>
      </c>
      <c r="M10" s="39">
        <f>+'[3]SMDR'!$D$10</f>
        <v>134658</v>
      </c>
      <c r="N10" s="39">
        <f>+'[3]SMDR'!$E$10</f>
        <v>11779</v>
      </c>
    </row>
    <row r="11" spans="2:14" ht="15">
      <c r="B11" s="29"/>
      <c r="C11" s="30"/>
      <c r="D11" s="30"/>
      <c r="E11" s="30"/>
      <c r="F11" s="30"/>
      <c r="G11" s="30"/>
      <c r="H11" s="30"/>
      <c r="I11" s="26" t="s">
        <v>4</v>
      </c>
      <c r="J11" s="27"/>
      <c r="K11" s="32"/>
      <c r="L11" s="35">
        <f t="shared" si="0"/>
        <v>806711.2323</v>
      </c>
      <c r="M11" s="30">
        <f>$I$10/$L$10*M10</f>
        <v>741821.5418169821</v>
      </c>
      <c r="N11" s="30">
        <f>$I$10/$L$10*N10</f>
        <v>64889.690483017956</v>
      </c>
    </row>
    <row r="12" spans="2:14" ht="51.75">
      <c r="B12" s="7" t="s">
        <v>12</v>
      </c>
      <c r="C12" s="40">
        <f>+'[2]5. SM_Rev_Reqt'!$I$68</f>
        <v>20.603242673763447</v>
      </c>
      <c r="D12" s="40">
        <f>+'[2]5. SM_Rev_Reqt'!$K$68</f>
        <v>293.9772916353364</v>
      </c>
      <c r="E12" s="40">
        <f>+'[2]5. SM_Rev_Reqt'!$M$68</f>
        <v>-147888.96606057195</v>
      </c>
      <c r="F12" s="40">
        <f>+'[2]5. SM_Rev_Reqt'!$O$68</f>
        <v>-357339.31532406574</v>
      </c>
      <c r="G12" s="37">
        <f>+'[2]5. SM_Rev_Reqt'!$Q$68</f>
        <v>-284194.23448566475</v>
      </c>
      <c r="H12" s="30"/>
      <c r="I12" s="26">
        <f>SUM(C12:G12)</f>
        <v>-789107.9353359933</v>
      </c>
      <c r="J12" s="19" t="s">
        <v>5</v>
      </c>
      <c r="K12" s="32"/>
      <c r="L12" s="37">
        <f t="shared" si="0"/>
        <v>6137641.633502336</v>
      </c>
      <c r="M12" s="30">
        <f>M7+M9+M11</f>
        <v>5120020.792461336</v>
      </c>
      <c r="N12" s="30">
        <f>N7+N9+N11</f>
        <v>1017620.841041001</v>
      </c>
    </row>
    <row r="13" spans="2:14" ht="15">
      <c r="B13" s="29"/>
      <c r="C13" s="30"/>
      <c r="D13" s="30"/>
      <c r="E13" s="30"/>
      <c r="F13" s="30"/>
      <c r="G13" s="30"/>
      <c r="H13" s="30"/>
      <c r="I13" s="26" t="s">
        <v>4</v>
      </c>
      <c r="J13" s="27"/>
      <c r="K13" s="32"/>
      <c r="L13" s="35">
        <f t="shared" si="0"/>
        <v>-789107.9353359933</v>
      </c>
      <c r="M13" s="30">
        <f>$I$12/$L$12*M12</f>
        <v>-658273.8578875001</v>
      </c>
      <c r="N13" s="30">
        <f>$I$12/$L$12*N12</f>
        <v>-130834.07744849325</v>
      </c>
    </row>
    <row r="14" spans="2:14" ht="39" thickBot="1">
      <c r="B14" s="29"/>
      <c r="C14" s="30"/>
      <c r="D14" s="30"/>
      <c r="E14" s="30"/>
      <c r="F14" s="30"/>
      <c r="G14" s="30"/>
      <c r="H14" s="30"/>
      <c r="I14" s="41"/>
      <c r="J14" s="19"/>
      <c r="K14" s="42"/>
      <c r="L14" s="4" t="s">
        <v>1</v>
      </c>
      <c r="M14" s="6" t="str">
        <f>IF('[1]I2 LDC class'!$D$20="",'[1]I2 LDC class'!$C$20,'[1]I2 LDC class'!$D$20)</f>
        <v>Residential</v>
      </c>
      <c r="N14" s="6" t="str">
        <f>IF('[1]I2 LDC class'!$D$21="",'[1]I2 LDC class'!$C$21,'[1]I2 LDC class'!$D$21)</f>
        <v>General Service Less than 50 kW</v>
      </c>
    </row>
    <row r="15" spans="2:14" s="1" customFormat="1" ht="15.75" thickBot="1">
      <c r="B15" s="134" t="s">
        <v>13</v>
      </c>
      <c r="C15" s="135"/>
      <c r="D15" s="135"/>
      <c r="E15" s="135"/>
      <c r="F15" s="136"/>
      <c r="G15" s="43">
        <f>I6+I8+I10+I12</f>
        <v>5348533.698166342</v>
      </c>
      <c r="H15" s="44"/>
      <c r="I15" s="45"/>
      <c r="J15" s="46">
        <f>+L7+L9+L11+L13</f>
        <v>5348533.698166342</v>
      </c>
      <c r="K15" s="46">
        <f>+M7+M9+M11+M13</f>
        <v>4461746.934573836</v>
      </c>
      <c r="L15" s="46">
        <f>+N7+N9+N11+N13</f>
        <v>886786.7635925078</v>
      </c>
      <c r="M15" s="21"/>
      <c r="N15" s="21"/>
    </row>
    <row r="16" spans="3:12" ht="28.5" customHeight="1">
      <c r="C16" s="47"/>
      <c r="D16" s="47"/>
      <c r="E16" s="47"/>
      <c r="F16" s="47"/>
      <c r="G16" s="132" t="s">
        <v>31</v>
      </c>
      <c r="H16" s="133"/>
      <c r="I16" s="133"/>
      <c r="J16" s="48">
        <f>SUM(K16:L16)</f>
        <v>1.0000000000000002</v>
      </c>
      <c r="K16" s="49">
        <f>K15/J15</f>
        <v>0.834200023102308</v>
      </c>
      <c r="L16" s="49">
        <f>L15/J15</f>
        <v>0.16579997689769221</v>
      </c>
    </row>
    <row r="17" spans="2:12" ht="15">
      <c r="B17" s="137" t="s">
        <v>6</v>
      </c>
      <c r="C17" s="137"/>
      <c r="D17" s="137"/>
      <c r="E17" s="137"/>
      <c r="F17" s="137"/>
      <c r="G17" s="50">
        <f>+J40+N40-0.33</f>
        <v>6941294.72723406</v>
      </c>
      <c r="K17" s="30"/>
      <c r="L17" s="30"/>
    </row>
    <row r="18" spans="1:12" ht="15">
      <c r="A18" s="10"/>
      <c r="B18" s="51"/>
      <c r="C18" s="51"/>
      <c r="D18" s="51"/>
      <c r="E18" s="51"/>
      <c r="F18" s="51"/>
      <c r="G18" s="52"/>
      <c r="H18" s="139" t="s">
        <v>25</v>
      </c>
      <c r="I18" s="128"/>
      <c r="J18" s="140"/>
      <c r="K18" s="54">
        <f>+Q41</f>
        <v>0.9072995035312131</v>
      </c>
      <c r="L18" s="54">
        <f>+R41</f>
        <v>0.08163258007073905</v>
      </c>
    </row>
    <row r="19" spans="1:12" ht="30.75" customHeight="1" thickBot="1">
      <c r="A19" s="10"/>
      <c r="B19" s="51"/>
      <c r="C19" s="51"/>
      <c r="D19" s="51"/>
      <c r="E19" s="51"/>
      <c r="F19" s="51"/>
      <c r="G19" s="52"/>
      <c r="H19" s="141" t="s">
        <v>26</v>
      </c>
      <c r="I19" s="142"/>
      <c r="J19" s="143"/>
      <c r="K19" s="55">
        <f>+Q44</f>
        <v>0.005533958199023851</v>
      </c>
      <c r="L19" s="55">
        <f>+R44</f>
        <v>0.005533958199023851</v>
      </c>
    </row>
    <row r="20" spans="1:12" ht="15" customHeight="1" thickTop="1">
      <c r="A20" s="10"/>
      <c r="B20" s="51"/>
      <c r="C20" s="51"/>
      <c r="D20" s="51"/>
      <c r="E20" s="51"/>
      <c r="F20" s="51"/>
      <c r="G20" s="52"/>
      <c r="H20" s="56" t="s">
        <v>1</v>
      </c>
      <c r="I20" s="56"/>
      <c r="J20" s="56"/>
      <c r="K20" s="54">
        <f>SUM(K18:K19)</f>
        <v>0.9128334617302369</v>
      </c>
      <c r="L20" s="54">
        <f>L18+L19</f>
        <v>0.0871665382697629</v>
      </c>
    </row>
    <row r="21" spans="1:12" ht="15" customHeight="1">
      <c r="A21" s="10"/>
      <c r="B21" s="51"/>
      <c r="C21" s="144" t="s">
        <v>60</v>
      </c>
      <c r="D21" s="144"/>
      <c r="E21" s="144"/>
      <c r="F21" s="144"/>
      <c r="G21" s="52">
        <f>G17</f>
        <v>6941294.72723406</v>
      </c>
      <c r="H21" s="116" t="s">
        <v>61</v>
      </c>
      <c r="I21" s="117"/>
      <c r="J21" s="56"/>
      <c r="K21" s="57">
        <f>K20*G21</f>
        <v>6336246.094750907</v>
      </c>
      <c r="L21" s="58">
        <f>G21*L20</f>
        <v>605048.632483151</v>
      </c>
    </row>
    <row r="22" spans="2:12" ht="15">
      <c r="B22" s="138" t="s">
        <v>15</v>
      </c>
      <c r="C22" s="137"/>
      <c r="D22" s="137"/>
      <c r="E22" s="137"/>
      <c r="F22" s="137"/>
      <c r="G22" s="50">
        <f>G15-G17</f>
        <v>-1592761.0290677175</v>
      </c>
      <c r="K22" s="32"/>
      <c r="L22" s="32"/>
    </row>
    <row r="23" spans="3:12" ht="15">
      <c r="C23" s="47"/>
      <c r="D23" s="47"/>
      <c r="E23" s="113"/>
      <c r="F23" s="113"/>
      <c r="G23" s="59" t="s">
        <v>4</v>
      </c>
      <c r="H23" s="27"/>
      <c r="I23" s="60"/>
      <c r="J23" s="47">
        <f>K23+L23</f>
        <v>-1592761.0290677147</v>
      </c>
      <c r="K23" s="30">
        <f>K15-K21</f>
        <v>-1874499.1601770716</v>
      </c>
      <c r="L23" s="30">
        <f>L15-L21</f>
        <v>281738.13110935676</v>
      </c>
    </row>
    <row r="24" spans="3:12" ht="15.75" thickBot="1">
      <c r="C24" s="47"/>
      <c r="D24" s="47"/>
      <c r="E24" s="47"/>
      <c r="F24" s="47"/>
      <c r="G24" s="50" t="s">
        <v>7</v>
      </c>
      <c r="I24" s="61" t="s">
        <v>59</v>
      </c>
      <c r="K24" s="39">
        <f>+C38</f>
        <v>135101</v>
      </c>
      <c r="L24" s="39">
        <f>+D38</f>
        <v>11986</v>
      </c>
    </row>
    <row r="25" spans="3:12" ht="15.75" thickBot="1">
      <c r="C25" s="47"/>
      <c r="D25" s="47"/>
      <c r="E25" s="47"/>
      <c r="F25" s="62" t="s">
        <v>14</v>
      </c>
      <c r="G25" s="63"/>
      <c r="H25" s="64"/>
      <c r="I25" s="64"/>
      <c r="J25" s="64"/>
      <c r="K25" s="65">
        <f>K23/K24/12</f>
        <v>-1.1562332132855369</v>
      </c>
      <c r="L25" s="65">
        <f>L23/L24/12</f>
        <v>1.958800066114333</v>
      </c>
    </row>
    <row r="26" spans="3:7" ht="15">
      <c r="C26" s="47"/>
      <c r="D26" s="47"/>
      <c r="E26" s="47"/>
      <c r="F26" s="47"/>
      <c r="G26" s="50"/>
    </row>
    <row r="27" spans="2:7" ht="29.25" customHeight="1">
      <c r="B27" s="128"/>
      <c r="C27" s="128"/>
      <c r="D27" s="128"/>
      <c r="E27" s="128"/>
      <c r="F27" s="47"/>
      <c r="G27" s="50"/>
    </row>
    <row r="28" spans="3:7" ht="15">
      <c r="C28" s="47"/>
      <c r="D28" s="47"/>
      <c r="E28" s="47"/>
      <c r="F28" s="47"/>
      <c r="G28" s="50"/>
    </row>
    <row r="29" spans="2:20" ht="26.25">
      <c r="B29" s="19" t="s">
        <v>19</v>
      </c>
      <c r="C29" s="131" t="s">
        <v>24</v>
      </c>
      <c r="D29" s="131"/>
      <c r="E29" s="131"/>
      <c r="F29" s="47"/>
      <c r="G29" s="129" t="s">
        <v>30</v>
      </c>
      <c r="H29" s="129"/>
      <c r="I29" s="129"/>
      <c r="K29" s="20" t="s">
        <v>62</v>
      </c>
      <c r="Q29" s="129" t="s">
        <v>1</v>
      </c>
      <c r="R29" s="129"/>
      <c r="S29" s="129"/>
      <c r="T29" s="20"/>
    </row>
    <row r="30" spans="2:20" ht="15">
      <c r="B30" s="19" t="s">
        <v>23</v>
      </c>
      <c r="C30" s="47" t="s">
        <v>20</v>
      </c>
      <c r="D30" s="47" t="s">
        <v>21</v>
      </c>
      <c r="E30" s="130" t="s">
        <v>22</v>
      </c>
      <c r="F30" s="47"/>
      <c r="G30" s="66" t="s">
        <v>20</v>
      </c>
      <c r="H30" s="19" t="s">
        <v>21</v>
      </c>
      <c r="I30" s="128" t="s">
        <v>22</v>
      </c>
      <c r="J30" s="20" t="s">
        <v>1</v>
      </c>
      <c r="K30" s="66" t="s">
        <v>20</v>
      </c>
      <c r="L30" s="53" t="s">
        <v>21</v>
      </c>
      <c r="M30" s="128" t="s">
        <v>22</v>
      </c>
      <c r="N30" s="20" t="s">
        <v>1</v>
      </c>
      <c r="Q30" s="66" t="s">
        <v>20</v>
      </c>
      <c r="R30" s="53" t="s">
        <v>21</v>
      </c>
      <c r="S30" s="128" t="s">
        <v>22</v>
      </c>
      <c r="T30" s="20" t="s">
        <v>1</v>
      </c>
    </row>
    <row r="31" spans="5:20" ht="15">
      <c r="E31" s="128"/>
      <c r="I31" s="128"/>
      <c r="K31" s="21"/>
      <c r="L31" s="53"/>
      <c r="M31" s="128"/>
      <c r="Q31" s="21"/>
      <c r="R31" s="53"/>
      <c r="S31" s="128"/>
      <c r="T31" s="20"/>
    </row>
    <row r="32" spans="2:20" ht="15">
      <c r="B32" s="19">
        <v>2006</v>
      </c>
      <c r="C32" s="67">
        <f>+'Customer Count'!B4</f>
        <v>126817</v>
      </c>
      <c r="D32" s="67">
        <f>+'Customer Count'!C4</f>
        <v>11879</v>
      </c>
      <c r="E32" s="67">
        <f>+'Customer Count'!D4+'Customer Count'!E4</f>
        <v>1620</v>
      </c>
      <c r="G32" s="68">
        <f>+'SMFA COLLECTED'!E5</f>
        <v>233045.66914999997</v>
      </c>
      <c r="H32" s="69">
        <f>+'SMFA COLLECTED'!E8</f>
        <v>21854.618199566157</v>
      </c>
      <c r="I32" s="70">
        <f>+'SMFA COLLECTED'!E11+'SMFA COLLECTED'!E14+'SMFA COLLECTED'!E17</f>
        <v>2949.496936933136</v>
      </c>
      <c r="J32" s="71">
        <f>SUM(G32:I32)</f>
        <v>257849.78428649926</v>
      </c>
      <c r="K32" s="70">
        <f>+G32/J32*P32</f>
        <v>2669.936465518899</v>
      </c>
      <c r="L32" s="70">
        <f>+H32/J32*P32</f>
        <v>250.38200574093216</v>
      </c>
      <c r="M32" s="114">
        <f>+I32/J32*P32</f>
        <v>33.79152874016873</v>
      </c>
      <c r="N32" s="71">
        <f>SUM(K32:M32)</f>
        <v>2954.1099999999997</v>
      </c>
      <c r="P32" s="115">
        <f>+'[2]9. SMFA_SMDR_SMIRR'!$G$42</f>
        <v>2954.1099999999997</v>
      </c>
      <c r="Q32" s="68">
        <f>+G32+K32</f>
        <v>235715.60561551887</v>
      </c>
      <c r="R32" s="68">
        <f>+H32+L32</f>
        <v>22105.00020530709</v>
      </c>
      <c r="S32" s="68">
        <f>+I32+M32</f>
        <v>2983.288465673305</v>
      </c>
      <c r="T32" s="71">
        <f>SUM(Q32:S32)</f>
        <v>260803.89428649927</v>
      </c>
    </row>
    <row r="33" spans="2:20" ht="15">
      <c r="B33" s="19">
        <v>2007</v>
      </c>
      <c r="C33" s="67">
        <f>+'Customer Count'!B5</f>
        <v>128765</v>
      </c>
      <c r="D33" s="67">
        <f>+'Customer Count'!C5</f>
        <v>11918</v>
      </c>
      <c r="E33" s="67">
        <f>+'Customer Count'!D5+'Customer Count'!E5</f>
        <v>1553</v>
      </c>
      <c r="G33" s="68">
        <f>+'SMFA COLLECTED'!G5</f>
        <v>415248.752168212</v>
      </c>
      <c r="H33" s="69">
        <f>+'SMFA COLLECTED'!G8</f>
        <v>38613.872559599506</v>
      </c>
      <c r="I33" s="70">
        <f>+'SMFA COLLECTED'!G11+'SMFA COLLECTED'!G14+'SMFA COLLECTED'!G17</f>
        <v>5188.24622497659</v>
      </c>
      <c r="J33" s="71">
        <f aca="true" t="shared" si="1" ref="J33:J38">SUM(G33:I33)</f>
        <v>459050.87095278816</v>
      </c>
      <c r="K33" s="70">
        <f aca="true" t="shared" si="2" ref="K33:K38">+G33/J33*P33</f>
        <v>20331.591456408907</v>
      </c>
      <c r="L33" s="70">
        <f aca="true" t="shared" si="3" ref="L33:L38">+H33/J33*P33</f>
        <v>1890.6293573004864</v>
      </c>
      <c r="M33" s="114">
        <f aca="true" t="shared" si="4" ref="M33:M38">+I33/J33*P33</f>
        <v>254.02918629060454</v>
      </c>
      <c r="N33" s="71">
        <f aca="true" t="shared" si="5" ref="N33:N38">SUM(K33:M33)</f>
        <v>22476.25</v>
      </c>
      <c r="P33" s="115">
        <f>+'[2]9. SMFA_SMDR_SMIRR'!$I$42</f>
        <v>22476.25</v>
      </c>
      <c r="Q33" s="68">
        <f aca="true" t="shared" si="6" ref="Q33:Q38">+G33+K33</f>
        <v>435580.34362462093</v>
      </c>
      <c r="R33" s="68">
        <f aca="true" t="shared" si="7" ref="R33:R38">+H33+L33</f>
        <v>40504.50191689999</v>
      </c>
      <c r="S33" s="68">
        <f aca="true" t="shared" si="8" ref="S33:S38">+I33+M33</f>
        <v>5442.275411267195</v>
      </c>
      <c r="T33" s="71">
        <f aca="true" t="shared" si="9" ref="T33:T38">SUM(Q33:S33)</f>
        <v>481527.1209527881</v>
      </c>
    </row>
    <row r="34" spans="2:20" ht="15">
      <c r="B34" s="19">
        <v>2008</v>
      </c>
      <c r="C34" s="67">
        <f>+'Customer Count'!B6</f>
        <v>130516</v>
      </c>
      <c r="D34" s="67">
        <f>+'Customer Count'!C6</f>
        <v>11992</v>
      </c>
      <c r="E34" s="67">
        <f>+'Customer Count'!D6+'Customer Count'!E6</f>
        <v>1605</v>
      </c>
      <c r="G34" s="68">
        <f>+'SMFA COLLECTED'!I5</f>
        <v>421799.25525496</v>
      </c>
      <c r="H34" s="68">
        <f>+'SMFA COLLECTED'!I8</f>
        <v>38989.22437930966</v>
      </c>
      <c r="I34" s="68">
        <f>+'SMFA COLLECTED'!I11+'SMFA COLLECTED'!I14+'SMFA COLLECTED'!I17</f>
        <v>5171.461841993337</v>
      </c>
      <c r="J34" s="71">
        <f t="shared" si="1"/>
        <v>465959.94147626293</v>
      </c>
      <c r="K34" s="70">
        <f t="shared" si="2"/>
        <v>32767.105763592142</v>
      </c>
      <c r="L34" s="70">
        <f t="shared" si="3"/>
        <v>3028.8437520000616</v>
      </c>
      <c r="M34" s="114">
        <f t="shared" si="4"/>
        <v>401.74048440779956</v>
      </c>
      <c r="N34" s="71">
        <f t="shared" si="5"/>
        <v>36197.69</v>
      </c>
      <c r="P34" s="115">
        <f>+'[2]9. SMFA_SMDR_SMIRR'!$K$42</f>
        <v>36197.69</v>
      </c>
      <c r="Q34" s="68">
        <f t="shared" si="6"/>
        <v>454566.3610185521</v>
      </c>
      <c r="R34" s="68">
        <f t="shared" si="7"/>
        <v>42018.068131309716</v>
      </c>
      <c r="S34" s="68">
        <f t="shared" si="8"/>
        <v>5573.202326401136</v>
      </c>
      <c r="T34" s="71">
        <f t="shared" si="9"/>
        <v>502157.63147626293</v>
      </c>
    </row>
    <row r="35" spans="2:20" ht="15">
      <c r="B35" s="19">
        <v>2009</v>
      </c>
      <c r="C35" s="67">
        <f>+'Customer Count'!B7</f>
        <v>131729</v>
      </c>
      <c r="D35" s="67">
        <f>+'Customer Count'!C7</f>
        <v>11913</v>
      </c>
      <c r="E35" s="67">
        <f>+'Customer Count'!D7+'Customer Count'!E7</f>
        <v>1650</v>
      </c>
      <c r="G35" s="68">
        <f>+'SMFA COLLECTED'!K5+'SMFA COLLECTED'!K6</f>
        <v>579210.8547860837</v>
      </c>
      <c r="H35" s="68">
        <f>+'SMFA COLLECTED'!K8+'SMFA COLLECTED'!K9</f>
        <v>52671.01308384437</v>
      </c>
      <c r="I35" s="68">
        <f>+'SMFA COLLECTED'!K11+'SMFA COLLECTED'!K12+'SMFA COLLECTED'!K14+'SMFA COLLECTED'!K15+'SMFA COLLECTED'!K17+'SMFA COLLECTED'!K18</f>
        <v>7267.950298343778</v>
      </c>
      <c r="J35" s="71">
        <f t="shared" si="1"/>
        <v>639149.8181682718</v>
      </c>
      <c r="K35" s="70">
        <f t="shared" si="2"/>
        <v>13628.219513354175</v>
      </c>
      <c r="L35" s="70">
        <f t="shared" si="3"/>
        <v>1239.2932942572113</v>
      </c>
      <c r="M35" s="114">
        <f t="shared" si="4"/>
        <v>171.0071923886133</v>
      </c>
      <c r="N35" s="71">
        <f t="shared" si="5"/>
        <v>15038.52</v>
      </c>
      <c r="P35" s="115">
        <f>+'[2]9. SMFA_SMDR_SMIRR'!$M$42</f>
        <v>15038.519999999999</v>
      </c>
      <c r="Q35" s="68">
        <f t="shared" si="6"/>
        <v>592839.0742994378</v>
      </c>
      <c r="R35" s="68">
        <f t="shared" si="7"/>
        <v>53910.30637810158</v>
      </c>
      <c r="S35" s="68">
        <f t="shared" si="8"/>
        <v>7438.957490732391</v>
      </c>
      <c r="T35" s="71">
        <f t="shared" si="9"/>
        <v>654188.3381682718</v>
      </c>
    </row>
    <row r="36" spans="2:20" ht="15">
      <c r="B36" s="19">
        <v>2010</v>
      </c>
      <c r="C36" s="67">
        <f>+'Customer Count'!B8</f>
        <v>133452</v>
      </c>
      <c r="D36" s="67">
        <f>+'Customer Count'!C8</f>
        <v>11897</v>
      </c>
      <c r="E36" s="67">
        <f>+'Customer Count'!D8+'Customer Count'!E8</f>
        <v>1625</v>
      </c>
      <c r="G36" s="68">
        <f>+'SMFA COLLECTED'!M5+'SMFA COLLECTED'!M6</f>
        <v>1618192.4753850112</v>
      </c>
      <c r="H36" s="68">
        <f>+'SMFA COLLECTED'!M8+'SMFA COLLECTED'!M9</f>
        <v>145186.56511232702</v>
      </c>
      <c r="I36" s="68">
        <f>+'SMFA COLLECTED'!M11+'SMFA COLLECTED'!M12+'SMFA COLLECTED'!M15+'SMFA COLLECTED'!M18</f>
        <v>19727.649734117123</v>
      </c>
      <c r="J36" s="71">
        <f t="shared" si="1"/>
        <v>1783106.6902314553</v>
      </c>
      <c r="K36" s="70">
        <f t="shared" si="2"/>
        <v>20363.438846434186</v>
      </c>
      <c r="L36" s="70">
        <f t="shared" si="3"/>
        <v>1827.0371324556288</v>
      </c>
      <c r="M36" s="114">
        <f t="shared" si="4"/>
        <v>248.25402111018164</v>
      </c>
      <c r="N36" s="71">
        <f t="shared" si="5"/>
        <v>22438.729999999996</v>
      </c>
      <c r="P36" s="115">
        <f>+'[2]9. SMFA_SMDR_SMIRR'!$O$42</f>
        <v>22438.729999999996</v>
      </c>
      <c r="Q36" s="68">
        <f t="shared" si="6"/>
        <v>1638555.9142314454</v>
      </c>
      <c r="R36" s="68">
        <f t="shared" si="7"/>
        <v>147013.60224478264</v>
      </c>
      <c r="S36" s="68">
        <f t="shared" si="8"/>
        <v>19975.903755227304</v>
      </c>
      <c r="T36" s="71">
        <f t="shared" si="9"/>
        <v>1805545.4202314555</v>
      </c>
    </row>
    <row r="37" spans="2:20" ht="15">
      <c r="B37" s="19">
        <v>2011</v>
      </c>
      <c r="C37" s="67">
        <f>+'Customer Count'!B9</f>
        <v>134714</v>
      </c>
      <c r="D37" s="67">
        <f>+'Customer Count'!C9</f>
        <v>11962</v>
      </c>
      <c r="E37" s="67">
        <f>+'Customer Count'!D9+'Customer Count'!E9</f>
        <v>1655</v>
      </c>
      <c r="G37" s="68">
        <f>+'SMFA COLLECTED'!O6+'SMFA COLLECTED'!O7</f>
        <v>2042192.8730832823</v>
      </c>
      <c r="H37" s="68">
        <f>+'SMFA COLLECTED'!O9+'SMFA COLLECTED'!O10</f>
        <v>180907.7735871049</v>
      </c>
      <c r="I37" s="68">
        <f>+'SMFA COLLECTED'!O12+'SMFA COLLECTED'!O13+'SMFA COLLECTED'!O15+'SMFA COLLECTED'!O16+'SMFA COLLECTED'!O18+'SMFA COLLECTED'!O19</f>
        <v>24687.593291685796</v>
      </c>
      <c r="J37" s="71">
        <f t="shared" si="1"/>
        <v>2247788.239962073</v>
      </c>
      <c r="K37" s="70">
        <f t="shared" si="2"/>
        <v>60695.456286494504</v>
      </c>
      <c r="L37" s="70">
        <f t="shared" si="3"/>
        <v>5376.710499956478</v>
      </c>
      <c r="M37" s="114">
        <f t="shared" si="4"/>
        <v>733.7332135490042</v>
      </c>
      <c r="N37" s="71">
        <f t="shared" si="5"/>
        <v>66805.89999999998</v>
      </c>
      <c r="P37" s="115">
        <f>+'[2]9. SMFA_SMDR_SMIRR'!$Q$42</f>
        <v>66805.9</v>
      </c>
      <c r="Q37" s="68">
        <f t="shared" si="6"/>
        <v>2102888.329369777</v>
      </c>
      <c r="R37" s="68">
        <f t="shared" si="7"/>
        <v>186284.48408706137</v>
      </c>
      <c r="S37" s="68">
        <f t="shared" si="8"/>
        <v>25421.3265052348</v>
      </c>
      <c r="T37" s="71">
        <f t="shared" si="9"/>
        <v>2314594.139962073</v>
      </c>
    </row>
    <row r="38" spans="2:20" ht="15">
      <c r="B38" s="53" t="s">
        <v>55</v>
      </c>
      <c r="C38" s="67">
        <f>+'Customer Count'!B10</f>
        <v>135101</v>
      </c>
      <c r="D38" s="67">
        <f>+'Customer Count'!C10</f>
        <v>11986</v>
      </c>
      <c r="E38" s="67">
        <f>+'Customer Count'!D10+'Customer Count'!E10</f>
        <v>1630</v>
      </c>
      <c r="G38" s="68">
        <f>+'SMFA COLLECTED'!Q6+'SMFA COLLECTED'!Q7</f>
        <v>810159.2027326457</v>
      </c>
      <c r="H38" s="68">
        <f>+'SMFA COLLECTED'!Q9+'SMFA COLLECTED'!Q10</f>
        <v>72341.73249814627</v>
      </c>
      <c r="I38" s="68">
        <f>+'SMFA COLLECTED'!Q12+'SMFA COLLECTED'!Q13+'SMFA COLLECTED'!Q16+'SMFA COLLECTED'!Q19</f>
        <v>9662.396925917727</v>
      </c>
      <c r="J38" s="71">
        <f t="shared" si="1"/>
        <v>892163.3321567096</v>
      </c>
      <c r="K38" s="70">
        <f t="shared" si="2"/>
        <v>27528.72840012957</v>
      </c>
      <c r="L38" s="70">
        <f t="shared" si="3"/>
        <v>2458.1290926759825</v>
      </c>
      <c r="M38" s="114">
        <f t="shared" si="4"/>
        <v>328.32250719444636</v>
      </c>
      <c r="N38" s="71">
        <f t="shared" si="5"/>
        <v>30315.18</v>
      </c>
      <c r="P38" s="115">
        <f>'[4]9. SMFA_SMDR_SMIRR'!$S$42</f>
        <v>30315.18</v>
      </c>
      <c r="Q38" s="68">
        <f t="shared" si="6"/>
        <v>837687.9311327753</v>
      </c>
      <c r="R38" s="68">
        <f t="shared" si="7"/>
        <v>74799.86159082226</v>
      </c>
      <c r="S38" s="68">
        <f t="shared" si="8"/>
        <v>9990.719433112174</v>
      </c>
      <c r="T38" s="71">
        <f t="shared" si="9"/>
        <v>922478.5121567097</v>
      </c>
    </row>
    <row r="39" spans="13:20" ht="15">
      <c r="M39" s="114"/>
      <c r="Q39" s="21"/>
      <c r="R39" s="53"/>
      <c r="S39" s="20"/>
      <c r="T39" s="20"/>
    </row>
    <row r="40" spans="7:23" ht="15">
      <c r="G40" s="71">
        <f aca="true" t="shared" si="10" ref="G40:N40">SUM(G32:G38)</f>
        <v>6119849.082560196</v>
      </c>
      <c r="H40" s="71">
        <f t="shared" si="10"/>
        <v>550564.7994198978</v>
      </c>
      <c r="I40" s="71">
        <f t="shared" si="10"/>
        <v>74654.79525396749</v>
      </c>
      <c r="J40" s="71">
        <f t="shared" si="10"/>
        <v>6745068.67723406</v>
      </c>
      <c r="K40" s="71">
        <f t="shared" si="10"/>
        <v>177984.4767319324</v>
      </c>
      <c r="L40" s="71">
        <f t="shared" si="10"/>
        <v>16071.025134386782</v>
      </c>
      <c r="M40" s="71">
        <f t="shared" si="10"/>
        <v>2170.8781336808183</v>
      </c>
      <c r="N40" s="71">
        <f t="shared" si="10"/>
        <v>196226.37999999998</v>
      </c>
      <c r="O40" s="71"/>
      <c r="P40" s="71">
        <f>SUM(P32:P38)</f>
        <v>196226.38</v>
      </c>
      <c r="Q40" s="71">
        <f>SUM(Q32:Q38)</f>
        <v>6297833.559292126</v>
      </c>
      <c r="R40" s="71">
        <f>SUM(R32:R38)</f>
        <v>566635.8245542846</v>
      </c>
      <c r="S40" s="71">
        <f>SUM(S32:S38)</f>
        <v>76825.6733876483</v>
      </c>
      <c r="T40" s="71">
        <f>SUM(T32:T38)</f>
        <v>6941295.05723406</v>
      </c>
      <c r="W40" s="115"/>
    </row>
    <row r="41" spans="7:20" ht="15">
      <c r="G41" s="72">
        <f>G40/$J40</f>
        <v>0.9073071565921776</v>
      </c>
      <c r="H41" s="72">
        <f>H40/$J40</f>
        <v>0.08162478779173336</v>
      </c>
      <c r="I41" s="80">
        <f>I40/$J40</f>
        <v>0.011068055616089156</v>
      </c>
      <c r="J41" s="73">
        <f>SUM(G41:I41)</f>
        <v>1.0000000000000002</v>
      </c>
      <c r="K41" s="118"/>
      <c r="L41" s="118"/>
      <c r="M41" s="119"/>
      <c r="N41" s="120"/>
      <c r="Q41" s="72">
        <f>Q40/$T40</f>
        <v>0.9072995035312131</v>
      </c>
      <c r="R41" s="72">
        <f>R40/$T40</f>
        <v>0.08163258007073905</v>
      </c>
      <c r="S41" s="80">
        <f>S40/$T40</f>
        <v>0.011067916398047701</v>
      </c>
      <c r="T41" s="73">
        <f>SUM(Q41:S41)</f>
        <v>0.9999999999999999</v>
      </c>
    </row>
    <row r="42" spans="7:20" ht="15">
      <c r="G42" s="74">
        <f>K16</f>
        <v>0.834200023102308</v>
      </c>
      <c r="H42" s="75">
        <f>L16</f>
        <v>0.16579997689769221</v>
      </c>
      <c r="K42" s="121"/>
      <c r="L42" s="122"/>
      <c r="M42" s="123"/>
      <c r="N42" s="123"/>
      <c r="Q42" s="74">
        <f>U16</f>
        <v>0</v>
      </c>
      <c r="R42" s="75">
        <f>V16</f>
        <v>0</v>
      </c>
      <c r="S42" s="20"/>
      <c r="T42" s="20"/>
    </row>
    <row r="43" spans="3:20" ht="15">
      <c r="C43" s="20" t="s">
        <v>27</v>
      </c>
      <c r="G43" s="74">
        <v>0.5</v>
      </c>
      <c r="H43" s="75">
        <v>0.5</v>
      </c>
      <c r="K43" s="121"/>
      <c r="L43" s="122"/>
      <c r="M43" s="123"/>
      <c r="N43" s="123"/>
      <c r="Q43" s="74">
        <v>0.5</v>
      </c>
      <c r="R43" s="75">
        <v>0.5</v>
      </c>
      <c r="S43" s="20"/>
      <c r="T43" s="20"/>
    </row>
    <row r="44" spans="3:20" ht="15.75" thickBot="1">
      <c r="C44" s="20" t="s">
        <v>56</v>
      </c>
      <c r="G44" s="76">
        <f>G43*I41</f>
        <v>0.005534027808044578</v>
      </c>
      <c r="H44" s="77">
        <f>H43*I41</f>
        <v>0.005534027808044578</v>
      </c>
      <c r="K44" s="124"/>
      <c r="L44" s="125"/>
      <c r="M44" s="123"/>
      <c r="N44" s="123"/>
      <c r="Q44" s="76">
        <f>Q43*S41</f>
        <v>0.005533958199023851</v>
      </c>
      <c r="R44" s="77">
        <f>R43*S41</f>
        <v>0.005533958199023851</v>
      </c>
      <c r="S44" s="20"/>
      <c r="T44" s="20"/>
    </row>
    <row r="45" spans="7:20" ht="15.75" thickTop="1">
      <c r="G45" s="78">
        <f>G41+G44</f>
        <v>0.9128411844002222</v>
      </c>
      <c r="H45" s="79">
        <f>H41+H44</f>
        <v>0.08715881559977794</v>
      </c>
      <c r="K45" s="126"/>
      <c r="L45" s="127"/>
      <c r="M45" s="123"/>
      <c r="N45" s="123"/>
      <c r="Q45" s="78">
        <f>Q41+Q44</f>
        <v>0.9128334617302369</v>
      </c>
      <c r="R45" s="79">
        <f>R41+R44</f>
        <v>0.0871665382697629</v>
      </c>
      <c r="S45" s="20"/>
      <c r="T45" s="20"/>
    </row>
    <row r="47" spans="11:19" ht="15">
      <c r="K47" s="114"/>
      <c r="S47" s="115"/>
    </row>
  </sheetData>
  <sheetProtection/>
  <mergeCells count="15">
    <mergeCell ref="B27:E27"/>
    <mergeCell ref="G16:I16"/>
    <mergeCell ref="B15:F15"/>
    <mergeCell ref="B17:F17"/>
    <mergeCell ref="B22:F22"/>
    <mergeCell ref="H18:J18"/>
    <mergeCell ref="H19:J19"/>
    <mergeCell ref="C21:F21"/>
    <mergeCell ref="M30:M31"/>
    <mergeCell ref="Q29:S29"/>
    <mergeCell ref="S30:S31"/>
    <mergeCell ref="E30:E31"/>
    <mergeCell ref="I30:I31"/>
    <mergeCell ref="C29:E29"/>
    <mergeCell ref="G29:I29"/>
  </mergeCells>
  <printOptions/>
  <pageMargins left="0.7" right="0.7" top="0.75" bottom="0.75" header="0.3" footer="0.3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9"/>
  <sheetViews>
    <sheetView zoomScalePageLayoutView="0" workbookViewId="0" topLeftCell="A13">
      <selection activeCell="F32" sqref="F32"/>
    </sheetView>
  </sheetViews>
  <sheetFormatPr defaultColWidth="9.140625" defaultRowHeight="15"/>
  <cols>
    <col min="1" max="1" width="4.140625" style="0" customWidth="1"/>
    <col min="2" max="2" width="20.140625" style="0" customWidth="1"/>
    <col min="4" max="4" width="14.421875" style="0" customWidth="1"/>
    <col min="5" max="5" width="13.28125" style="0" customWidth="1"/>
    <col min="6" max="6" width="14.421875" style="0" customWidth="1"/>
    <col min="7" max="7" width="13.421875" style="0" customWidth="1"/>
    <col min="8" max="8" width="14.421875" style="0" customWidth="1"/>
    <col min="9" max="9" width="13.28125" style="0" customWidth="1"/>
    <col min="10" max="10" width="14.421875" style="0" customWidth="1"/>
    <col min="11" max="11" width="13.28125" style="0" customWidth="1"/>
    <col min="12" max="12" width="14.421875" style="0" customWidth="1"/>
    <col min="13" max="13" width="15.421875" style="0" customWidth="1"/>
    <col min="14" max="14" width="14.421875" style="0" customWidth="1"/>
    <col min="15" max="15" width="16.00390625" style="0" customWidth="1"/>
    <col min="16" max="16" width="16.8515625" style="0" customWidth="1"/>
    <col min="17" max="17" width="13.28125" style="0" customWidth="1"/>
    <col min="18" max="18" width="2.00390625" style="0" customWidth="1"/>
    <col min="19" max="19" width="15.28125" style="0" bestFit="1" customWidth="1"/>
    <col min="20" max="20" width="15.421875" style="0" customWidth="1"/>
  </cols>
  <sheetData>
    <row r="1" ht="31.5" customHeight="1">
      <c r="B1" s="81" t="s">
        <v>32</v>
      </c>
    </row>
    <row r="2" ht="21" customHeight="1"/>
    <row r="3" spans="4:20" ht="35.25" customHeight="1">
      <c r="D3" s="145" t="s">
        <v>33</v>
      </c>
      <c r="E3" s="146"/>
      <c r="F3" s="145" t="s">
        <v>34</v>
      </c>
      <c r="G3" s="146"/>
      <c r="H3" s="145" t="s">
        <v>35</v>
      </c>
      <c r="I3" s="146"/>
      <c r="J3" s="145" t="s">
        <v>36</v>
      </c>
      <c r="K3" s="146"/>
      <c r="L3" s="145" t="s">
        <v>37</v>
      </c>
      <c r="M3" s="146"/>
      <c r="N3" s="145" t="s">
        <v>38</v>
      </c>
      <c r="O3" s="146"/>
      <c r="P3" s="145" t="s">
        <v>39</v>
      </c>
      <c r="Q3" s="146"/>
      <c r="S3" s="82" t="s">
        <v>40</v>
      </c>
      <c r="T3" s="83" t="s">
        <v>41</v>
      </c>
    </row>
    <row r="4" spans="2:20" ht="30.75" customHeight="1">
      <c r="B4" s="84" t="s">
        <v>42</v>
      </c>
      <c r="C4" s="84" t="s">
        <v>43</v>
      </c>
      <c r="D4" s="85" t="s">
        <v>44</v>
      </c>
      <c r="E4" s="86" t="s">
        <v>45</v>
      </c>
      <c r="F4" s="85" t="s">
        <v>44</v>
      </c>
      <c r="G4" s="86" t="s">
        <v>45</v>
      </c>
      <c r="H4" s="85" t="s">
        <v>44</v>
      </c>
      <c r="I4" s="86" t="s">
        <v>45</v>
      </c>
      <c r="J4" s="85" t="s">
        <v>44</v>
      </c>
      <c r="K4" s="86" t="s">
        <v>45</v>
      </c>
      <c r="L4" s="85" t="s">
        <v>44</v>
      </c>
      <c r="M4" s="86" t="s">
        <v>45</v>
      </c>
      <c r="N4" s="85" t="s">
        <v>44</v>
      </c>
      <c r="O4" s="86" t="s">
        <v>45</v>
      </c>
      <c r="P4" s="85" t="s">
        <v>44</v>
      </c>
      <c r="Q4" s="86" t="s">
        <v>45</v>
      </c>
      <c r="S4" s="87" t="s">
        <v>45</v>
      </c>
      <c r="T4" s="87" t="s">
        <v>45</v>
      </c>
    </row>
    <row r="5" spans="2:20" ht="25.5" customHeight="1">
      <c r="B5" t="s">
        <v>20</v>
      </c>
      <c r="C5" s="88">
        <v>0.27</v>
      </c>
      <c r="D5" s="89">
        <v>863132.1449999999</v>
      </c>
      <c r="E5" s="90">
        <v>233045.66914999997</v>
      </c>
      <c r="F5" s="89">
        <v>1537964.9709933775</v>
      </c>
      <c r="G5" s="90">
        <v>415248.752168212</v>
      </c>
      <c r="H5" s="89">
        <v>1562219.5009442961</v>
      </c>
      <c r="I5" s="90">
        <v>421799.25525496</v>
      </c>
      <c r="J5" s="89">
        <v>1328055.1661992704</v>
      </c>
      <c r="K5" s="90">
        <v>358574.764873803</v>
      </c>
      <c r="L5" s="89">
        <v>2099.1613976705494</v>
      </c>
      <c r="M5" s="90">
        <v>566.7735773710484</v>
      </c>
      <c r="N5" s="89"/>
      <c r="O5" s="90"/>
      <c r="P5" s="89">
        <v>0</v>
      </c>
      <c r="Q5" s="90"/>
      <c r="S5" s="91">
        <f>+E5+G5+I5+K5+M5+O5+Q5</f>
        <v>1429235.215024346</v>
      </c>
      <c r="T5" s="91"/>
    </row>
    <row r="6" spans="2:20" s="92" customFormat="1" ht="25.5" customHeight="1">
      <c r="B6" s="92" t="s">
        <v>20</v>
      </c>
      <c r="C6" s="93">
        <v>1</v>
      </c>
      <c r="D6" s="89"/>
      <c r="E6" s="90"/>
      <c r="F6" s="89"/>
      <c r="G6" s="90"/>
      <c r="H6" s="89"/>
      <c r="I6" s="90"/>
      <c r="J6" s="89">
        <v>220636.0899122807</v>
      </c>
      <c r="K6" s="90">
        <v>220636.0899122807</v>
      </c>
      <c r="L6" s="89">
        <v>1617556.701807637</v>
      </c>
      <c r="M6" s="90">
        <v>1617625.70180764</v>
      </c>
      <c r="N6" s="89">
        <v>681665.1982692471</v>
      </c>
      <c r="O6" s="90">
        <v>681587.428269247</v>
      </c>
      <c r="P6" s="89">
        <v>32.844374751142524</v>
      </c>
      <c r="Q6" s="90">
        <v>32.844374751142524</v>
      </c>
      <c r="S6" s="91">
        <f aca="true" t="shared" si="0" ref="S6:S19">+E6+G6+I6+K6+M6+O6+Q6</f>
        <v>2519882.0643639187</v>
      </c>
      <c r="T6" s="91"/>
    </row>
    <row r="7" spans="2:20" ht="25.5" customHeight="1">
      <c r="B7" s="94" t="s">
        <v>20</v>
      </c>
      <c r="C7" s="95">
        <v>1.46</v>
      </c>
      <c r="D7" s="96"/>
      <c r="E7" s="97"/>
      <c r="F7" s="96"/>
      <c r="G7" s="97"/>
      <c r="H7" s="96"/>
      <c r="I7" s="97"/>
      <c r="J7" s="96"/>
      <c r="K7" s="97"/>
      <c r="L7" s="96"/>
      <c r="M7" s="97"/>
      <c r="N7" s="96">
        <v>931921.5375438598</v>
      </c>
      <c r="O7" s="97">
        <v>1360605.4448140352</v>
      </c>
      <c r="P7" s="96">
        <v>554881.067368421</v>
      </c>
      <c r="Q7" s="97">
        <v>810126.3583578946</v>
      </c>
      <c r="S7" s="98">
        <f t="shared" si="0"/>
        <v>2170731.80317193</v>
      </c>
      <c r="T7" s="98">
        <f>SUM(S5:S7)</f>
        <v>6119849.082560195</v>
      </c>
    </row>
    <row r="8" spans="2:20" ht="25.5" customHeight="1">
      <c r="B8" t="s">
        <v>46</v>
      </c>
      <c r="C8" s="88">
        <v>0.27</v>
      </c>
      <c r="D8" s="89">
        <v>80943.03036876355</v>
      </c>
      <c r="E8" s="99">
        <v>21854.618199566157</v>
      </c>
      <c r="F8" s="89">
        <v>143014.3428133315</v>
      </c>
      <c r="G8" s="99">
        <v>38613.872559599506</v>
      </c>
      <c r="H8" s="89">
        <v>144404.5347381839</v>
      </c>
      <c r="I8" s="99">
        <v>38989.22437930966</v>
      </c>
      <c r="J8" s="89">
        <v>121189.18370177534</v>
      </c>
      <c r="K8" s="99">
        <v>32721.079599479344</v>
      </c>
      <c r="L8" s="89">
        <v>282.0652846534653</v>
      </c>
      <c r="M8" s="99">
        <v>76.15762685643564</v>
      </c>
      <c r="N8" s="89"/>
      <c r="O8" s="99"/>
      <c r="P8" s="89">
        <v>0</v>
      </c>
      <c r="Q8" s="99"/>
      <c r="S8" s="91">
        <f t="shared" si="0"/>
        <v>132254.95236481112</v>
      </c>
      <c r="T8" s="91"/>
    </row>
    <row r="9" spans="2:20" ht="25.5" customHeight="1">
      <c r="B9" s="92" t="s">
        <v>46</v>
      </c>
      <c r="C9" s="93">
        <v>1</v>
      </c>
      <c r="D9" s="89"/>
      <c r="E9" s="99"/>
      <c r="F9" s="89"/>
      <c r="G9" s="99"/>
      <c r="H9" s="89"/>
      <c r="I9" s="99"/>
      <c r="J9" s="89">
        <v>19949.93348436503</v>
      </c>
      <c r="K9" s="99">
        <v>19949.93348436503</v>
      </c>
      <c r="L9" s="89">
        <v>145110.40748547058</v>
      </c>
      <c r="M9" s="99">
        <v>145110.40748547058</v>
      </c>
      <c r="N9" s="89">
        <v>61465.17498691315</v>
      </c>
      <c r="O9" s="99">
        <v>61465.17498691315</v>
      </c>
      <c r="P9" s="89">
        <v>18.121242153947804</v>
      </c>
      <c r="Q9" s="99">
        <v>18.121242153947804</v>
      </c>
      <c r="S9" s="91">
        <f t="shared" si="0"/>
        <v>226543.63719890272</v>
      </c>
      <c r="T9" s="91"/>
    </row>
    <row r="10" spans="2:20" ht="25.5" customHeight="1">
      <c r="B10" s="94" t="s">
        <v>46</v>
      </c>
      <c r="C10" s="95">
        <v>1.46</v>
      </c>
      <c r="D10" s="96"/>
      <c r="E10" s="100"/>
      <c r="F10" s="96"/>
      <c r="G10" s="100"/>
      <c r="H10" s="96"/>
      <c r="I10" s="100"/>
      <c r="J10" s="96"/>
      <c r="K10" s="100"/>
      <c r="L10" s="96"/>
      <c r="M10" s="100"/>
      <c r="N10" s="96">
        <v>81809.99904122723</v>
      </c>
      <c r="O10" s="100">
        <v>119442.59860019175</v>
      </c>
      <c r="P10" s="96">
        <v>49536.720038350904</v>
      </c>
      <c r="Q10" s="100">
        <v>72323.61125599232</v>
      </c>
      <c r="S10" s="98">
        <f t="shared" si="0"/>
        <v>191766.20985618408</v>
      </c>
      <c r="T10" s="98">
        <f>SUM(S8:S10)</f>
        <v>550564.799419898</v>
      </c>
    </row>
    <row r="11" spans="2:20" ht="25.5" customHeight="1">
      <c r="B11" t="s">
        <v>47</v>
      </c>
      <c r="C11" s="88">
        <v>0.27</v>
      </c>
      <c r="D11" s="89">
        <v>10879.062729381985</v>
      </c>
      <c r="E11" s="99">
        <v>2937.346936933136</v>
      </c>
      <c r="F11" s="89">
        <v>19143.727148991937</v>
      </c>
      <c r="G11" s="99">
        <v>5168.806330227823</v>
      </c>
      <c r="H11" s="89">
        <v>19081.562377753096</v>
      </c>
      <c r="I11" s="99">
        <v>5152.021841993336</v>
      </c>
      <c r="J11" s="89">
        <v>16399.608264029892</v>
      </c>
      <c r="K11" s="99">
        <v>4427.894231288071</v>
      </c>
      <c r="L11" s="89">
        <v>100.65546147689457</v>
      </c>
      <c r="M11" s="99">
        <v>27.176974598761536</v>
      </c>
      <c r="N11" s="89"/>
      <c r="O11" s="99"/>
      <c r="P11" s="89">
        <v>0</v>
      </c>
      <c r="Q11" s="99"/>
      <c r="S11" s="91">
        <f t="shared" si="0"/>
        <v>17713.246315041128</v>
      </c>
      <c r="T11" s="91"/>
    </row>
    <row r="12" spans="2:20" ht="25.5" customHeight="1">
      <c r="B12" s="92" t="s">
        <v>47</v>
      </c>
      <c r="C12" s="93">
        <v>1</v>
      </c>
      <c r="D12" s="89"/>
      <c r="E12" s="99"/>
      <c r="F12" s="89"/>
      <c r="G12" s="99"/>
      <c r="H12" s="89"/>
      <c r="I12" s="99"/>
      <c r="J12" s="89">
        <v>2811.8560595615604</v>
      </c>
      <c r="K12" s="99">
        <v>2811.8560595615604</v>
      </c>
      <c r="L12" s="89">
        <v>19628.47275951836</v>
      </c>
      <c r="M12" s="99">
        <v>19628.47275951836</v>
      </c>
      <c r="N12" s="89">
        <v>8250.424786677675</v>
      </c>
      <c r="O12" s="99">
        <v>8250.424786677675</v>
      </c>
      <c r="P12" s="89">
        <v>13.908718689788055</v>
      </c>
      <c r="Q12" s="99">
        <v>13.908718689788055</v>
      </c>
      <c r="S12" s="91">
        <f t="shared" si="0"/>
        <v>30704.662324447385</v>
      </c>
      <c r="T12" s="91"/>
    </row>
    <row r="13" spans="2:20" ht="25.5" customHeight="1">
      <c r="B13" s="94" t="s">
        <v>47</v>
      </c>
      <c r="C13" s="95">
        <v>1.46</v>
      </c>
      <c r="D13" s="96"/>
      <c r="E13" s="100"/>
      <c r="F13" s="96"/>
      <c r="G13" s="100"/>
      <c r="H13" s="96"/>
      <c r="I13" s="100"/>
      <c r="J13" s="96"/>
      <c r="K13" s="100"/>
      <c r="L13" s="96"/>
      <c r="M13" s="100"/>
      <c r="N13" s="96">
        <v>11195.786647265837</v>
      </c>
      <c r="O13" s="100">
        <v>16345.848505008122</v>
      </c>
      <c r="P13" s="96">
        <v>6584.553566594477</v>
      </c>
      <c r="Q13" s="100">
        <v>9613.448207227937</v>
      </c>
      <c r="S13" s="98">
        <f t="shared" si="0"/>
        <v>25959.296712236057</v>
      </c>
      <c r="T13" s="98">
        <f>SUM(S11:S13)</f>
        <v>74377.20535172457</v>
      </c>
    </row>
    <row r="14" spans="2:20" ht="25.5" customHeight="1">
      <c r="B14" t="s">
        <v>48</v>
      </c>
      <c r="C14" s="88">
        <v>0.27</v>
      </c>
      <c r="D14" s="89">
        <v>21.000000000000004</v>
      </c>
      <c r="E14" s="99">
        <v>5.670000000000002</v>
      </c>
      <c r="F14" s="89">
        <v>36.000000000000014</v>
      </c>
      <c r="G14" s="99">
        <v>9.720000000000004</v>
      </c>
      <c r="H14" s="89">
        <v>36.000000000000014</v>
      </c>
      <c r="I14" s="99">
        <v>9.720000000000004</v>
      </c>
      <c r="J14" s="89">
        <v>30.000000000000004</v>
      </c>
      <c r="K14" s="99">
        <v>8.100000000000001</v>
      </c>
      <c r="L14" s="89">
        <v>0</v>
      </c>
      <c r="M14" s="99">
        <v>0</v>
      </c>
      <c r="N14" s="89"/>
      <c r="O14" s="99"/>
      <c r="P14" s="89">
        <v>0</v>
      </c>
      <c r="Q14" s="99"/>
      <c r="S14" s="91">
        <f t="shared" si="0"/>
        <v>33.21000000000001</v>
      </c>
      <c r="T14" s="91"/>
    </row>
    <row r="15" spans="2:20" ht="25.5" customHeight="1">
      <c r="B15" s="92" t="s">
        <v>48</v>
      </c>
      <c r="C15" s="93">
        <v>1</v>
      </c>
      <c r="D15" s="89"/>
      <c r="E15" s="99"/>
      <c r="F15" s="89"/>
      <c r="G15" s="99"/>
      <c r="H15" s="89"/>
      <c r="I15" s="99"/>
      <c r="J15" s="89">
        <v>6</v>
      </c>
      <c r="K15" s="99">
        <v>6</v>
      </c>
      <c r="L15" s="89">
        <v>36</v>
      </c>
      <c r="M15" s="99">
        <v>36</v>
      </c>
      <c r="N15" s="89">
        <v>15</v>
      </c>
      <c r="O15" s="99">
        <v>15</v>
      </c>
      <c r="P15" s="89">
        <v>0</v>
      </c>
      <c r="Q15" s="99">
        <v>0</v>
      </c>
      <c r="S15" s="91">
        <f t="shared" si="0"/>
        <v>57</v>
      </c>
      <c r="T15" s="91"/>
    </row>
    <row r="16" spans="2:20" ht="25.5" customHeight="1">
      <c r="B16" s="94" t="s">
        <v>48</v>
      </c>
      <c r="C16" s="95">
        <v>1.46</v>
      </c>
      <c r="D16" s="96"/>
      <c r="E16" s="100"/>
      <c r="F16" s="96"/>
      <c r="G16" s="100"/>
      <c r="H16" s="96"/>
      <c r="I16" s="100"/>
      <c r="J16" s="96"/>
      <c r="K16" s="100"/>
      <c r="L16" s="96"/>
      <c r="M16" s="100"/>
      <c r="N16" s="96">
        <v>21</v>
      </c>
      <c r="O16" s="100">
        <v>30.66</v>
      </c>
      <c r="P16" s="96">
        <v>12</v>
      </c>
      <c r="Q16" s="100">
        <v>17.52</v>
      </c>
      <c r="S16" s="98">
        <f t="shared" si="0"/>
        <v>48.18</v>
      </c>
      <c r="T16" s="98">
        <f>SUM(S14:S16)</f>
        <v>138.39000000000001</v>
      </c>
    </row>
    <row r="17" spans="2:20" ht="25.5" customHeight="1">
      <c r="B17" t="s">
        <v>49</v>
      </c>
      <c r="C17" s="88">
        <v>0.27</v>
      </c>
      <c r="D17" s="89">
        <v>24.000000000000007</v>
      </c>
      <c r="E17" s="99">
        <v>6.480000000000002</v>
      </c>
      <c r="F17" s="89">
        <v>35.99961018061633</v>
      </c>
      <c r="G17" s="99">
        <v>9.719894748766409</v>
      </c>
      <c r="H17" s="89">
        <v>36.000000000000014</v>
      </c>
      <c r="I17" s="99">
        <v>9.720000000000004</v>
      </c>
      <c r="J17" s="89">
        <v>30.00000000000001</v>
      </c>
      <c r="K17" s="99">
        <v>8.100000000000003</v>
      </c>
      <c r="L17" s="89">
        <v>0</v>
      </c>
      <c r="M17" s="99">
        <v>0</v>
      </c>
      <c r="N17" s="89"/>
      <c r="O17" s="99"/>
      <c r="P17" s="89">
        <v>0</v>
      </c>
      <c r="Q17" s="99"/>
      <c r="S17" s="91">
        <f t="shared" si="0"/>
        <v>34.01989474876642</v>
      </c>
      <c r="T17" s="91"/>
    </row>
    <row r="18" spans="2:20" ht="25.5" customHeight="1">
      <c r="B18" s="92" t="s">
        <v>49</v>
      </c>
      <c r="C18" s="93">
        <v>1</v>
      </c>
      <c r="D18" s="89"/>
      <c r="E18" s="99"/>
      <c r="F18" s="89"/>
      <c r="G18" s="99"/>
      <c r="H18" s="89"/>
      <c r="I18" s="99"/>
      <c r="J18" s="89">
        <v>6.0000074941451995</v>
      </c>
      <c r="K18" s="99">
        <v>6.0000074941451995</v>
      </c>
      <c r="L18" s="89">
        <v>36</v>
      </c>
      <c r="M18" s="99">
        <v>36</v>
      </c>
      <c r="N18" s="89">
        <v>15</v>
      </c>
      <c r="O18" s="99">
        <v>15</v>
      </c>
      <c r="P18" s="89">
        <v>0</v>
      </c>
      <c r="Q18" s="99">
        <v>0</v>
      </c>
      <c r="S18" s="91">
        <f t="shared" si="0"/>
        <v>57.0000074941452</v>
      </c>
      <c r="T18" s="91"/>
    </row>
    <row r="19" spans="2:20" ht="25.5" customHeight="1">
      <c r="B19" s="94" t="s">
        <v>49</v>
      </c>
      <c r="C19" s="95">
        <v>1.46</v>
      </c>
      <c r="D19" s="96"/>
      <c r="E19" s="100"/>
      <c r="F19" s="96"/>
      <c r="G19" s="100"/>
      <c r="H19" s="96"/>
      <c r="I19" s="100"/>
      <c r="J19" s="96"/>
      <c r="K19" s="100"/>
      <c r="L19" s="96"/>
      <c r="M19" s="100"/>
      <c r="N19" s="96">
        <v>20.999999999999996</v>
      </c>
      <c r="O19" s="100">
        <v>30.659999999999997</v>
      </c>
      <c r="P19" s="96">
        <v>12</v>
      </c>
      <c r="Q19" s="100">
        <v>17.52</v>
      </c>
      <c r="S19" s="98">
        <f t="shared" si="0"/>
        <v>48.17999999999999</v>
      </c>
      <c r="T19" s="98">
        <f>SUM(S17:S19)</f>
        <v>139.1999022429116</v>
      </c>
    </row>
    <row r="20" spans="4:20" ht="9" customHeight="1">
      <c r="D20" s="101"/>
      <c r="E20" s="102"/>
      <c r="F20" s="101"/>
      <c r="G20" s="102"/>
      <c r="H20" s="101"/>
      <c r="I20" s="102"/>
      <c r="J20" s="101"/>
      <c r="K20" s="102"/>
      <c r="L20" s="101"/>
      <c r="M20" s="102"/>
      <c r="N20" s="101"/>
      <c r="O20" s="102"/>
      <c r="P20" s="101"/>
      <c r="Q20" s="102"/>
      <c r="S20" s="103"/>
      <c r="T20" s="103"/>
    </row>
    <row r="21" spans="2:20" s="81" customFormat="1" ht="24" customHeight="1">
      <c r="B21" s="81" t="s">
        <v>54</v>
      </c>
      <c r="D21" s="104">
        <f aca="true" t="shared" si="1" ref="D21:T21">SUM(D5:D20)</f>
        <v>954999.2380981455</v>
      </c>
      <c r="E21" s="105">
        <f t="shared" si="1"/>
        <v>257849.78428649929</v>
      </c>
      <c r="F21" s="104">
        <f t="shared" si="1"/>
        <v>1700195.0405658814</v>
      </c>
      <c r="G21" s="105">
        <f t="shared" si="1"/>
        <v>459050.8709527881</v>
      </c>
      <c r="H21" s="104">
        <f t="shared" si="1"/>
        <v>1725777.5980602333</v>
      </c>
      <c r="I21" s="105">
        <f t="shared" si="1"/>
        <v>465959.9414762629</v>
      </c>
      <c r="J21" s="104">
        <f t="shared" si="1"/>
        <v>1709113.837628777</v>
      </c>
      <c r="K21" s="105">
        <f t="shared" si="1"/>
        <v>639149.8181682718</v>
      </c>
      <c r="L21" s="104">
        <f t="shared" si="1"/>
        <v>1784849.464196427</v>
      </c>
      <c r="M21" s="105">
        <f t="shared" si="1"/>
        <v>1783106.6902314553</v>
      </c>
      <c r="N21" s="104">
        <f t="shared" si="1"/>
        <v>1776380.1212751905</v>
      </c>
      <c r="O21" s="105">
        <f t="shared" si="1"/>
        <v>2247788.239962073</v>
      </c>
      <c r="P21" s="104">
        <f t="shared" si="1"/>
        <v>611091.2153089612</v>
      </c>
      <c r="Q21" s="105">
        <f t="shared" si="1"/>
        <v>892163.3321567097</v>
      </c>
      <c r="S21" s="106">
        <f t="shared" si="1"/>
        <v>6745068.67723406</v>
      </c>
      <c r="T21" s="106">
        <f t="shared" si="1"/>
        <v>6745068.677234059</v>
      </c>
    </row>
    <row r="23" spans="2:20" ht="23.25" customHeight="1">
      <c r="B23" s="81"/>
      <c r="E23" s="107"/>
      <c r="F23" s="107"/>
      <c r="G23" s="107"/>
      <c r="H23" s="107"/>
      <c r="I23" s="107"/>
      <c r="J23" s="107"/>
      <c r="K23" s="107"/>
      <c r="L23" s="107"/>
      <c r="M23" s="107" t="s">
        <v>53</v>
      </c>
      <c r="O23" s="107"/>
      <c r="P23" s="107"/>
      <c r="Q23" s="107">
        <v>852800</v>
      </c>
      <c r="R23" s="108"/>
      <c r="S23" s="108">
        <f>+S21-Q26</f>
        <v>6705705.345077351</v>
      </c>
      <c r="T23" s="108"/>
    </row>
    <row r="24" ht="15">
      <c r="Q24" s="109" t="s">
        <v>50</v>
      </c>
    </row>
    <row r="26" spans="13:19" ht="15.75" thickBot="1">
      <c r="M26" t="s">
        <v>51</v>
      </c>
      <c r="Q26" s="110">
        <f>+Q21-Q23</f>
        <v>39363.332156709745</v>
      </c>
      <c r="R26" s="111"/>
      <c r="S26" s="110">
        <f>+S21-S23</f>
        <v>39363.332156709395</v>
      </c>
    </row>
    <row r="27" ht="15">
      <c r="M27" t="s">
        <v>52</v>
      </c>
    </row>
    <row r="28" spans="2:20" ht="20.25" customHeight="1">
      <c r="B28" s="81"/>
      <c r="E28" s="88"/>
      <c r="G28" s="88"/>
      <c r="I28" s="88"/>
      <c r="K28" s="88"/>
      <c r="M28" s="88"/>
      <c r="N28" s="88"/>
      <c r="O28" s="88"/>
      <c r="Q28" s="88"/>
      <c r="S28" s="88"/>
      <c r="T28" s="88"/>
    </row>
    <row r="29" spans="5:17" ht="15">
      <c r="E29" s="88"/>
      <c r="G29" s="88"/>
      <c r="I29" s="88"/>
      <c r="K29" s="88"/>
      <c r="M29" s="88"/>
      <c r="O29" s="88"/>
      <c r="Q29" s="88"/>
    </row>
  </sheetData>
  <sheetProtection/>
  <mergeCells count="7">
    <mergeCell ref="P3:Q3"/>
    <mergeCell ref="D3:E3"/>
    <mergeCell ref="F3:G3"/>
    <mergeCell ref="H3:I3"/>
    <mergeCell ref="J3:K3"/>
    <mergeCell ref="L3:M3"/>
    <mergeCell ref="N3:O3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M24" sqref="M24"/>
    </sheetView>
  </sheetViews>
  <sheetFormatPr defaultColWidth="9.140625" defaultRowHeight="15"/>
  <sheetData>
    <row r="2" spans="2:6" ht="51.75">
      <c r="B2" s="11" t="s">
        <v>17</v>
      </c>
      <c r="C2" s="11" t="s">
        <v>18</v>
      </c>
      <c r="D2" s="11" t="s">
        <v>57</v>
      </c>
      <c r="E2" s="12" t="s">
        <v>16</v>
      </c>
      <c r="F2" s="13" t="s">
        <v>1</v>
      </c>
    </row>
    <row r="3" spans="2:6" ht="15">
      <c r="B3" s="11"/>
      <c r="C3" s="11"/>
      <c r="D3" s="11"/>
      <c r="E3" s="12"/>
      <c r="F3" s="13"/>
    </row>
    <row r="4" spans="1:6" ht="15">
      <c r="A4" s="14">
        <v>2006</v>
      </c>
      <c r="B4" s="15">
        <v>126817</v>
      </c>
      <c r="C4" s="15">
        <v>11879</v>
      </c>
      <c r="D4" s="15">
        <v>1617</v>
      </c>
      <c r="E4" s="15">
        <v>3</v>
      </c>
      <c r="F4" s="16">
        <f>SUM(B4:E4)</f>
        <v>140316</v>
      </c>
    </row>
    <row r="5" spans="1:6" ht="15">
      <c r="A5" s="14">
        <v>2007</v>
      </c>
      <c r="B5" s="15">
        <v>128765</v>
      </c>
      <c r="C5" s="15">
        <v>11918</v>
      </c>
      <c r="D5" s="15">
        <v>1550</v>
      </c>
      <c r="E5" s="15">
        <v>3</v>
      </c>
      <c r="F5" s="16">
        <f aca="true" t="shared" si="0" ref="F5:F10">SUM(B5:E5)</f>
        <v>142236</v>
      </c>
    </row>
    <row r="6" spans="1:6" ht="15">
      <c r="A6" s="14">
        <v>2008</v>
      </c>
      <c r="B6" s="15">
        <v>130516</v>
      </c>
      <c r="C6" s="15">
        <v>11992</v>
      </c>
      <c r="D6" s="15">
        <v>1602</v>
      </c>
      <c r="E6" s="15">
        <v>3</v>
      </c>
      <c r="F6" s="16">
        <f t="shared" si="0"/>
        <v>144113</v>
      </c>
    </row>
    <row r="7" spans="1:6" ht="15">
      <c r="A7" s="14">
        <v>2009</v>
      </c>
      <c r="B7" s="15">
        <v>131729</v>
      </c>
      <c r="C7" s="15">
        <v>11913</v>
      </c>
      <c r="D7" s="15">
        <v>1646</v>
      </c>
      <c r="E7" s="15">
        <v>4</v>
      </c>
      <c r="F7" s="16">
        <f t="shared" si="0"/>
        <v>145292</v>
      </c>
    </row>
    <row r="8" spans="1:6" ht="15">
      <c r="A8" s="14">
        <v>2010</v>
      </c>
      <c r="B8" s="15">
        <v>133452</v>
      </c>
      <c r="C8" s="15">
        <v>11897</v>
      </c>
      <c r="D8" s="15">
        <v>1621</v>
      </c>
      <c r="E8" s="15">
        <v>4</v>
      </c>
      <c r="F8" s="16">
        <f t="shared" si="0"/>
        <v>146974</v>
      </c>
    </row>
    <row r="9" spans="1:6" ht="15">
      <c r="A9" s="14">
        <v>2011</v>
      </c>
      <c r="B9" s="112">
        <v>134714</v>
      </c>
      <c r="C9" s="112">
        <v>11962</v>
      </c>
      <c r="D9" s="112">
        <v>1652</v>
      </c>
      <c r="E9" s="112">
        <v>3</v>
      </c>
      <c r="F9" s="16">
        <f t="shared" si="0"/>
        <v>148331</v>
      </c>
    </row>
    <row r="10" spans="1:6" ht="15">
      <c r="A10" s="14" t="s">
        <v>58</v>
      </c>
      <c r="B10" s="112">
        <v>135101</v>
      </c>
      <c r="C10" s="112">
        <v>11986</v>
      </c>
      <c r="D10" s="112">
        <v>1627</v>
      </c>
      <c r="E10" s="112">
        <v>3</v>
      </c>
      <c r="F10" s="16">
        <f t="shared" si="0"/>
        <v>148717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birceanu</dc:creator>
  <cp:keywords/>
  <dc:description/>
  <cp:lastModifiedBy>Chase, Mike</cp:lastModifiedBy>
  <cp:lastPrinted>2012-05-29T16:12:52Z</cp:lastPrinted>
  <dcterms:created xsi:type="dcterms:W3CDTF">2011-11-02T13:19:14Z</dcterms:created>
  <dcterms:modified xsi:type="dcterms:W3CDTF">2012-05-30T15:54:24Z</dcterms:modified>
  <cp:category/>
  <cp:version/>
  <cp:contentType/>
  <cp:contentStatus/>
</cp:coreProperties>
</file>