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5150" windowHeight="90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  <externalReference r:id="rId12"/>
    <externalReference r:id="rId13"/>
    <externalReference r:id="rId14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'TAXREC'!$A$1:$F$313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<sst xmlns="http://schemas.openxmlformats.org/spreadsheetml/2006/main" count="1068" uniqueCount="646">
  <si>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</si>
  <si>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</si>
  <si>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</si>
  <si>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</si>
  <si>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</si>
  <si>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</si>
  <si>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</si>
  <si>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</si>
  <si>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</si>
  <si>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</si>
  <si>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</si>
  <si>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</si>
  <si>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</si>
  <si>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</si>
  <si>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</si>
  <si>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</si>
  <si>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</si>
  <si>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</si>
  <si>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</si>
  <si>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</si>
  <si>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</si>
  <si>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</si>
  <si>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</si>
  <si>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</si>
  <si>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</si>
  <si>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</si>
  <si>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</si>
  <si>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</si>
  <si>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</si>
  <si>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</si>
  <si>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</si>
  <si>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</si>
  <si>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</si>
  <si>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</si>
  <si>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</si>
  <si>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</si>
  <si>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</si>
  <si>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</si>
  <si>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</si>
  <si>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</si>
  <si>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</si>
  <si>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</si>
  <si>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</si>
  <si>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</si>
  <si>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</si>
  <si>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</si>
  <si>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</si>
  <si>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</si>
  <si>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</si>
  <si>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</si>
  <si>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</si>
  <si>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</si>
  <si>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</si>
  <si>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</si>
  <si>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</si>
  <si>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</si>
  <si>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</si>
  <si>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</si>
  <si>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</si>
  <si>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</si>
  <si>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</si>
  <si>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</si>
  <si>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</si>
  <si>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</si>
  <si>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</si>
  <si>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</si>
  <si>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</si>
  <si>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</si>
  <si>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</si>
  <si>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</si>
  <si>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</si>
  <si>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</si>
  <si>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</si>
  <si>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</si>
  <si>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</si>
  <si>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</si>
  <si>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</si>
  <si>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</si>
  <si>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</si>
  <si>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</si>
  <si>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</si>
  <si>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</si>
  <si>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</si>
  <si>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</si>
  <si>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</si>
  <si>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</si>
  <si>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</si>
  <si>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</si>
  <si>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</si>
  <si>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</si>
  <si>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</si>
  <si>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</si>
  <si>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</si>
  <si>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</si>
  <si>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</si>
  <si>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</si>
  <si>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</si>
  <si>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</si>
  <si>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</si>
  <si>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</si>
  <si>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</si>
  <si>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</si>
  <si>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</si>
  <si>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</si>
  <si>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</si>
  <si>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</si>
  <si>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</si>
  <si>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</si>
  <si>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</si>
  <si>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</si>
  <si>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</si>
  <si>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</si>
  <si>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</si>
  <si>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</si>
  <si>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</si>
  <si>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</si>
  <si>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</si>
  <si>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</si>
  <si>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</si>
  <si>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</si>
  <si>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</si>
  <si>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</si>
  <si>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</si>
  <si>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</si>
  <si>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</si>
  <si>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</si>
  <si>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</si>
  <si>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</si>
  <si>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</si>
  <si>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</si>
  <si>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</si>
  <si>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</si>
  <si>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</si>
  <si>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</si>
  <si>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</si>
  <si>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</si>
  <si>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</si>
  <si>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</si>
  <si>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</si>
  <si>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</si>
  <si>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</si>
  <si>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</si>
  <si>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</si>
  <si>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</si>
  <si>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</si>
  <si>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</si>
  <si>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</si>
  <si>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</si>
  <si>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</si>
  <si>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</si>
  <si>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</si>
  <si>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</si>
  <si>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</si>
  <si>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</si>
  <si>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</si>
  <si>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</si>
  <si>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</si>
  <si>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</si>
  <si>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</si>
  <si>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</si>
  <si>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</si>
  <si>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</si>
  <si>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</si>
  <si>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</si>
  <si>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</si>
  <si>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</si>
  <si>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</si>
  <si>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</si>
  <si>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</si>
  <si>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</si>
  <si>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</si>
  <si>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</si>
  <si>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</si>
  <si>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</si>
  <si>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</si>
  <si>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</si>
  <si>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</si>
  <si>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</si>
  <si>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</si>
  <si>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</si>
  <si>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</si>
  <si>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</si>
  <si>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</si>
  <si>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</si>
  <si>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</si>
  <si>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</si>
  <si>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</si>
  <si>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</si>
  <si>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</si>
  <si>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</si>
  <si>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</si>
  <si>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</si>
  <si>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</si>
  <si>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</si>
  <si>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</si>
  <si>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</si>
  <si>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</si>
  <si>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</si>
  <si>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</si>
  <si>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</si>
  <si>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</si>
  <si>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</si>
  <si>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</si>
  <si>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</si>
  <si>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</si>
  <si>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</si>
  <si>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</si>
  <si>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</si>
  <si>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</si>
  <si>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</si>
  <si>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</si>
  <si>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</si>
  <si>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</si>
  <si>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</si>
  <si>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</si>
  <si>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</si>
  <si>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</si>
  <si>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</si>
  <si>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</si>
  <si>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</si>
  <si>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</si>
  <si>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</si>
  <si>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</si>
  <si>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</si>
  <si>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</si>
  <si>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</si>
  <si>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</si>
  <si>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</si>
  <si>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</si>
  <si>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</si>
  <si>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</si>
  <si>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</si>
  <si>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</si>
  <si>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</si>
  <si>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</si>
  <si>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</si>
  <si>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</si>
  <si>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</si>
  <si>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</si>
  <si>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</si>
  <si>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</si>
  <si>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</si>
  <si>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</si>
  <si>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</si>
  <si>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</si>
  <si>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</si>
  <si>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</si>
  <si>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</si>
  <si>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</si>
  <si>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</si>
  <si>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</si>
  <si>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</si>
  <si>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</si>
  <si>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</si>
  <si>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</si>
  <si>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</si>
  <si>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</si>
  <si>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</si>
  <si>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</si>
  <si>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</si>
  <si>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</si>
  <si>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</si>
  <si>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</si>
  <si>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</si>
  <si>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</si>
  <si>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</si>
  <si>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</si>
  <si>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</si>
  <si>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</si>
  <si>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</si>
  <si>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</si>
  <si>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</si>
  <si>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</si>
  <si>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</si>
  <si>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</si>
  <si>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</si>
  <si>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</si>
  <si>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</si>
  <si>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</si>
  <si>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</si>
  <si>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</si>
  <si>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</si>
  <si>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</si>
  <si>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</si>
  <si>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</si>
  <si>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</si>
  <si>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</si>
  <si>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</si>
  <si>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</si>
  <si>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</si>
  <si>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</si>
  <si>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</si>
  <si>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</si>
  <si>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</si>
  <si>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</si>
  <si>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</si>
  <si>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</si>
  <si>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</si>
  <si>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</si>
  <si>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</si>
  <si>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</si>
  <si>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</si>
  <si>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</si>
  <si>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</si>
  <si>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</si>
  <si>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</si>
  <si>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</si>
  <si>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</si>
  <si>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</si>
  <si>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</si>
  <si>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</si>
  <si>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</si>
  <si>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</si>
  <si>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</si>
  <si>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</si>
  <si>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</si>
  <si>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</si>
  <si>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</si>
  <si>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</si>
  <si>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</si>
  <si>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</si>
  <si>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</si>
  <si>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</si>
  <si>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</si>
  <si>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</si>
  <si>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</si>
  <si>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</si>
  <si>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</si>
  <si>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</si>
  <si>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</si>
  <si>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</si>
  <si>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</si>
  <si>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</si>
  <si>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</si>
  <si>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</si>
  <si>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</si>
  <si>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</si>
  <si>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</si>
  <si>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</si>
  <si>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</si>
  <si>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</si>
  <si>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</si>
  <si>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</si>
  <si>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</si>
  <si>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</si>
  <si>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</si>
  <si>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</si>
  <si>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</si>
  <si>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</si>
  <si>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</si>
  <si>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</si>
  <si>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</si>
  <si>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</si>
  <si>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</si>
  <si>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</si>
  <si>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</si>
  <si>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</si>
  <si>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</si>
  <si>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</si>
  <si>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</si>
  <si>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</si>
  <si>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</si>
  <si>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</si>
  <si>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</si>
  <si>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</si>
  <si>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</si>
  <si>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</si>
  <si>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</si>
  <si>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</si>
  <si>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</si>
  <si>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</si>
  <si>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</si>
  <si>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</si>
  <si>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</si>
  <si>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</si>
  <si>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</si>
  <si>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</si>
  <si>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</si>
  <si>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</si>
  <si>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</si>
  <si>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</si>
  <si>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</si>
  <si>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</si>
  <si>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</si>
  <si>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</si>
  <si>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</si>
  <si>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</si>
  <si>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</si>
  <si>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</si>
  <si>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</si>
  <si>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</si>
  <si>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</si>
  <si>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</si>
  <si>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</si>
  <si>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</si>
  <si>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</si>
  <si>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</si>
  <si>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</si>
  <si>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</si>
  <si>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</si>
  <si>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</si>
  <si>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</si>
  <si>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</si>
  <si>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</si>
  <si>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</si>
  <si>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</si>
  <si>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</si>
  <si>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</si>
  <si>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</si>
  <si>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</si>
  <si>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</si>
  <si>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</si>
  <si>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</si>
  <si>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</si>
  <si>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</si>
  <si>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</si>
  <si>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</si>
  <si>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</si>
  <si>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</si>
  <si>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</si>
  <si>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</si>
  <si>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</si>
  <si>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</si>
  <si>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</si>
  <si>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</si>
  <si>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</si>
  <si>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</si>
  <si>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</si>
  <si>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</si>
  <si>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</si>
  <si>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</si>
  <si>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</si>
  <si>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</si>
  <si>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</si>
  <si>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</si>
  <si>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</si>
  <si>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</si>
  <si>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</si>
  <si>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</si>
  <si>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</si>
  <si>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</si>
  <si>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</si>
  <si>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</si>
  <si>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</si>
  <si>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</si>
  <si>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</si>
  <si>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</si>
  <si>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</si>
  <si>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</si>
  <si>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</si>
  <si>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</si>
  <si>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</si>
  <si>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</si>
  <si>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</si>
  <si>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</si>
  <si>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</si>
  <si>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</si>
  <si>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</si>
  <si>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</si>
  <si>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</si>
  <si>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</si>
  <si>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</si>
  <si>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</si>
  <si>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</si>
  <si>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</si>
  <si>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</si>
  <si>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</si>
  <si>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</si>
  <si>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</si>
  <si>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</si>
  <si>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</si>
  <si>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</si>
  <si>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</si>
  <si>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</si>
  <si>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</si>
  <si>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</si>
  <si>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</si>
  <si>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</si>
  <si>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</si>
  <si>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</si>
  <si>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</si>
  <si>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</si>
  <si>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</si>
  <si>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</si>
  <si>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</si>
  <si>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</si>
  <si>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</si>
  <si>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</si>
  <si>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</si>
  <si>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</si>
  <si>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</si>
  <si>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</si>
  <si>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</si>
  <si>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</si>
  <si>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</si>
  <si>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</si>
  <si>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</si>
  <si>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</si>
  <si>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</si>
  <si>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</si>
  <si>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</si>
  <si>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</si>
  <si>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</si>
  <si>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</si>
  <si>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</si>
  <si>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</si>
  <si>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</si>
  <si>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</si>
  <si>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</si>
  <si>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</si>
  <si>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</si>
  <si>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</si>
  <si>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</si>
  <si>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</si>
  <si>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</si>
  <si>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</si>
  <si>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</si>
  <si>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</si>
  <si>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</si>
  <si>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</si>
  <si>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</si>
  <si>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</si>
  <si>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</si>
  <si>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</si>
  <si>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</si>
  <si>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</si>
  <si>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</si>
  <si>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</si>
  <si>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</si>
  <si>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</si>
  <si>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</si>
  <si>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</si>
  <si>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</si>
  <si>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</si>
  <si>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</si>
  <si>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</si>
  <si>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</si>
  <si>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</si>
  <si>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</si>
  <si>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</si>
  <si>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</si>
  <si>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</si>
  <si>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</si>
  <si>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</si>
  <si>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</si>
  <si>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</si>
  <si>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</si>
  <si>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</si>
  <si>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</si>
  <si>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</si>
  <si>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</si>
  <si>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</si>
  <si>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</si>
  <si>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</si>
  <si>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</si>
  <si>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</si>
  <si>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</si>
  <si>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</si>
  <si>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</si>
  <si>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</si>
  <si>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</si>
  <si>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</si>
  <si>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</si>
  <si>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</si>
  <si>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</si>
  <si>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</si>
  <si>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</si>
  <si>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</si>
  <si>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</si>
  <si>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</si>
  <si>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</si>
  <si>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</si>
  <si>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</si>
  <si>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</si>
  <si>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</si>
  <si>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</si>
  <si>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</si>
  <si>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</si>
  <si>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</si>
  <si>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</si>
  <si>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</si>
  <si>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</si>
  <si>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</si>
  <si>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</si>
  <si>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</si>
  <si>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</si>
  <si>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</si>
  <si>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</si>
  <si>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</si>
  <si>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</si>
  <si>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</si>
  <si>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</si>
  <si>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</si>
  <si>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</si>
  <si>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</si>
  <si>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</si>
  <si>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</si>
  <si>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</si>
  <si>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</si>
  <si>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</si>
  <si>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</si>
  <si>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</si>
  <si>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</si>
  <si>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</si>
  <si>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</si>
  <si>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</si>
  <si>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</si>
  <si>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</si>
  <si>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</si>
  <si>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</si>
  <si>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</si>
  <si>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</si>
  <si>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</si>
  <si>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</si>
  <si>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</si>
  <si>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</si>
  <si>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</si>
  <si>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</si>
  <si>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</si>
  <si>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</si>
  <si>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</si>
  <si>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</si>
  <si>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</si>
  <si>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</si>
  <si>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</si>
  <si>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</si>
  <si>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</si>
  <si>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</si>
  <si>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</si>
  <si>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</si>
  <si>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</si>
  <si>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</si>
  <si>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</si>
  <si>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</si>
  <si>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Utility Name:  Erie Thames Powerlines</t>
  </si>
  <si>
    <t>Jan. 1 2005</t>
  </si>
  <si>
    <t>Dec. 31 2005</t>
  </si>
  <si>
    <t>X</t>
  </si>
  <si>
    <t xml:space="preserve">      Interest Income on Regulatory Assets</t>
  </si>
  <si>
    <t xml:space="preserve">     Regulatory and Professional</t>
  </si>
  <si>
    <t xml:space="preserve">     Community Relations</t>
  </si>
  <si>
    <t>Current and Deferred Income Taxes</t>
  </si>
  <si>
    <t>Method # 1</t>
  </si>
  <si>
    <t>Graig Pettit</t>
  </si>
  <si>
    <t>519-485-1820 ext 256</t>
  </si>
  <si>
    <t>graigp@erie-thamespower.com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</si>
</sst>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%"/>
    <numFmt numFmtId="181" formatCode="#,##0.0000_);\(#,##0.0000\)"/>
    <numFmt numFmtId="182" formatCode="#,##0.0_);\(#,##0.0\)"/>
    <numFmt numFmtId="183" formatCode="0.00000%"/>
    <numFmt numFmtId="184" formatCode="&quot;$&quot;#,##0"/>
    <numFmt numFmtId="185" formatCode="&quot;$&quot;#,##0.00"/>
    <numFmt numFmtId="186" formatCode="0.000%"/>
    <numFmt numFmtId="187" formatCode="0_);[Red]\(0\)"/>
    <numFmt numFmtId="188" formatCode="0.0%"/>
    <numFmt numFmtId="189" formatCode="0.00000"/>
    <numFmt numFmtId="190" formatCode="mm/dd/yyyy"/>
    <numFmt numFmtId="191" formatCode="&quot;$&quot;#,##0.000"/>
    <numFmt numFmtId="192" formatCode="&quot;$&quot;#,##0.00000"/>
    <numFmt numFmtId="193" formatCode="&quot;$&quot;#,##0.0000"/>
    <numFmt numFmtId="194" formatCode="_-* #,##0.0_-;\-* #,##0.0_-;_-* &quot;-&quot;??_-;_-@_-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(&quot;$&quot;* #,##0.0_);_(&quot;$&quot;* \(#,##0.0\);_(&quot;$&quot;* &quot;-&quot;_);_(@_)"/>
    <numFmt numFmtId="200" formatCode="0.000000"/>
    <numFmt numFmtId="201" formatCode="_-&quot;$&quot;* #,##0.0_-;\-&quot;$&quot;* #,##0.0_-;_-&quot;$&quot;* &quot;-&quot;??_-;_-@_-"/>
    <numFmt numFmtId="202" formatCode="_-&quot;$&quot;* #,##0_-;\-&quot;$&quot;* #,##0_-;_-&quot;$&quot;* &quot;-&quot;??_-;_-@_-"/>
    <numFmt numFmtId="203" formatCode="[$€-2]\ #,##0.00_);[Red]\([$€-2]\ #,##0.00\)"/>
    <numFmt numFmtId="204" formatCode="#,##0_ ;[Red]\-#,##0\ "/>
    <numFmt numFmtId="205" formatCode="0.0000000"/>
    <numFmt numFmtId="206" formatCode="0.0000"/>
    <numFmt numFmtId="207" formatCode="0.000"/>
    <numFmt numFmtId="208" formatCode="0.0"/>
    <numFmt numFmtId="209" formatCode="0.0000\ ;\ \(0.0000\)"/>
    <numFmt numFmtId="210" formatCode="#,##0.00_ ;[Red]\-#,##0.00\ "/>
    <numFmt numFmtId="211" formatCode="#,##0.0000_ ;[Red]\-#,##0.0000\ "/>
    <numFmt numFmtId="212" formatCode="0.0000000000000"/>
    <numFmt numFmtId="213" formatCode="_(&quot;$&quot;* #,##0.0000_);_(&quot;$&quot;* \(#,##0.0000\);_(&quot;$&quot;* &quot;-&quot;????_);_(@_)"/>
    <numFmt numFmtId="214" formatCode="&quot;$&quot;#,##0.0_);[Red]\(&quot;$&quot;#,##0.0\)"/>
    <numFmt numFmtId="215" formatCode="mmmm\ d\,\ yyyy"/>
    <numFmt numFmtId="216" formatCode="[$-1009]mmmm\ d\,\ yyyy"/>
    <numFmt numFmtId="217" formatCode="[$-F800]dddd\,\ mmmm\ dd\,\ yyyy"/>
    <numFmt numFmtId="218" formatCode="\ @"/>
  </numFmts>
  <fonts count="5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1" fillId="0" borderId="0" applyNumberFormat="0" applyFill="0" applyBorder="0" applyAlignment="0" applyProtection="0"/>
  </cellStyleXfs>
  <cellXfs count="55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5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80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80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80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83" fontId="0" fillId="36" borderId="14" xfId="0" applyNumberFormat="1" applyFill="1" applyBorder="1" applyAlignment="1" applyProtection="1">
      <alignment vertical="top"/>
      <protection/>
    </xf>
    <xf numFmtId="183" fontId="0" fillId="36" borderId="14" xfId="0" applyNumberFormat="1" applyFill="1" applyBorder="1" applyAlignment="1" applyProtection="1">
      <alignment horizontal="right" vertical="top"/>
      <protection/>
    </xf>
    <xf numFmtId="181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80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80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86" fontId="0" fillId="36" borderId="24" xfId="0" applyNumberFormat="1" applyFill="1" applyBorder="1" applyAlignment="1" applyProtection="1">
      <alignment horizontal="center" vertical="top"/>
      <protection locked="0"/>
    </xf>
    <xf numFmtId="186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86" fontId="0" fillId="40" borderId="24" xfId="0" applyNumberFormat="1" applyFill="1" applyBorder="1" applyAlignment="1" applyProtection="1">
      <alignment horizontal="center" vertical="top"/>
      <protection locked="0"/>
    </xf>
    <xf numFmtId="186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184" fontId="0" fillId="40" borderId="41" xfId="0" applyNumberFormat="1" applyFill="1" applyBorder="1" applyAlignment="1" applyProtection="1">
      <alignment vertical="top"/>
      <protection/>
    </xf>
    <xf numFmtId="0" fontId="3" fillId="36" borderId="54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37" borderId="0" xfId="0" applyFont="1" applyFill="1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ulatory%20Info\Erie%20Thames%202004%20PILS%20Fi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gulatory%20Info\SIMPIL_MODEL_2003_ver2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ate%20Info\2005%20Rates\Erie%20Thames%20Rate%20App%20Documents\2005%20Revised%20Rates\Erie%20Thames%202005%20Pils%20Mar%2016%202005%20revi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 Rates"/>
      <sheetName val="Checklist"/>
      <sheetName val="Background Questionnaire"/>
      <sheetName val="PILs Variance Analysis"/>
    </sheetNames>
    <definedNames>
      <definedName name="Ratebase" refersTo="=REGINFO!$D$31"/>
    </definedNames>
    <sheetDataSet>
      <sheetData sheetId="0">
        <row r="31">
          <cell r="D31">
            <v>16104265</v>
          </cell>
        </row>
        <row r="33">
          <cell r="D33">
            <v>0.5</v>
          </cell>
        </row>
        <row r="37">
          <cell r="D37">
            <v>0.0988</v>
          </cell>
        </row>
        <row r="39">
          <cell r="D39">
            <v>0.0725</v>
          </cell>
        </row>
        <row r="43">
          <cell r="D43">
            <v>545161</v>
          </cell>
        </row>
      </sheetData>
      <sheetData sheetId="8">
        <row r="13">
          <cell r="C13">
            <v>186732</v>
          </cell>
          <cell r="E13">
            <v>659320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HREE TAX RATES"/>
      <sheetName val="Checklist"/>
      <sheetName val="Background questionnaire"/>
      <sheetName val="PIL variance analysis"/>
    </sheetNames>
    <sheetDataSet>
      <sheetData sheetId="1">
        <row r="20">
          <cell r="C20">
            <v>866731</v>
          </cell>
        </row>
        <row r="32">
          <cell r="C32">
            <v>585215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0">
        <row r="47">
          <cell r="C47">
            <v>11838.85</v>
          </cell>
        </row>
      </sheetData>
      <sheetData sheetId="1">
        <row r="44">
          <cell r="C44">
            <v>28000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raigp@erie-thamespower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31">
      <selection activeCell="B30" sqref="B3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587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3" t="s">
        <v>634</v>
      </c>
      <c r="C3" s="8"/>
      <c r="D3" s="509" t="s">
        <v>578</v>
      </c>
      <c r="E3" s="8"/>
      <c r="F3" s="8"/>
      <c r="G3" s="8"/>
      <c r="H3" s="8"/>
    </row>
    <row r="4" spans="1:8" ht="12.75">
      <c r="A4" s="523" t="s">
        <v>493</v>
      </c>
      <c r="C4" s="8"/>
      <c r="D4" s="510" t="s">
        <v>579</v>
      </c>
      <c r="E4" s="511"/>
      <c r="H4" s="8"/>
    </row>
    <row r="5" spans="1:8" ht="12.75">
      <c r="A5" s="58"/>
      <c r="C5" s="8"/>
      <c r="D5" s="512" t="s">
        <v>580</v>
      </c>
      <c r="E5" s="448"/>
      <c r="H5" s="8"/>
    </row>
    <row r="6" spans="1:8" ht="12.75">
      <c r="A6" s="2" t="s">
        <v>205</v>
      </c>
      <c r="B6" s="438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1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0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0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90" t="s">
        <v>514</v>
      </c>
    </row>
    <row r="18" spans="1:4" ht="15" customHeight="1">
      <c r="A18" s="439" t="s">
        <v>425</v>
      </c>
      <c r="C18" s="8"/>
      <c r="D18" s="8"/>
    </row>
    <row r="19" spans="1:4" ht="15" customHeight="1">
      <c r="A19" s="530" t="s">
        <v>426</v>
      </c>
      <c r="B19" s="8" t="s">
        <v>423</v>
      </c>
      <c r="C19" s="8" t="s">
        <v>142</v>
      </c>
      <c r="D19" s="438" t="s">
        <v>513</v>
      </c>
    </row>
    <row r="20" spans="1:4" ht="13.5" thickBot="1">
      <c r="A20" s="531"/>
      <c r="B20" s="8" t="s">
        <v>424</v>
      </c>
      <c r="C20" s="8" t="s">
        <v>142</v>
      </c>
      <c r="D20" s="290" t="s">
        <v>514</v>
      </c>
    </row>
    <row r="21" spans="1:4" ht="12.75">
      <c r="A21" s="530" t="s">
        <v>588</v>
      </c>
      <c r="B21" s="8" t="s">
        <v>423</v>
      </c>
      <c r="C21" s="8"/>
      <c r="D21" s="476">
        <v>0</v>
      </c>
    </row>
    <row r="22" spans="1:4" ht="12.75">
      <c r="A22" s="530"/>
      <c r="B22" s="8" t="s">
        <v>424</v>
      </c>
      <c r="C22" s="8"/>
      <c r="D22" s="476">
        <v>1</v>
      </c>
    </row>
    <row r="23" spans="1:4" ht="7.5" customHeight="1">
      <c r="A23" s="51"/>
      <c r="C23" s="8"/>
      <c r="D23" s="438"/>
    </row>
    <row r="24" spans="1:4" ht="12.75">
      <c r="A24" s="51" t="s">
        <v>321</v>
      </c>
      <c r="C24" s="8" t="s">
        <v>322</v>
      </c>
      <c r="D24" s="477" t="s">
        <v>494</v>
      </c>
    </row>
    <row r="25" ht="6.75" customHeight="1" thickBot="1">
      <c r="A25" s="12"/>
    </row>
    <row r="26" spans="1:5" ht="12.75">
      <c r="A26" s="287" t="s">
        <v>145</v>
      </c>
      <c r="C26" s="8"/>
      <c r="E26" s="493" t="s">
        <v>406</v>
      </c>
    </row>
    <row r="27" spans="1:5" ht="13.5" thickBot="1">
      <c r="A27" s="288" t="s">
        <v>146</v>
      </c>
      <c r="C27" s="8"/>
      <c r="E27" s="529" t="s">
        <v>407</v>
      </c>
    </row>
    <row r="28" spans="1:3" ht="12.75">
      <c r="A28" s="288" t="s">
        <v>147</v>
      </c>
      <c r="C28" s="44"/>
    </row>
    <row r="29" ht="12.75">
      <c r="A29" s="289" t="s">
        <v>148</v>
      </c>
    </row>
    <row r="30" ht="12.75">
      <c r="A30" s="41"/>
    </row>
    <row r="31" spans="1:8" ht="12.75">
      <c r="A31" t="s">
        <v>401</v>
      </c>
      <c r="D31" s="474">
        <f>[2]!Ratebase</f>
        <v>16104265</v>
      </c>
      <c r="H31" s="5"/>
    </row>
    <row r="32" ht="6" customHeight="1"/>
    <row r="33" spans="1:8" ht="12.75">
      <c r="A33" t="s">
        <v>149</v>
      </c>
      <c r="D33" s="475">
        <f>'[2]REGINFO'!$D$33</f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5">
        <f>'[2]REGINFO'!$D$37</f>
        <v>0.0988</v>
      </c>
      <c r="H37" s="47"/>
    </row>
    <row r="38" ht="4.5" customHeight="1">
      <c r="H38" s="40"/>
    </row>
    <row r="39" spans="1:8" ht="12.75">
      <c r="A39" t="s">
        <v>152</v>
      </c>
      <c r="D39" s="475">
        <f>'[2]REGINFO'!$D$39</f>
        <v>0.0725</v>
      </c>
      <c r="H39" s="47"/>
    </row>
    <row r="40" ht="6" customHeight="1">
      <c r="H40" s="40"/>
    </row>
    <row r="41" spans="1:8" ht="12.75">
      <c r="A41" t="s">
        <v>153</v>
      </c>
      <c r="D41" s="283">
        <f>D31*((D33*D37)+(D35*D39))</f>
        <v>1379330.29725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78">
        <f>'[2]REGINFO'!$D$43</f>
        <v>545161</v>
      </c>
      <c r="E43" s="437">
        <f>D43</f>
        <v>545161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3">
        <f>D41-D43</f>
        <v>834169.2972500001</v>
      </c>
      <c r="H45" s="46"/>
      <c r="J45" s="5"/>
      <c r="K45" s="5"/>
    </row>
    <row r="46" spans="1:11" ht="13.5" thickBot="1">
      <c r="A46" s="2" t="s">
        <v>402</v>
      </c>
      <c r="D46" s="46"/>
      <c r="H46" s="46"/>
      <c r="J46" s="5"/>
      <c r="K46" s="5"/>
    </row>
    <row r="47" spans="1:11" ht="13.5" thickBot="1">
      <c r="A47" t="s">
        <v>507</v>
      </c>
      <c r="D47" s="528">
        <v>313567.55</v>
      </c>
      <c r="E47" s="437">
        <f aca="true" t="shared" si="0" ref="E47:E53">D47</f>
        <v>313567.55</v>
      </c>
      <c r="H47" s="46"/>
      <c r="J47" s="5"/>
      <c r="K47" s="5"/>
    </row>
    <row r="48" spans="1:11" ht="13.5" thickBot="1">
      <c r="A48" t="s">
        <v>508</v>
      </c>
      <c r="D48" s="528">
        <v>260301</v>
      </c>
      <c r="E48" s="437">
        <f t="shared" si="0"/>
        <v>260301</v>
      </c>
      <c r="F48" s="28"/>
      <c r="H48" s="46"/>
      <c r="J48" s="5"/>
      <c r="K48" s="5"/>
    </row>
    <row r="49" spans="1:11" ht="13.5" thickBot="1">
      <c r="A49" t="s">
        <v>506</v>
      </c>
      <c r="D49" s="528">
        <v>0</v>
      </c>
      <c r="E49" s="437"/>
      <c r="F49" s="28"/>
      <c r="H49" s="46"/>
      <c r="J49" s="5"/>
      <c r="K49" s="5"/>
    </row>
    <row r="50" spans="1:11" ht="12.75">
      <c r="A50" t="s">
        <v>403</v>
      </c>
      <c r="D50" s="479"/>
      <c r="E50" s="437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79">
        <f>259499.59+801.41</f>
        <v>260301</v>
      </c>
      <c r="E51" s="437">
        <f t="shared" si="0"/>
        <v>260301</v>
      </c>
      <c r="F51" s="28"/>
      <c r="H51" s="46"/>
      <c r="J51" s="5"/>
      <c r="K51" s="5"/>
    </row>
    <row r="52" spans="1:11" ht="12.75">
      <c r="A52" t="s">
        <v>509</v>
      </c>
      <c r="D52" s="478">
        <f>'[4]REGINFO'!$C$47</f>
        <v>11838.85</v>
      </c>
      <c r="E52" s="437">
        <f t="shared" si="0"/>
        <v>11838.85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404</v>
      </c>
      <c r="E54" s="286">
        <f>SUM(E43:E53)</f>
        <v>1391169.4000000001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4">
        <f>D31*D33</f>
        <v>8052132.5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4">
        <f>D56*D37</f>
        <v>795550.691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4">
        <f>D31*D35</f>
        <v>8052132.5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4">
        <f>D60*D39</f>
        <v>583779.60625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5">
        <f>IF(D41&gt;0,(((D43+D47)/D41)*D62),0)</f>
        <v>363443.1983362521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5">
        <f>IF(D41&gt;0,(((D43+D47+D48)/D41)*D62),0)</f>
        <v>473611.4557793344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5">
        <f>D62</f>
        <v>583779.60625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zoomScalePageLayoutView="0" workbookViewId="0" topLeftCell="A176">
      <selection activeCell="I133" sqref="I13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24" t="str">
        <f>REGINFO!A3</f>
        <v>Utility Name:  Erie Thames Powerlines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4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80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80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2">
        <f>REGINFO!E54</f>
        <v>1391169.4000000001</v>
      </c>
      <c r="D15" s="18"/>
      <c r="E15" s="18"/>
      <c r="F15" s="18"/>
      <c r="G15" s="22"/>
      <c r="H15" s="22"/>
      <c r="I15" s="300">
        <f>K15-C15</f>
        <v>-711006.4000000001</v>
      </c>
      <c r="J15" s="3"/>
      <c r="K15" s="300">
        <f>TAXREC!E51</f>
        <v>680163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f>'[3]TAXCALC'!$C$20</f>
        <v>866731</v>
      </c>
      <c r="D20" s="20"/>
      <c r="E20" s="20"/>
      <c r="F20" s="20"/>
      <c r="G20" s="23"/>
      <c r="H20" s="23"/>
      <c r="I20" s="300">
        <f aca="true" t="shared" si="0" ref="I20:I25">K20-C20</f>
        <v>171175</v>
      </c>
      <c r="J20" s="6"/>
      <c r="K20" s="300">
        <f>TAXREC!E62</f>
        <v>1037906</v>
      </c>
      <c r="L20" s="171"/>
    </row>
    <row r="21" spans="1:12" ht="12.75">
      <c r="A21" s="178" t="s">
        <v>134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0</v>
      </c>
      <c r="J21" s="6"/>
      <c r="K21" s="300">
        <f>TAXREC!E63</f>
        <v>0</v>
      </c>
      <c r="L21" s="171"/>
    </row>
    <row r="22" spans="1:12" ht="12.75">
      <c r="A22" s="178" t="s">
        <v>378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TAXREC!E64</f>
        <v>0</v>
      </c>
      <c r="L22" s="171"/>
    </row>
    <row r="23" spans="1:12" ht="12.75">
      <c r="A23" s="178" t="s">
        <v>377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0</v>
      </c>
      <c r="J23" s="6"/>
      <c r="K23" s="300">
        <f>TAXREC!E65</f>
        <v>0</v>
      </c>
      <c r="L23" s="171"/>
    </row>
    <row r="24" spans="1:12" ht="12.75">
      <c r="A24" s="178" t="s">
        <v>379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0</v>
      </c>
      <c r="J24" s="6"/>
      <c r="K24" s="300">
        <f>TAXREC!E66</f>
        <v>0</v>
      </c>
      <c r="L24" s="171"/>
    </row>
    <row r="25" spans="1:12" ht="12.75">
      <c r="A25" s="178" t="s">
        <v>528</v>
      </c>
      <c r="B25" s="145"/>
      <c r="C25" s="121"/>
      <c r="D25" s="20"/>
      <c r="E25" s="20"/>
      <c r="F25" s="20"/>
      <c r="G25" s="23"/>
      <c r="H25" s="23"/>
      <c r="I25" s="300">
        <f t="shared" si="0"/>
        <v>0</v>
      </c>
      <c r="J25" s="6"/>
      <c r="K25" s="300">
        <f>TAXREC!E67</f>
        <v>0</v>
      </c>
      <c r="L25" s="171"/>
    </row>
    <row r="26" spans="1:12" ht="12.75">
      <c r="A26" s="178" t="s">
        <v>131</v>
      </c>
      <c r="B26" s="145"/>
      <c r="C26" s="294"/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0</v>
      </c>
      <c r="J27" s="6"/>
      <c r="K27" s="300">
        <f>TAXREC!E93</f>
        <v>0</v>
      </c>
      <c r="L27" s="171"/>
    </row>
    <row r="28" spans="1:12" ht="12.75">
      <c r="A28" s="178" t="s">
        <v>240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1439</v>
      </c>
      <c r="J28" s="6"/>
      <c r="K28" s="300">
        <f>TAXREC!E94</f>
        <v>1439</v>
      </c>
      <c r="L28" s="171"/>
    </row>
    <row r="29" spans="1:12" ht="12.75">
      <c r="A29" s="178" t="s">
        <v>239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0</v>
      </c>
      <c r="J29" s="6"/>
      <c r="K29" s="300">
        <f>TAXREC!E68</f>
        <v>0</v>
      </c>
      <c r="L29" s="171"/>
    </row>
    <row r="30" spans="1:12" ht="12.75">
      <c r="A30" s="178" t="s">
        <v>238</v>
      </c>
      <c r="B30" s="145">
        <v>6</v>
      </c>
      <c r="C30" s="121"/>
      <c r="D30" s="20"/>
      <c r="E30" s="20"/>
      <c r="F30" s="20"/>
      <c r="G30" s="23"/>
      <c r="H30" s="23"/>
      <c r="I30" s="300">
        <f>K30-C30</f>
        <v>0</v>
      </c>
      <c r="J30" s="6"/>
      <c r="K30" s="300">
        <f>TAXREC!E69</f>
        <v>0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294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4">
        <f>'[3]TAXCALC'!$C$32</f>
        <v>585215</v>
      </c>
      <c r="D33" s="20"/>
      <c r="E33" s="20"/>
      <c r="F33" s="20"/>
      <c r="G33" s="150"/>
      <c r="H33" s="150"/>
      <c r="I33" s="300">
        <f aca="true" t="shared" si="1" ref="I33:I43">K33-C33</f>
        <v>161960</v>
      </c>
      <c r="J33" s="6"/>
      <c r="K33" s="300">
        <f>TAXREC!E98+TAXREC!E99</f>
        <v>747175</v>
      </c>
      <c r="L33" s="171"/>
    </row>
    <row r="34" spans="1:12" ht="12.75">
      <c r="A34" s="178" t="s">
        <v>135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0</v>
      </c>
      <c r="J34" s="6"/>
      <c r="K34" s="300">
        <f>TAXREC!E100</f>
        <v>0</v>
      </c>
      <c r="L34" s="171"/>
    </row>
    <row r="35" spans="1:12" ht="12.75">
      <c r="A35" s="178" t="s">
        <v>62</v>
      </c>
      <c r="B35" s="145">
        <v>9</v>
      </c>
      <c r="C35" s="294"/>
      <c r="D35" s="20"/>
      <c r="E35" s="20"/>
      <c r="F35" s="20"/>
      <c r="G35" s="150"/>
      <c r="H35" s="150"/>
      <c r="I35" s="300">
        <f t="shared" si="1"/>
        <v>43516</v>
      </c>
      <c r="J35" s="6"/>
      <c r="K35" s="300">
        <f>TAXREC!E101</f>
        <v>43516</v>
      </c>
      <c r="L35" s="171"/>
    </row>
    <row r="36" spans="1:12" ht="12.75">
      <c r="A36" s="178" t="s">
        <v>380</v>
      </c>
      <c r="B36" s="145">
        <v>10</v>
      </c>
      <c r="C36" s="294"/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TAXREC!E103+TAXREC!E104</f>
        <v>0</v>
      </c>
      <c r="L36" s="171"/>
    </row>
    <row r="37" spans="1:12" ht="12.75">
      <c r="A37" s="178" t="s">
        <v>528</v>
      </c>
      <c r="B37" s="145"/>
      <c r="C37" s="294"/>
      <c r="D37" s="20"/>
      <c r="E37" s="20"/>
      <c r="F37" s="20"/>
      <c r="G37" s="150"/>
      <c r="H37" s="150"/>
      <c r="I37" s="300">
        <f t="shared" si="1"/>
        <v>0</v>
      </c>
      <c r="J37" s="6"/>
      <c r="K37" s="300">
        <f>TAXREC!E105</f>
        <v>0</v>
      </c>
      <c r="L37" s="171"/>
    </row>
    <row r="38" spans="1:12" ht="12.75">
      <c r="A38" s="175" t="s">
        <v>164</v>
      </c>
      <c r="B38" s="143">
        <v>11</v>
      </c>
      <c r="C38" s="293">
        <f>REGINFO!D62</f>
        <v>583779.60625</v>
      </c>
      <c r="D38" s="20"/>
      <c r="E38" s="20"/>
      <c r="F38" s="20"/>
      <c r="G38" s="150"/>
      <c r="H38" s="150"/>
      <c r="I38" s="300">
        <f t="shared" si="1"/>
        <v>-986.6062499999534</v>
      </c>
      <c r="J38" s="6"/>
      <c r="K38" s="300">
        <f>TAXREC!E52</f>
        <v>582793</v>
      </c>
      <c r="L38" s="171"/>
    </row>
    <row r="39" spans="1:12" ht="12.75">
      <c r="A39" s="175" t="s">
        <v>376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0</v>
      </c>
      <c r="J39" s="6"/>
      <c r="K39" s="300">
        <f>TAXREC!E106</f>
        <v>0</v>
      </c>
      <c r="L39" s="171"/>
    </row>
    <row r="40" spans="1:12" ht="12.75">
      <c r="A40" s="175" t="s">
        <v>375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0</v>
      </c>
      <c r="J40" s="6"/>
      <c r="K40" s="300">
        <f>TAXREC!E107</f>
        <v>0</v>
      </c>
      <c r="L40" s="171"/>
    </row>
    <row r="41" spans="1:12" ht="12.75">
      <c r="A41" s="175" t="s">
        <v>28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TAXREC!E108</f>
        <v>0</v>
      </c>
      <c r="L41" s="171"/>
    </row>
    <row r="42" spans="1:12" ht="12.75">
      <c r="A42" s="175" t="s">
        <v>29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TAXREC!E109</f>
        <v>0</v>
      </c>
      <c r="L42" s="171"/>
    </row>
    <row r="43" spans="1:12" ht="12.75">
      <c r="A43" s="175" t="s">
        <v>265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TAXREC!E110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07" t="s">
        <v>548</v>
      </c>
      <c r="B45" s="145">
        <v>12</v>
      </c>
      <c r="C45" s="294">
        <f>'[4]TAXCALC'!$C$44</f>
        <v>28000</v>
      </c>
      <c r="D45" s="20"/>
      <c r="E45" s="20"/>
      <c r="F45" s="20"/>
      <c r="G45" s="150"/>
      <c r="H45" s="150"/>
      <c r="I45" s="300">
        <f>K45-C45</f>
        <v>-28000</v>
      </c>
      <c r="J45" s="6"/>
      <c r="K45" s="283">
        <f>TAXREC!E130</f>
        <v>0</v>
      </c>
      <c r="L45" s="171"/>
    </row>
    <row r="46" spans="1:12" ht="12.75">
      <c r="A46" s="178" t="s">
        <v>237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0</v>
      </c>
      <c r="J46" s="6"/>
      <c r="K46" s="283">
        <f>TAXREC!E131</f>
        <v>0</v>
      </c>
      <c r="L46" s="171"/>
    </row>
    <row r="47" spans="1:12" ht="12.75">
      <c r="A47" s="178" t="s">
        <v>234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0</v>
      </c>
      <c r="J47" s="6"/>
      <c r="K47" s="283">
        <f>TAXREC!E132</f>
        <v>0</v>
      </c>
      <c r="L47" s="171"/>
    </row>
    <row r="48" spans="1:12" ht="12.75">
      <c r="A48" s="178" t="s">
        <v>236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0</v>
      </c>
      <c r="J48" s="6"/>
      <c r="K48" s="283">
        <f>TAXREC!E111</f>
        <v>0</v>
      </c>
      <c r="L48" s="171"/>
    </row>
    <row r="49" spans="1:12" ht="12.75">
      <c r="A49" s="178" t="s">
        <v>235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0</v>
      </c>
      <c r="J49" s="6"/>
      <c r="K49" s="283">
        <f>TAXREC!E112</f>
        <v>0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6">
        <f>C15+SUM(C20:C30)-SUM(C33:C49)</f>
        <v>1060905.7937500004</v>
      </c>
      <c r="D51" s="24"/>
      <c r="E51" s="24"/>
      <c r="F51" s="24"/>
      <c r="G51" s="117"/>
      <c r="H51" s="117"/>
      <c r="I51" s="296">
        <f>I15+SUM(I20:I30)-SUM(I33:I49)</f>
        <v>-714881.7937500002</v>
      </c>
      <c r="J51" s="482" t="s">
        <v>484</v>
      </c>
      <c r="K51" s="296">
        <f>K15+SUM(K20:K30)-SUM(K33:K49)</f>
        <v>346024</v>
      </c>
      <c r="L51" s="499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5">
        <f>IF($C$51=0,'Tax Rates'!F34,IF($C$51&gt;'Tax Rates'!$E$11,'Tax Rates'!$F$16,IF($C$51&gt;'Tax Rates'!$C$11,'Tax Rates'!$E$16,'Tax Rates'!$C$16)))</f>
        <v>0.275</v>
      </c>
      <c r="D54" s="116"/>
      <c r="E54" s="116"/>
      <c r="F54" s="116"/>
      <c r="G54" s="117"/>
      <c r="H54" s="117"/>
      <c r="I54" s="301">
        <f>+K54-C54</f>
        <v>0.0011999999999999789</v>
      </c>
      <c r="J54" s="482" t="s">
        <v>622</v>
      </c>
      <c r="K54" s="295">
        <f>IF(TAXREC!E152&gt;0,TAXREC!E152,'Tax Rates'!F34)</f>
        <v>0.2762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7">
        <f>IF(C51&gt;0,C51*C54,0)</f>
        <v>291749.09328125016</v>
      </c>
      <c r="D56" s="24"/>
      <c r="E56" s="24"/>
      <c r="F56" s="24"/>
      <c r="G56" s="117"/>
      <c r="H56" s="117"/>
      <c r="I56" s="300">
        <f>K56-C56</f>
        <v>-223178.09328125016</v>
      </c>
      <c r="J56" s="482" t="s">
        <v>485</v>
      </c>
      <c r="K56" s="297">
        <f>TAXREC!E145</f>
        <v>68571</v>
      </c>
      <c r="L56" s="500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8"/>
      <c r="D59" s="20"/>
      <c r="E59" s="20"/>
      <c r="F59" s="20"/>
      <c r="G59" s="150"/>
      <c r="H59" s="150"/>
      <c r="I59" s="300">
        <f>+K59-C59</f>
        <v>0</v>
      </c>
      <c r="J59" s="482" t="s">
        <v>485</v>
      </c>
      <c r="K59" s="303">
        <f>TAXREC!E146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9">
        <f>+C56-C59</f>
        <v>291749.09328125016</v>
      </c>
      <c r="D61" s="151"/>
      <c r="E61" s="151"/>
      <c r="F61" s="151"/>
      <c r="G61" s="152"/>
      <c r="H61" s="152"/>
      <c r="I61" s="302">
        <f>+I56-I59</f>
        <v>-223178.09328125016</v>
      </c>
      <c r="J61" s="482" t="s">
        <v>485</v>
      </c>
      <c r="K61" s="302">
        <f>+K56-K59</f>
        <v>68571</v>
      </c>
      <c r="L61" s="499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7">
        <f>Ratebase</f>
        <v>16104265</v>
      </c>
      <c r="D67" s="116"/>
      <c r="E67" s="116"/>
      <c r="F67" s="116"/>
      <c r="G67" s="117"/>
      <c r="H67" s="117"/>
      <c r="I67" s="300">
        <f>K67-C67</f>
        <v>1598781.6084806435</v>
      </c>
      <c r="J67" s="6"/>
      <c r="K67" s="300">
        <f>TAXREC!E220</f>
        <v>17703046.608480643</v>
      </c>
      <c r="L67" s="171"/>
    </row>
    <row r="68" spans="1:12" ht="12.75">
      <c r="A68" s="172" t="s">
        <v>477</v>
      </c>
      <c r="B68" s="143">
        <v>16</v>
      </c>
      <c r="C68" s="293">
        <f>IF(C67&gt;0,'Tax Rates'!C21,0)</f>
        <v>7500000</v>
      </c>
      <c r="D68" s="116"/>
      <c r="E68" s="116"/>
      <c r="F68" s="116"/>
      <c r="G68" s="117"/>
      <c r="H68" s="117"/>
      <c r="I68" s="300">
        <f>K68-C68</f>
        <v>-2130203</v>
      </c>
      <c r="J68" s="6"/>
      <c r="K68" s="300">
        <f>TAXREC!E223</f>
        <v>5369797</v>
      </c>
      <c r="L68" s="171"/>
    </row>
    <row r="69" spans="1:12" ht="12.75">
      <c r="A69" s="172" t="s">
        <v>59</v>
      </c>
      <c r="B69" s="143"/>
      <c r="C69" s="297">
        <f>IF((C67-C68)&gt;0,C67-C68,0)</f>
        <v>8604265</v>
      </c>
      <c r="D69" s="116"/>
      <c r="E69" s="116"/>
      <c r="F69" s="116"/>
      <c r="G69" s="117"/>
      <c r="H69" s="117"/>
      <c r="I69" s="300">
        <f>SUM(I67:I68)</f>
        <v>-531421.3915193565</v>
      </c>
      <c r="J69" s="130"/>
      <c r="K69" s="297">
        <f>IF((K67-K68)&gt;0,K67-K68,0)</f>
        <v>12333249.608480643</v>
      </c>
      <c r="L69" s="499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TAXREC!E227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7">
        <f>IF(C69&gt;0,C69*C71,0)*REGINFO!$B$6/REGINFO!$B$7</f>
        <v>25812.795000000002</v>
      </c>
      <c r="D73" s="114"/>
      <c r="E73" s="114"/>
      <c r="F73" s="114"/>
      <c r="G73" s="115"/>
      <c r="H73" s="115"/>
      <c r="I73" s="300">
        <f>+K73-C73</f>
        <v>11187.204999999998</v>
      </c>
      <c r="J73" s="130"/>
      <c r="K73" s="297">
        <f>TAXREC!E234</f>
        <v>37000</v>
      </c>
      <c r="L73" s="500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7">
        <f>Ratebase</f>
        <v>16104265</v>
      </c>
      <c r="D76" s="116"/>
      <c r="E76" s="116"/>
      <c r="F76" s="116"/>
      <c r="G76" s="117"/>
      <c r="H76" s="117"/>
      <c r="I76" s="300">
        <f>+K76-C76</f>
        <v>-16104265</v>
      </c>
      <c r="J76" s="6"/>
      <c r="K76" s="300">
        <f>TAXREC!E285</f>
        <v>0</v>
      </c>
      <c r="L76" s="171"/>
    </row>
    <row r="77" spans="1:12" ht="12.75">
      <c r="A77" s="172" t="s">
        <v>477</v>
      </c>
      <c r="B77" s="143">
        <v>19</v>
      </c>
      <c r="C77" s="293">
        <f>IF(C76&gt;0,'Tax Rates'!C22,0)</f>
        <v>50000000</v>
      </c>
      <c r="D77" s="20"/>
      <c r="E77" s="20"/>
      <c r="F77" s="20"/>
      <c r="G77" s="23"/>
      <c r="H77" s="23"/>
      <c r="I77" s="300">
        <f>+K77-C77</f>
        <v>-50000000</v>
      </c>
      <c r="J77" s="6"/>
      <c r="K77" s="300">
        <f>TAXREC!E287</f>
        <v>0</v>
      </c>
      <c r="L77" s="171"/>
    </row>
    <row r="78" spans="1:12" ht="12.75">
      <c r="A78" s="172" t="s">
        <v>59</v>
      </c>
      <c r="B78" s="143"/>
      <c r="C78" s="297">
        <f>IF((C76-C77)&gt;0,C76-C77,0)</f>
        <v>0</v>
      </c>
      <c r="D78" s="24"/>
      <c r="E78" s="24"/>
      <c r="F78" s="24"/>
      <c r="G78" s="25"/>
      <c r="H78" s="25"/>
      <c r="I78" s="300">
        <f>SUM(I76:I77)</f>
        <v>-66104265</v>
      </c>
      <c r="J78" s="130"/>
      <c r="K78" s="297">
        <f>IF((K76-K77)&gt;0,K76-K77,0)</f>
        <v>0</v>
      </c>
      <c r="L78" s="499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TAXREC!E291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7">
        <f>IF(C78&gt;0,C78*C80,0)*REGINFO!$B$6/REGINFO!$B$7</f>
        <v>0</v>
      </c>
      <c r="D82" s="116"/>
      <c r="E82" s="116"/>
      <c r="F82" s="116"/>
      <c r="G82" s="117"/>
      <c r="H82" s="117"/>
      <c r="I82" s="300">
        <f>+K82-C82</f>
        <v>0</v>
      </c>
      <c r="J82" s="6"/>
      <c r="K82" s="297">
        <f>TAXREC!E296</f>
        <v>0</v>
      </c>
      <c r="L82" s="171"/>
    </row>
    <row r="83" spans="1:12" ht="12.75">
      <c r="A83" s="172" t="s">
        <v>429</v>
      </c>
      <c r="B83" s="143">
        <v>21</v>
      </c>
      <c r="C83" s="347">
        <f>IF(C78&gt;0,IF(C61&gt;0,C51*'Tax Rates'!C20,0),0)</f>
        <v>0</v>
      </c>
      <c r="D83" s="116"/>
      <c r="E83" s="116"/>
      <c r="F83" s="116"/>
      <c r="G83" s="117"/>
      <c r="H83" s="117"/>
      <c r="I83" s="300">
        <f>+K83-C83</f>
        <v>0</v>
      </c>
      <c r="J83" s="6"/>
      <c r="K83" s="297">
        <f>TAXREC!E300</f>
        <v>0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7">
        <f>IF(C82&gt;C83,C82-C83,0)</f>
        <v>0</v>
      </c>
      <c r="D85" s="21"/>
      <c r="E85" s="114"/>
      <c r="F85" s="21"/>
      <c r="G85" s="16"/>
      <c r="H85" s="16"/>
      <c r="I85" s="300">
        <f>+K85-C85</f>
        <v>0</v>
      </c>
      <c r="J85" s="118"/>
      <c r="K85" s="297">
        <f>IF(K82&gt;K83,K82-K83,0)</f>
        <v>0</v>
      </c>
      <c r="L85" s="500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585</v>
      </c>
      <c r="B89" s="143"/>
      <c r="C89" s="295">
        <f>IF($C$51=0,'Tax Rates'!F16,IF($C$51&gt;'Tax Rates'!$E$11,'Tax Rates'!$F$16,IF(AND($C$51&gt;='Tax Rates'!$C$11,$C$51&lt;='Tax Rates'!E11),'Tax Rates'!$E$16,'Tax Rates'!$C$16)))</f>
        <v>0.275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7">
        <f>C61/(1-C89)</f>
        <v>402412.5424568968</v>
      </c>
      <c r="D91" s="113"/>
      <c r="E91" s="113"/>
      <c r="F91" s="113"/>
      <c r="G91" s="26"/>
      <c r="H91" s="26"/>
      <c r="I91" s="159"/>
      <c r="J91" s="481" t="s">
        <v>496</v>
      </c>
      <c r="K91" s="303">
        <f>TAXREC!E308</f>
        <v>68571</v>
      </c>
      <c r="L91" s="171"/>
    </row>
    <row r="92" spans="1:12" ht="12.75">
      <c r="A92" s="178" t="s">
        <v>487</v>
      </c>
      <c r="B92" s="145">
        <v>23</v>
      </c>
      <c r="C92" s="297">
        <f>C85/(1-C89)</f>
        <v>0</v>
      </c>
      <c r="D92" s="113"/>
      <c r="E92" s="113"/>
      <c r="F92" s="113"/>
      <c r="G92" s="26"/>
      <c r="H92" s="26"/>
      <c r="I92" s="159"/>
      <c r="J92" s="481" t="s">
        <v>496</v>
      </c>
      <c r="K92" s="303">
        <f>TAXREC!E310</f>
        <v>0</v>
      </c>
      <c r="L92" s="171"/>
    </row>
    <row r="93" spans="1:12" ht="12.75">
      <c r="A93" s="178" t="s">
        <v>455</v>
      </c>
      <c r="B93" s="145">
        <v>24</v>
      </c>
      <c r="C93" s="297">
        <f>C73</f>
        <v>25812.795000000002</v>
      </c>
      <c r="D93" s="113"/>
      <c r="E93" s="113"/>
      <c r="F93" s="113"/>
      <c r="G93" s="26"/>
      <c r="H93" s="26"/>
      <c r="I93" s="159"/>
      <c r="J93" s="481" t="s">
        <v>496</v>
      </c>
      <c r="K93" s="303">
        <f>TAXREC!E309</f>
        <v>37000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2">
        <f>SUM(C91:C94)</f>
        <v>428225.3374568968</v>
      </c>
      <c r="D96" s="99"/>
      <c r="E96" s="99"/>
      <c r="F96" s="99"/>
      <c r="G96" s="6"/>
      <c r="H96" s="6"/>
      <c r="I96" s="159"/>
      <c r="J96" s="481" t="s">
        <v>496</v>
      </c>
      <c r="K96" s="464">
        <f>SUM(K91:K95)</f>
        <v>105571</v>
      </c>
      <c r="L96" s="181"/>
    </row>
    <row r="97" spans="1:12" ht="12.75">
      <c r="A97" s="453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0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0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0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0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43516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616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0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0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0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0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7">
        <f>SUM(I103:I108)-SUM(I110:I119)</f>
        <v>-43516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549</v>
      </c>
      <c r="B123" s="145"/>
      <c r="C123" s="128"/>
      <c r="D123" s="3"/>
      <c r="E123" s="3"/>
      <c r="F123" s="3"/>
      <c r="G123" s="3"/>
      <c r="H123" s="3" t="s">
        <v>343</v>
      </c>
      <c r="I123" s="359">
        <f>K54</f>
        <v>0.2762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7">
        <f>I121*I123</f>
        <v>-12019.1192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7">
        <f>I125-I127</f>
        <v>-12019.1192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550</v>
      </c>
      <c r="B131" s="145"/>
      <c r="C131" s="128"/>
      <c r="D131" s="3"/>
      <c r="E131" s="3"/>
      <c r="F131" s="3"/>
      <c r="G131" s="3"/>
      <c r="H131" s="3"/>
      <c r="I131" s="359">
        <f>K54-1.12%</f>
        <v>0.265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6">
        <f>I129/(1-I131)</f>
        <v>-16352.5431292517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9">
        <f>C51</f>
        <v>1060905.7937500004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9">
        <f>IF($C$51=0,'Tax Rates'!F52,IF((C51)&gt;'Tax Rates'!E47,'Tax Rates'!F52,IF((C51)&gt;'Tax Rates'!D47,'Tax Rates'!E52,IF((C51)&gt;'Tax Rates'!C47,'Tax Rates'!D52,'Tax Rates'!C52))))</f>
        <v>0.3187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50">
        <f>IF(I137&gt;0,I137*I139,0)</f>
        <v>338110.67646812514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51">
        <f>TAXREC!E146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9">
        <f>I141-I143</f>
        <v>338110.67646812514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618</v>
      </c>
      <c r="B147" s="148"/>
      <c r="C147" s="128"/>
      <c r="D147" s="3"/>
      <c r="E147" s="3"/>
      <c r="F147" s="3"/>
      <c r="G147" s="135"/>
      <c r="H147" s="135" t="s">
        <v>273</v>
      </c>
      <c r="I147" s="349">
        <f>C61</f>
        <v>291749.09328125016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9">
        <f>I145-I147</f>
        <v>46361.58318687498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36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9">
        <f>C67</f>
        <v>16104265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2">
        <f>IF(I152&gt;0,'Tax Rates'!C39,0)</f>
        <v>7500000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9">
        <f>I152-I153</f>
        <v>8604265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9">
        <f>IF(I154&gt;0,I154*I156,0)</f>
        <v>25812.795000000002</v>
      </c>
      <c r="J158" s="43"/>
      <c r="K158" s="220"/>
      <c r="L158" s="181"/>
    </row>
    <row r="159" spans="1:12" ht="25.5">
      <c r="A159" s="188" t="s">
        <v>619</v>
      </c>
      <c r="B159" s="148"/>
      <c r="C159" s="128"/>
      <c r="D159" s="3"/>
      <c r="E159" s="3"/>
      <c r="F159" s="3"/>
      <c r="G159" s="135"/>
      <c r="H159" s="135" t="s">
        <v>273</v>
      </c>
      <c r="I159" s="352">
        <f>C73</f>
        <v>25812.795000000002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9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348</v>
      </c>
      <c r="B162" s="148"/>
      <c r="C162" s="128"/>
      <c r="D162" s="3"/>
      <c r="E162" s="3"/>
      <c r="F162" s="3"/>
      <c r="G162" s="136"/>
      <c r="H162" s="136"/>
      <c r="I162" s="522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9">
        <f>C76</f>
        <v>16104265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2">
        <f>IF(I163&gt;0,'Tax Rates'!C40,0)</f>
        <v>50000000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9">
        <f>I163-I164</f>
        <v>-33895735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539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0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4">
        <f>IF(I165&gt;0,IF(I145&gt;0,I137*'Tax Rates'!C56,0),0)</f>
        <v>0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9">
        <f>IF(I169&gt;I170,I169-I170,0)</f>
        <v>0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552</v>
      </c>
      <c r="B173" s="148"/>
      <c r="C173" s="128"/>
      <c r="D173" s="3"/>
      <c r="E173" s="3"/>
      <c r="F173" s="3"/>
      <c r="G173" s="135"/>
      <c r="H173" s="135" t="s">
        <v>273</v>
      </c>
      <c r="I173" s="352">
        <f>C85</f>
        <v>0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551</v>
      </c>
      <c r="B176" s="148"/>
      <c r="C176" s="128"/>
      <c r="D176" s="3"/>
      <c r="E176" s="3"/>
      <c r="F176" s="3"/>
      <c r="G176" s="136"/>
      <c r="H176" s="136"/>
      <c r="I176" s="359">
        <f>K54-1.12%</f>
        <v>0.265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9">
        <f>I149/(1-I176)</f>
        <v>63076.98392772106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9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9">
        <f>SUM(I178:I180)</f>
        <v>63076.98392772106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620</v>
      </c>
      <c r="B184" s="148"/>
      <c r="C184" s="128"/>
      <c r="D184" s="3"/>
      <c r="E184" s="3"/>
      <c r="F184" s="3"/>
      <c r="G184" s="136"/>
      <c r="H184" s="136" t="s">
        <v>272</v>
      </c>
      <c r="I184" s="349">
        <f>I133</f>
        <v>-16352.5431292517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9">
        <f>I182+I184</f>
        <v>46724.44079846936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5">
        <f>REGINFO!D62</f>
        <v>583779.60625</v>
      </c>
      <c r="J194" s="3"/>
      <c r="K194" s="140"/>
      <c r="L194" s="181"/>
    </row>
    <row r="195" spans="1:12" ht="12.75">
      <c r="A195" s="175" t="s">
        <v>540</v>
      </c>
      <c r="B195" s="145"/>
      <c r="C195" s="128"/>
      <c r="D195" s="118"/>
      <c r="E195" s="118"/>
      <c r="F195" s="118"/>
      <c r="G195" s="137"/>
      <c r="H195" s="137"/>
      <c r="I195" s="355">
        <f>C38</f>
        <v>583779.60625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541</v>
      </c>
      <c r="B202" s="145"/>
      <c r="C202" s="128"/>
      <c r="D202" s="118"/>
      <c r="E202" s="118"/>
      <c r="F202" s="118"/>
      <c r="G202" s="137"/>
      <c r="H202" s="137"/>
      <c r="I202" s="355">
        <f>K38+K43</f>
        <v>582793</v>
      </c>
      <c r="J202" s="3"/>
      <c r="K202" s="140"/>
      <c r="L202" s="181"/>
    </row>
    <row r="203" spans="1:12" ht="12.75">
      <c r="A203" s="175" t="s">
        <v>542</v>
      </c>
      <c r="B203" s="145"/>
      <c r="C203" s="128"/>
      <c r="D203" s="118"/>
      <c r="E203" s="118"/>
      <c r="F203" s="118"/>
      <c r="G203" s="137"/>
      <c r="H203" s="137"/>
      <c r="I203" s="355">
        <f>REGINFO!D62</f>
        <v>583779.60625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0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617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0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6">
        <f>+I197-I205</f>
        <v>0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5"/>
  <sheetViews>
    <sheetView zoomScalePageLayoutView="0" workbookViewId="0" topLeftCell="A170">
      <selection activeCell="C144" sqref="C144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27" t="s">
        <v>633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Erie Thames Powerlines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319" t="s">
        <v>635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319" t="s">
        <v>636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4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1">
        <f>Ratebase*REGINFO!D33*0.25%</f>
        <v>20130.33125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19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19" t="s">
        <v>514</v>
      </c>
      <c r="D15" s="31"/>
      <c r="E15" s="31"/>
      <c r="F15" s="26"/>
      <c r="G15" s="3"/>
      <c r="H15" s="3"/>
      <c r="I15" s="3"/>
    </row>
    <row r="16" spans="1:9" ht="12.75">
      <c r="A16" s="346" t="s">
        <v>340</v>
      </c>
      <c r="B16" s="26" t="s">
        <v>142</v>
      </c>
      <c r="C16" s="319" t="s">
        <v>514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19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628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436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370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334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434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435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389</v>
      </c>
      <c r="B31" s="29" t="s">
        <v>272</v>
      </c>
      <c r="C31" s="319">
        <f>39380916-5447938+1</f>
        <v>33932979</v>
      </c>
      <c r="D31" s="320"/>
      <c r="E31" s="318">
        <f>C31-D31</f>
        <v>33932979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9">
        <v>5447938</v>
      </c>
      <c r="D32" s="320"/>
      <c r="E32" s="318">
        <f>C32-D32</f>
        <v>5447938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19">
        <v>23759</v>
      </c>
      <c r="D33" s="320"/>
      <c r="E33" s="318">
        <f>C33-D33</f>
        <v>23759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9">
        <v>307238</v>
      </c>
      <c r="D34" s="320"/>
      <c r="E34" s="318">
        <f>C34-D34</f>
        <v>307238</v>
      </c>
      <c r="F34" s="11"/>
      <c r="G34" s="11"/>
      <c r="H34" s="6"/>
      <c r="I34" s="6"/>
    </row>
    <row r="35" spans="1:9" ht="13.5" thickBot="1">
      <c r="A35" s="4" t="s">
        <v>638</v>
      </c>
      <c r="B35" s="29" t="s">
        <v>272</v>
      </c>
      <c r="C35" s="319">
        <v>349154</v>
      </c>
      <c r="D35" s="320"/>
      <c r="E35" s="318">
        <f>C35-D35</f>
        <v>349154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9">
        <v>33932978</v>
      </c>
      <c r="D39" s="320"/>
      <c r="E39" s="318">
        <f>C39-D39</f>
        <v>33932978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9">
        <v>310821</v>
      </c>
      <c r="D40" s="320"/>
      <c r="E40" s="318">
        <f aca="true" t="shared" si="0" ref="E40:E49">C40-D40</f>
        <v>310821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9">
        <v>617738</v>
      </c>
      <c r="D41" s="320"/>
      <c r="E41" s="318">
        <f t="shared" si="0"/>
        <v>617738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9">
        <v>2982088</v>
      </c>
      <c r="D42" s="320"/>
      <c r="E42" s="318">
        <f t="shared" si="0"/>
        <v>2982088</v>
      </c>
      <c r="F42" s="11"/>
      <c r="G42" s="11"/>
      <c r="H42" s="6"/>
      <c r="I42" s="6"/>
    </row>
    <row r="43" spans="1:9" ht="12.75">
      <c r="A43" s="508" t="s">
        <v>577</v>
      </c>
      <c r="B43" s="29" t="s">
        <v>273</v>
      </c>
      <c r="C43" s="319">
        <v>1037906</v>
      </c>
      <c r="D43" s="320"/>
      <c r="E43" s="318">
        <f t="shared" si="0"/>
        <v>1037906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9"/>
      <c r="D44" s="320"/>
      <c r="E44" s="318">
        <f t="shared" si="0"/>
        <v>0</v>
      </c>
      <c r="F44" s="11"/>
      <c r="G44" s="11"/>
      <c r="H44" s="6"/>
      <c r="I44" s="6"/>
    </row>
    <row r="45" spans="1:11" ht="12.75">
      <c r="A45" s="508" t="s">
        <v>576</v>
      </c>
      <c r="B45" s="29" t="s">
        <v>273</v>
      </c>
      <c r="C45" s="319"/>
      <c r="D45" s="320"/>
      <c r="E45" s="318">
        <f t="shared" si="0"/>
        <v>0</v>
      </c>
      <c r="F45" s="11"/>
      <c r="G45" s="11"/>
      <c r="H45" s="39"/>
      <c r="I45" s="39"/>
      <c r="J45" s="38"/>
      <c r="K45" s="38"/>
    </row>
    <row r="46" spans="1:11" ht="12.75">
      <c r="A46" s="4" t="s">
        <v>639</v>
      </c>
      <c r="B46" s="29" t="s">
        <v>273</v>
      </c>
      <c r="C46" s="319">
        <v>475164</v>
      </c>
      <c r="D46" s="320"/>
      <c r="E46" s="318">
        <f t="shared" si="0"/>
        <v>475164</v>
      </c>
      <c r="F46" s="11"/>
      <c r="G46" s="95"/>
      <c r="H46" s="39"/>
      <c r="I46" s="39"/>
      <c r="J46" s="38"/>
      <c r="K46" s="38"/>
    </row>
    <row r="47" spans="1:11" ht="12.75">
      <c r="A47" s="4" t="s">
        <v>640</v>
      </c>
      <c r="B47" s="29" t="s">
        <v>273</v>
      </c>
      <c r="C47" s="319">
        <v>24210</v>
      </c>
      <c r="D47" s="320"/>
      <c r="E47" s="318">
        <f t="shared" si="0"/>
        <v>24210</v>
      </c>
      <c r="F47" s="11"/>
      <c r="G47" s="11"/>
      <c r="H47" s="39"/>
      <c r="I47" s="39"/>
      <c r="J47" s="38"/>
      <c r="K47" s="38"/>
    </row>
    <row r="48" spans="1:11" ht="12.75">
      <c r="A48" s="4"/>
      <c r="B48" s="29" t="s">
        <v>273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11" ht="13.5" thickBot="1">
      <c r="A49" s="54"/>
      <c r="B49" s="29" t="s">
        <v>273</v>
      </c>
      <c r="C49" s="319"/>
      <c r="D49" s="320"/>
      <c r="E49" s="318">
        <f t="shared" si="0"/>
        <v>0</v>
      </c>
      <c r="F49" s="11"/>
      <c r="G49" s="11"/>
      <c r="H49" s="39"/>
      <c r="I49" s="39"/>
      <c r="J49" s="38"/>
      <c r="K49" s="38"/>
    </row>
    <row r="50" spans="1:9" ht="12.75">
      <c r="A50" s="63"/>
      <c r="B50" s="29"/>
      <c r="C50" s="48"/>
      <c r="D50" s="49"/>
      <c r="E50" s="69"/>
      <c r="F50" s="11"/>
      <c r="G50" s="11"/>
      <c r="H50" s="6"/>
      <c r="I50" s="6"/>
    </row>
    <row r="51" spans="1:9" ht="12.75">
      <c r="A51" s="2" t="s">
        <v>160</v>
      </c>
      <c r="B51" s="29" t="s">
        <v>275</v>
      </c>
      <c r="C51" s="315">
        <f>SUM(C31:C36)-SUM(C39:C50)</f>
        <v>680163</v>
      </c>
      <c r="D51" s="315">
        <f>SUM(D31:D36)-SUM(D39:D50)</f>
        <v>0</v>
      </c>
      <c r="E51" s="315">
        <f>SUM(E31:E35)-SUM(E39:E49)</f>
        <v>680163</v>
      </c>
      <c r="F51" s="11"/>
      <c r="G51" s="11"/>
      <c r="H51" s="6"/>
      <c r="I51" s="6"/>
    </row>
    <row r="52" spans="1:9" ht="12.75">
      <c r="A52" s="4" t="s">
        <v>169</v>
      </c>
      <c r="B52" s="29" t="s">
        <v>273</v>
      </c>
      <c r="C52" s="319">
        <v>582793</v>
      </c>
      <c r="D52" s="319"/>
      <c r="E52" s="316">
        <f>+C52-D52</f>
        <v>582793</v>
      </c>
      <c r="F52" s="11"/>
      <c r="G52" s="11"/>
      <c r="H52" s="6"/>
      <c r="I52" s="6"/>
    </row>
    <row r="53" spans="1:6" ht="12.75">
      <c r="A53" t="s">
        <v>263</v>
      </c>
      <c r="B53" s="8" t="s">
        <v>273</v>
      </c>
      <c r="C53" s="319">
        <v>-121000</v>
      </c>
      <c r="D53" s="319"/>
      <c r="E53" s="317">
        <f>+C53-D53</f>
        <v>-121000</v>
      </c>
      <c r="F53" s="8"/>
    </row>
    <row r="54" spans="1:6" ht="12.75">
      <c r="A54" s="2" t="s">
        <v>210</v>
      </c>
      <c r="B54" s="8" t="s">
        <v>275</v>
      </c>
      <c r="C54" s="315">
        <f>C51-C52-C53</f>
        <v>218370</v>
      </c>
      <c r="D54" s="315">
        <f>D51-D52-D53</f>
        <v>0</v>
      </c>
      <c r="E54" s="315">
        <f>E51-E52-E53</f>
        <v>218370</v>
      </c>
      <c r="F54" s="8"/>
    </row>
    <row r="55" spans="1:6" ht="36">
      <c r="A55" s="98" t="s">
        <v>624</v>
      </c>
      <c r="B55" s="8"/>
      <c r="C55" s="35"/>
      <c r="D55" s="35"/>
      <c r="E55" s="35"/>
      <c r="F55" s="8"/>
    </row>
    <row r="56" spans="1:6" ht="12.75">
      <c r="A56" s="93"/>
      <c r="B56" s="8"/>
      <c r="C56" s="35"/>
      <c r="D56" s="35"/>
      <c r="E56" s="35"/>
      <c r="F56" s="8"/>
    </row>
    <row r="57" spans="1:6" ht="12.75">
      <c r="A57" s="14" t="s">
        <v>258</v>
      </c>
      <c r="B57" s="8"/>
      <c r="C57" s="35"/>
      <c r="D57" s="35"/>
      <c r="E57" s="35"/>
      <c r="F57" s="8"/>
    </row>
    <row r="58" spans="1:6" ht="12.75">
      <c r="A58" s="15" t="s">
        <v>246</v>
      </c>
      <c r="B58" s="8"/>
      <c r="C58" s="35"/>
      <c r="D58" s="35"/>
      <c r="E58" s="35"/>
      <c r="F58" s="8"/>
    </row>
    <row r="59" spans="1:6" ht="12.75">
      <c r="A59" s="2" t="s">
        <v>247</v>
      </c>
      <c r="B59" s="8"/>
      <c r="C59" s="50"/>
      <c r="D59" s="50"/>
      <c r="E59" s="50"/>
      <c r="F59" s="8"/>
    </row>
    <row r="60" spans="1:6" ht="12.75">
      <c r="A60" s="4" t="s">
        <v>176</v>
      </c>
      <c r="B60" s="8" t="s">
        <v>272</v>
      </c>
      <c r="C60" s="321">
        <f>C53</f>
        <v>-121000</v>
      </c>
      <c r="D60" s="321">
        <f>D53</f>
        <v>0</v>
      </c>
      <c r="E60" s="305">
        <f>+C60-D60</f>
        <v>-121000</v>
      </c>
      <c r="F60" s="8"/>
    </row>
    <row r="61" spans="1:6" ht="12.75">
      <c r="A61" s="4" t="s">
        <v>629</v>
      </c>
      <c r="B61" s="8" t="s">
        <v>272</v>
      </c>
      <c r="C61" s="365"/>
      <c r="D61" s="365"/>
      <c r="E61" s="305">
        <f>+C61-D61</f>
        <v>0</v>
      </c>
      <c r="F61" s="8"/>
    </row>
    <row r="62" spans="1:6" ht="12.75">
      <c r="A62" t="s">
        <v>20</v>
      </c>
      <c r="B62" s="8" t="s">
        <v>272</v>
      </c>
      <c r="C62" s="321">
        <f>C43</f>
        <v>1037906</v>
      </c>
      <c r="D62" s="321">
        <f>D43</f>
        <v>0</v>
      </c>
      <c r="E62" s="305">
        <f>+C62-D62</f>
        <v>1037906</v>
      </c>
      <c r="F62" s="8"/>
    </row>
    <row r="63" spans="1:6" ht="12.75">
      <c r="A63" t="s">
        <v>22</v>
      </c>
      <c r="B63" s="8" t="s">
        <v>272</v>
      </c>
      <c r="C63" s="365"/>
      <c r="D63" s="321">
        <v>0</v>
      </c>
      <c r="E63" s="305">
        <f>+C63-D63</f>
        <v>0</v>
      </c>
      <c r="F63" s="8"/>
    </row>
    <row r="64" spans="1:6" ht="12.75">
      <c r="A64" s="37" t="s">
        <v>393</v>
      </c>
      <c r="B64" s="8" t="s">
        <v>272</v>
      </c>
      <c r="C64" s="363">
        <f>'Tax Reserves'!C22</f>
        <v>0</v>
      </c>
      <c r="D64" s="364">
        <f>'Tax Reserves'!D22</f>
        <v>0</v>
      </c>
      <c r="E64" s="305">
        <f>C64-D64</f>
        <v>0</v>
      </c>
      <c r="F64" s="8"/>
    </row>
    <row r="65" spans="1:6" ht="12.75">
      <c r="A65" s="4" t="s">
        <v>128</v>
      </c>
      <c r="B65" s="8" t="s">
        <v>272</v>
      </c>
      <c r="C65" s="363">
        <f>'Tax Reserves'!C63</f>
        <v>0</v>
      </c>
      <c r="D65" s="364">
        <f>'Tax Reserves'!D63</f>
        <v>0</v>
      </c>
      <c r="E65" s="305">
        <f>+C65-D65</f>
        <v>0</v>
      </c>
      <c r="F65" s="8"/>
    </row>
    <row r="66" spans="1:6" ht="12.75">
      <c r="A66" t="s">
        <v>372</v>
      </c>
      <c r="B66" s="8" t="s">
        <v>272</v>
      </c>
      <c r="C66" s="320"/>
      <c r="D66" s="320"/>
      <c r="E66" s="305">
        <f>+C66-D66</f>
        <v>0</v>
      </c>
      <c r="F66" s="8"/>
    </row>
    <row r="67" spans="1:6" ht="12.75">
      <c r="A67" t="s">
        <v>529</v>
      </c>
      <c r="B67" s="8" t="s">
        <v>272</v>
      </c>
      <c r="C67" s="320"/>
      <c r="D67" s="320"/>
      <c r="E67" s="305">
        <f>+C67-D67</f>
        <v>0</v>
      </c>
      <c r="F67" s="8"/>
    </row>
    <row r="68" spans="1:6" ht="12.75">
      <c r="A68" t="s">
        <v>241</v>
      </c>
      <c r="B68" s="8" t="s">
        <v>272</v>
      </c>
      <c r="C68" s="283">
        <f>'TAXREC 2'!C95</f>
        <v>0</v>
      </c>
      <c r="D68" s="283">
        <f>'TAXREC 2'!D95</f>
        <v>0</v>
      </c>
      <c r="E68" s="305">
        <f>+C68-D68</f>
        <v>0</v>
      </c>
      <c r="F68" s="8"/>
    </row>
    <row r="69" spans="1:11" ht="12.75">
      <c r="A69" t="s">
        <v>242</v>
      </c>
      <c r="B69" s="8" t="s">
        <v>272</v>
      </c>
      <c r="C69" s="283">
        <f>'TAXREC 2'!C96</f>
        <v>0</v>
      </c>
      <c r="D69" s="283">
        <f>'TAXREC 2'!D96</f>
        <v>0</v>
      </c>
      <c r="E69" s="305">
        <f>+C69-D69</f>
        <v>0</v>
      </c>
      <c r="F69" s="8"/>
      <c r="G69" s="51"/>
      <c r="H69" s="51"/>
      <c r="I69" s="29"/>
      <c r="J69" s="29"/>
      <c r="K69" s="86"/>
    </row>
    <row r="70" spans="3:11" ht="12.75">
      <c r="C70" s="28"/>
      <c r="D70" s="28"/>
      <c r="E70" s="340"/>
      <c r="F70" s="8"/>
      <c r="G70" s="51"/>
      <c r="H70" s="51"/>
      <c r="I70" s="29"/>
      <c r="J70" s="29"/>
      <c r="K70" s="86"/>
    </row>
    <row r="71" spans="1:11" ht="12.75">
      <c r="A71" s="10" t="s">
        <v>185</v>
      </c>
      <c r="B71" s="8"/>
      <c r="C71" s="305">
        <f>SUM(C60:C69)</f>
        <v>916906</v>
      </c>
      <c r="D71" s="305">
        <f>SUM(D60:D69)</f>
        <v>0</v>
      </c>
      <c r="E71" s="305">
        <f>SUM(E60:E69)</f>
        <v>916906</v>
      </c>
      <c r="F71" s="8"/>
      <c r="G71" s="51"/>
      <c r="H71" s="51"/>
      <c r="I71" s="29"/>
      <c r="J71" s="51"/>
      <c r="K71" s="86"/>
    </row>
    <row r="72" spans="1:11" ht="12.75">
      <c r="A72" s="10"/>
      <c r="B72" s="8"/>
      <c r="C72" s="48"/>
      <c r="D72" s="48"/>
      <c r="E72" s="48"/>
      <c r="F72" s="8"/>
      <c r="G72" s="51"/>
      <c r="H72" s="51"/>
      <c r="I72" s="29"/>
      <c r="J72" s="51"/>
      <c r="K72" s="29"/>
    </row>
    <row r="73" spans="1:11" ht="12.75">
      <c r="A73" s="10" t="s">
        <v>307</v>
      </c>
      <c r="B73" s="8"/>
      <c r="C73" s="5"/>
      <c r="D73" s="5"/>
      <c r="E73" s="5"/>
      <c r="F73" s="8"/>
      <c r="G73" s="51"/>
      <c r="H73" s="51"/>
      <c r="I73" s="29"/>
      <c r="J73" s="29"/>
      <c r="K73" s="29"/>
    </row>
    <row r="74" spans="1:11" ht="12.75">
      <c r="A74" t="s">
        <v>21</v>
      </c>
      <c r="B74" s="8" t="s">
        <v>272</v>
      </c>
      <c r="C74" s="330"/>
      <c r="D74" s="330"/>
      <c r="E74" s="305">
        <f aca="true" t="shared" si="1" ref="E74:E80">+C74-D74</f>
        <v>0</v>
      </c>
      <c r="F74" s="8"/>
      <c r="G74" s="87"/>
      <c r="H74" s="88"/>
      <c r="I74" s="89"/>
      <c r="J74" s="89"/>
      <c r="K74" s="89"/>
    </row>
    <row r="75" spans="1:11" ht="12.75">
      <c r="A75" t="s">
        <v>230</v>
      </c>
      <c r="B75" s="8" t="s">
        <v>272</v>
      </c>
      <c r="C75" s="330">
        <v>1439</v>
      </c>
      <c r="D75" s="330"/>
      <c r="E75" s="305">
        <f t="shared" si="1"/>
        <v>1439</v>
      </c>
      <c r="F75" s="8"/>
      <c r="G75" s="87"/>
      <c r="H75" s="88"/>
      <c r="I75" s="89"/>
      <c r="J75" s="88"/>
      <c r="K75" s="88"/>
    </row>
    <row r="76" spans="1:11" ht="12.75">
      <c r="A76" t="s">
        <v>23</v>
      </c>
      <c r="B76" s="8" t="s">
        <v>272</v>
      </c>
      <c r="C76" s="330"/>
      <c r="D76" s="330"/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 t="s">
        <v>641</v>
      </c>
      <c r="B77" s="8" t="s">
        <v>272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8" t="s">
        <v>556</v>
      </c>
      <c r="B78" s="8" t="s">
        <v>272</v>
      </c>
      <c r="C78" s="330"/>
      <c r="D78" s="330"/>
      <c r="E78" s="305">
        <f t="shared" si="1"/>
        <v>0</v>
      </c>
      <c r="F78" s="8"/>
      <c r="G78" s="87"/>
      <c r="H78" s="88"/>
      <c r="I78" s="89"/>
      <c r="J78" s="88"/>
      <c r="K78" s="88"/>
    </row>
    <row r="79" spans="1:11" ht="12.75">
      <c r="A79" s="74"/>
      <c r="B79" s="8" t="s">
        <v>272</v>
      </c>
      <c r="C79" s="330"/>
      <c r="D79" s="330"/>
      <c r="E79" s="305">
        <f t="shared" si="1"/>
        <v>0</v>
      </c>
      <c r="F79" s="8"/>
      <c r="G79" s="87"/>
      <c r="H79" s="88"/>
      <c r="I79" s="89"/>
      <c r="J79" s="88"/>
      <c r="K79" s="88"/>
    </row>
    <row r="80" spans="1:11" ht="12.75">
      <c r="A80" s="80"/>
      <c r="B80" s="8" t="s">
        <v>272</v>
      </c>
      <c r="C80" s="330"/>
      <c r="D80" s="330"/>
      <c r="E80" s="305">
        <f t="shared" si="1"/>
        <v>0</v>
      </c>
      <c r="F80" s="8"/>
      <c r="G80" s="87"/>
      <c r="H80" s="88"/>
      <c r="I80" s="89"/>
      <c r="J80" s="88"/>
      <c r="K80" s="88"/>
    </row>
    <row r="81" spans="1:11" ht="12.75">
      <c r="A81" s="73" t="s">
        <v>124</v>
      </c>
      <c r="B81" s="8" t="s">
        <v>275</v>
      </c>
      <c r="C81" s="283">
        <f>SUM(C74:C80)</f>
        <v>1439</v>
      </c>
      <c r="D81" s="283">
        <f>SUM(D74:D80)</f>
        <v>0</v>
      </c>
      <c r="E81" s="283">
        <f>SUM(E74:E80)</f>
        <v>1439</v>
      </c>
      <c r="F81" s="8"/>
      <c r="G81" s="90"/>
      <c r="H81" s="88"/>
      <c r="I81" s="89"/>
      <c r="J81" s="89"/>
      <c r="K81" s="88"/>
    </row>
    <row r="82" spans="1:11" ht="12.75">
      <c r="A82" s="10"/>
      <c r="C82" s="28"/>
      <c r="D82" s="28"/>
      <c r="E82" s="28"/>
      <c r="F82" s="8"/>
      <c r="G82" s="88"/>
      <c r="H82" s="88"/>
      <c r="I82" s="84"/>
      <c r="J82" s="84"/>
      <c r="K82" s="84"/>
    </row>
    <row r="83" spans="1:11" ht="12.75">
      <c r="A83" s="4" t="s">
        <v>34</v>
      </c>
      <c r="B83" s="8" t="s">
        <v>275</v>
      </c>
      <c r="C83" s="283">
        <f>C71+C81</f>
        <v>918345</v>
      </c>
      <c r="D83" s="283">
        <f>D71+D81</f>
        <v>0</v>
      </c>
      <c r="E83" s="283">
        <f>E71+E81</f>
        <v>918345</v>
      </c>
      <c r="F83" s="8"/>
      <c r="G83" s="51"/>
      <c r="H83" s="51"/>
      <c r="I83" s="51"/>
      <c r="J83" s="51"/>
      <c r="K83" s="51"/>
    </row>
    <row r="84" spans="1:11" ht="12.75">
      <c r="A84" s="4"/>
      <c r="B84" s="8"/>
      <c r="C84" s="84"/>
      <c r="D84" s="84"/>
      <c r="E84" s="84"/>
      <c r="F84" s="8"/>
      <c r="G84" s="51"/>
      <c r="H84" s="51"/>
      <c r="I84" s="51"/>
      <c r="J84" s="51"/>
      <c r="K84" s="51"/>
    </row>
    <row r="85" spans="1:11" ht="12.75">
      <c r="A85" s="314" t="s">
        <v>256</v>
      </c>
      <c r="B85" s="51"/>
      <c r="C85" s="29"/>
      <c r="D85" s="29"/>
      <c r="E85" s="29"/>
      <c r="F85" s="8"/>
      <c r="G85" s="51"/>
      <c r="H85" s="51"/>
      <c r="I85" s="51"/>
      <c r="J85" s="51"/>
      <c r="K85" s="51"/>
    </row>
    <row r="86" spans="1:11" ht="12.75">
      <c r="A86" s="322" t="str">
        <f aca="true" t="shared" si="2" ref="A86:A92">IF($E74&gt;$C$13,A74," ")</f>
        <v> </v>
      </c>
      <c r="B86" s="306"/>
      <c r="C86" s="324">
        <f aca="true" t="shared" si="3" ref="C86:E90">IF($E74&gt;$C$13,C74,)</f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t="shared" si="3"/>
        <v>0</v>
      </c>
      <c r="D90" s="324">
        <f t="shared" si="3"/>
        <v>0</v>
      </c>
      <c r="E90" s="324">
        <f t="shared" si="3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aca="true" t="shared" si="4" ref="C91:E92">IF($E79&gt;$C$13,C79,)</f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2" t="str">
        <f t="shared" si="2"/>
        <v> </v>
      </c>
      <c r="B92" s="306"/>
      <c r="C92" s="324">
        <f t="shared" si="4"/>
        <v>0</v>
      </c>
      <c r="D92" s="324">
        <f t="shared" si="4"/>
        <v>0</v>
      </c>
      <c r="E92" s="324">
        <f t="shared" si="4"/>
        <v>0</v>
      </c>
      <c r="F92" s="8"/>
      <c r="G92" s="51"/>
      <c r="H92" s="51"/>
      <c r="I92" s="51"/>
      <c r="J92" s="51"/>
      <c r="K92" s="51"/>
    </row>
    <row r="93" spans="1:11" ht="12.75">
      <c r="A93" s="323" t="s">
        <v>232</v>
      </c>
      <c r="B93" s="306"/>
      <c r="C93" s="313">
        <f>SUM(C86:C92)</f>
        <v>0</v>
      </c>
      <c r="D93" s="313">
        <f>SUM(D86:D92)</f>
        <v>0</v>
      </c>
      <c r="E93" s="313">
        <f>SUM(E86:E92)</f>
        <v>0</v>
      </c>
      <c r="F93" s="8"/>
      <c r="G93" s="51"/>
      <c r="H93" s="51"/>
      <c r="I93" s="51"/>
      <c r="J93" s="51"/>
      <c r="K93" s="51"/>
    </row>
    <row r="94" spans="1:11" ht="12.75">
      <c r="A94" s="306" t="s">
        <v>296</v>
      </c>
      <c r="B94" s="306"/>
      <c r="C94" s="283">
        <f>C81-C93</f>
        <v>1439</v>
      </c>
      <c r="D94" s="283">
        <f>D81-D93</f>
        <v>0</v>
      </c>
      <c r="E94" s="283">
        <f>E81-E93</f>
        <v>1439</v>
      </c>
      <c r="F94" s="8"/>
      <c r="G94" s="51"/>
      <c r="H94" s="51"/>
      <c r="I94" s="51"/>
      <c r="J94" s="51"/>
      <c r="K94" s="51"/>
    </row>
    <row r="95" spans="1:11" ht="12.75">
      <c r="A95" s="306" t="s">
        <v>297</v>
      </c>
      <c r="B95" s="306"/>
      <c r="C95" s="283">
        <f>C93+C94</f>
        <v>1439</v>
      </c>
      <c r="D95" s="283">
        <f>D93+D94</f>
        <v>0</v>
      </c>
      <c r="E95" s="283">
        <f>E93+E94</f>
        <v>1439</v>
      </c>
      <c r="F95" s="8"/>
      <c r="G95" s="51"/>
      <c r="H95" s="51"/>
      <c r="I95" s="51"/>
      <c r="J95" s="51"/>
      <c r="K95" s="51"/>
    </row>
    <row r="96" spans="1:11" ht="12.75">
      <c r="A96" s="2"/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s="12" t="s">
        <v>133</v>
      </c>
      <c r="B97" s="8"/>
      <c r="C97" s="5"/>
      <c r="D97" s="5"/>
      <c r="E97" s="5"/>
      <c r="F97" s="8"/>
      <c r="G97" s="51"/>
      <c r="H97" s="51"/>
      <c r="I97" s="51"/>
      <c r="J97" s="51"/>
      <c r="K97" s="51"/>
    </row>
    <row r="98" spans="1:11" ht="12.75">
      <c r="A98" t="s">
        <v>43</v>
      </c>
      <c r="B98" s="8" t="s">
        <v>273</v>
      </c>
      <c r="C98" s="330">
        <v>714118</v>
      </c>
      <c r="D98" s="330"/>
      <c r="E98" s="305">
        <f>+C98-D98</f>
        <v>714118</v>
      </c>
      <c r="F98" s="8"/>
      <c r="G98" s="51"/>
      <c r="H98" s="51"/>
      <c r="I98" s="51"/>
      <c r="J98" s="51"/>
      <c r="K98" s="51"/>
    </row>
    <row r="99" spans="1:11" ht="12.75">
      <c r="A99" t="s">
        <v>30</v>
      </c>
      <c r="B99" s="8" t="s">
        <v>273</v>
      </c>
      <c r="C99" s="330">
        <v>33057</v>
      </c>
      <c r="D99" s="330"/>
      <c r="E99" s="305">
        <f>+C99-D99</f>
        <v>33057</v>
      </c>
      <c r="F99" s="8"/>
      <c r="G99" s="51"/>
      <c r="H99" s="51"/>
      <c r="I99" s="51"/>
      <c r="J99" s="51"/>
      <c r="K99" s="51"/>
    </row>
    <row r="100" spans="1:11" ht="12.75">
      <c r="A100" t="s">
        <v>27</v>
      </c>
      <c r="B100" s="8" t="s">
        <v>273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t="s">
        <v>55</v>
      </c>
      <c r="B101" s="8" t="s">
        <v>273</v>
      </c>
      <c r="C101" s="330">
        <v>43516</v>
      </c>
      <c r="D101" s="330"/>
      <c r="E101" s="305">
        <f>+C101-D101</f>
        <v>43516</v>
      </c>
      <c r="F101" s="8"/>
      <c r="G101" s="51"/>
      <c r="H101" s="51"/>
      <c r="I101" s="51"/>
      <c r="J101" s="51"/>
      <c r="K101" s="51"/>
    </row>
    <row r="102" spans="1:11" ht="12.75">
      <c r="A102" s="10" t="s">
        <v>170</v>
      </c>
      <c r="B102" s="8" t="s">
        <v>273</v>
      </c>
      <c r="C102" s="330"/>
      <c r="D102" s="330"/>
      <c r="E102" s="321">
        <f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171</v>
      </c>
      <c r="B103" s="8" t="s">
        <v>273</v>
      </c>
      <c r="C103" s="330"/>
      <c r="D103" s="330"/>
      <c r="E103" s="305">
        <f aca="true" t="shared" si="5" ref="E103:E110">+C103-D103</f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172</v>
      </c>
      <c r="B104" s="8" t="s">
        <v>273</v>
      </c>
      <c r="C104" s="330"/>
      <c r="D104" s="330"/>
      <c r="E104" s="317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t="s">
        <v>529</v>
      </c>
      <c r="B105" s="8"/>
      <c r="C105" s="330"/>
      <c r="D105" s="330"/>
      <c r="E105" s="317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376</v>
      </c>
      <c r="B106" s="8" t="s">
        <v>273</v>
      </c>
      <c r="C106" s="366">
        <f>'Tax Reserves'!C35</f>
        <v>0</v>
      </c>
      <c r="D106" s="366">
        <f>'Tax Reserves'!D35</f>
        <v>0</v>
      </c>
      <c r="E106" s="305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394</v>
      </c>
      <c r="B107" s="8" t="s">
        <v>273</v>
      </c>
      <c r="C107" s="366">
        <f>'Tax Reserves'!C50</f>
        <v>0</v>
      </c>
      <c r="D107" s="366">
        <f>'Tax Reserves'!D50</f>
        <v>0</v>
      </c>
      <c r="E107" s="31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28</v>
      </c>
      <c r="B108" s="8" t="s">
        <v>273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10" t="s">
        <v>29</v>
      </c>
      <c r="B109" s="8" t="s">
        <v>273</v>
      </c>
      <c r="C109" s="330"/>
      <c r="D109" s="330"/>
      <c r="E109" s="305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s="37" t="s">
        <v>264</v>
      </c>
      <c r="B110" s="8" t="s">
        <v>273</v>
      </c>
      <c r="C110" s="330"/>
      <c r="D110" s="330"/>
      <c r="E110" s="317">
        <f t="shared" si="5"/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243</v>
      </c>
      <c r="B111" s="8" t="s">
        <v>273</v>
      </c>
      <c r="C111" s="283">
        <f>'TAXREC 2'!C146</f>
        <v>0</v>
      </c>
      <c r="D111" s="283">
        <f>'TAXREC 2'!D146</f>
        <v>0</v>
      </c>
      <c r="E111" s="283">
        <f>'TAXREC 2'!E146</f>
        <v>0</v>
      </c>
      <c r="F111" s="8"/>
      <c r="G111" s="51"/>
      <c r="H111" s="51"/>
      <c r="I111" s="51"/>
      <c r="J111" s="51"/>
      <c r="K111" s="51"/>
    </row>
    <row r="112" spans="1:11" ht="12.75">
      <c r="A112" t="s">
        <v>244</v>
      </c>
      <c r="B112" s="8" t="s">
        <v>273</v>
      </c>
      <c r="C112" s="283">
        <f>'TAXREC 2'!C147</f>
        <v>0</v>
      </c>
      <c r="D112" s="283">
        <f>'TAXREC 2'!D147</f>
        <v>0</v>
      </c>
      <c r="E112" s="283">
        <f>'TAXREC 2'!E147</f>
        <v>0</v>
      </c>
      <c r="F112" s="8"/>
      <c r="G112" s="51"/>
      <c r="H112" s="51"/>
      <c r="I112" s="29"/>
      <c r="J112" s="29"/>
      <c r="K112" s="86"/>
    </row>
    <row r="113" spans="1:11" ht="12.75">
      <c r="A113" s="4"/>
      <c r="B113" s="8"/>
      <c r="C113" s="28"/>
      <c r="D113" s="28"/>
      <c r="E113" s="339"/>
      <c r="F113" s="8"/>
      <c r="G113" s="51"/>
      <c r="H113" s="51"/>
      <c r="I113" s="29"/>
      <c r="J113" s="51"/>
      <c r="K113" s="86"/>
    </row>
    <row r="114" spans="1:11" ht="12.75">
      <c r="A114" s="4" t="s">
        <v>245</v>
      </c>
      <c r="B114" s="8" t="s">
        <v>275</v>
      </c>
      <c r="C114" s="283">
        <f>SUM(C98:C112)</f>
        <v>790691</v>
      </c>
      <c r="D114" s="283">
        <f>SUM(D98:D112)</f>
        <v>0</v>
      </c>
      <c r="E114" s="283">
        <f>SUM(E98:E112)</f>
        <v>790691</v>
      </c>
      <c r="F114" s="8"/>
      <c r="G114" s="51"/>
      <c r="H114" s="51"/>
      <c r="I114" s="29"/>
      <c r="J114" s="51"/>
      <c r="K114" s="29"/>
    </row>
    <row r="115" spans="1:11" ht="12.75">
      <c r="A115" s="10" t="s">
        <v>306</v>
      </c>
      <c r="B115" s="8"/>
      <c r="C115" s="5"/>
      <c r="D115" s="5"/>
      <c r="E115" s="5"/>
      <c r="F115" s="8"/>
      <c r="G115" s="51"/>
      <c r="H115" s="51"/>
      <c r="I115" s="29"/>
      <c r="J115" s="29"/>
      <c r="K115" s="29"/>
    </row>
    <row r="116" spans="1:11" ht="12.75">
      <c r="A116" t="s">
        <v>32</v>
      </c>
      <c r="B116" s="8" t="s">
        <v>273</v>
      </c>
      <c r="C116" s="330"/>
      <c r="D116" s="330"/>
      <c r="E116" s="305">
        <f>+C116-D116</f>
        <v>0</v>
      </c>
      <c r="F116" s="8"/>
      <c r="G116" s="87"/>
      <c r="H116" s="88"/>
      <c r="I116" s="89"/>
      <c r="J116" s="89"/>
      <c r="K116" s="89"/>
    </row>
    <row r="117" spans="1:11" ht="12.75">
      <c r="A117" s="78" t="s">
        <v>333</v>
      </c>
      <c r="B117" s="8" t="s">
        <v>273</v>
      </c>
      <c r="C117" s="330"/>
      <c r="D117" s="330"/>
      <c r="E117" s="305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78"/>
      <c r="B118" s="8" t="s">
        <v>273</v>
      </c>
      <c r="C118" s="330"/>
      <c r="D118" s="330"/>
      <c r="E118" s="305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78" t="s">
        <v>557</v>
      </c>
      <c r="B119" s="8"/>
      <c r="C119" s="330"/>
      <c r="D119" s="330"/>
      <c r="E119" s="305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502"/>
      <c r="B120" s="8" t="s">
        <v>273</v>
      </c>
      <c r="C120" s="330"/>
      <c r="D120" s="330"/>
      <c r="E120" s="305">
        <f>+C120-D120</f>
        <v>0</v>
      </c>
      <c r="F120" s="8"/>
      <c r="G120" s="87"/>
      <c r="H120" s="88"/>
      <c r="I120" s="88"/>
      <c r="J120" s="88"/>
      <c r="K120" s="88"/>
    </row>
    <row r="121" spans="1:11" ht="12.75">
      <c r="A121" s="10" t="s">
        <v>125</v>
      </c>
      <c r="B121" s="8" t="s">
        <v>275</v>
      </c>
      <c r="C121" s="283">
        <f>SUM(C115:C120)</f>
        <v>0</v>
      </c>
      <c r="D121" s="283">
        <f>SUM(D115:D120)</f>
        <v>0</v>
      </c>
      <c r="E121" s="283">
        <f>SUM(E115:E120)</f>
        <v>0</v>
      </c>
      <c r="F121" s="8"/>
      <c r="G121" s="90"/>
      <c r="H121" s="88"/>
      <c r="I121" s="88"/>
      <c r="J121" s="88"/>
      <c r="K121" s="88"/>
    </row>
    <row r="122" spans="2:11" ht="12.75">
      <c r="B122" s="8"/>
      <c r="C122" s="28"/>
      <c r="D122" s="28"/>
      <c r="E122" s="28"/>
      <c r="F122" s="8"/>
      <c r="G122" s="88"/>
      <c r="H122" s="88"/>
      <c r="I122" s="84"/>
      <c r="J122" s="84"/>
      <c r="K122" s="84"/>
    </row>
    <row r="123" spans="1:11" ht="12.75">
      <c r="A123" s="4" t="s">
        <v>35</v>
      </c>
      <c r="B123" s="8" t="s">
        <v>275</v>
      </c>
      <c r="C123" s="283">
        <f>C114+C121</f>
        <v>790691</v>
      </c>
      <c r="D123" s="283">
        <f>D114+D121</f>
        <v>0</v>
      </c>
      <c r="E123" s="283">
        <f>+E114+E121</f>
        <v>790691</v>
      </c>
      <c r="F123" s="8"/>
      <c r="G123" s="51"/>
      <c r="H123" s="51"/>
      <c r="I123" s="51"/>
      <c r="J123" s="51"/>
      <c r="K123" s="51"/>
    </row>
    <row r="124" spans="2:11" ht="12.75">
      <c r="B124" s="8"/>
      <c r="C124" s="28"/>
      <c r="D124" s="28"/>
      <c r="E124" s="28"/>
      <c r="F124" s="8"/>
      <c r="G124" s="51"/>
      <c r="H124" s="51"/>
      <c r="I124" s="51"/>
      <c r="J124" s="51"/>
      <c r="K124" s="51"/>
    </row>
    <row r="125" spans="1:11" ht="12.75">
      <c r="A125" s="325" t="s">
        <v>257</v>
      </c>
      <c r="C125" s="8"/>
      <c r="D125" s="8"/>
      <c r="E125" s="8"/>
      <c r="F125" s="8"/>
      <c r="G125" s="51"/>
      <c r="H125" s="51"/>
      <c r="I125" s="51"/>
      <c r="J125" s="51"/>
      <c r="K125" s="51"/>
    </row>
    <row r="126" spans="1:11" ht="12.75">
      <c r="A126" s="322" t="str">
        <f>IF($E116&gt;$C$13,A116," ")</f>
        <v> </v>
      </c>
      <c r="B126" s="306"/>
      <c r="C126" s="324">
        <f aca="true" t="shared" si="6" ref="C126:E130">IF($E116&gt;$C$13,C116,)</f>
        <v>0</v>
      </c>
      <c r="D126" s="324">
        <f>IF($E116&gt;$C$13,D116,)</f>
        <v>0</v>
      </c>
      <c r="E126" s="324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2" t="str">
        <f>IF($E117&gt;$C$13,A117," ")</f>
        <v> </v>
      </c>
      <c r="B127" s="306"/>
      <c r="C127" s="324">
        <f t="shared" si="6"/>
        <v>0</v>
      </c>
      <c r="D127" s="324">
        <f>IF($E117&gt;$C$13,D117,)</f>
        <v>0</v>
      </c>
      <c r="E127" s="324">
        <f>IF($E117&gt;$C$13,E117,)</f>
        <v>0</v>
      </c>
      <c r="F127" s="8"/>
      <c r="G127" s="51"/>
      <c r="H127" s="51"/>
      <c r="I127" s="51"/>
      <c r="J127" s="51"/>
      <c r="K127" s="51"/>
    </row>
    <row r="128" spans="1:11" ht="12.75">
      <c r="A128" s="322" t="str">
        <f>IF($E118&gt;$C$13,A118," ")</f>
        <v> </v>
      </c>
      <c r="B128" s="306"/>
      <c r="C128" s="324">
        <f t="shared" si="6"/>
        <v>0</v>
      </c>
      <c r="D128" s="324">
        <f t="shared" si="6"/>
        <v>0</v>
      </c>
      <c r="E128" s="324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2"/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2" t="str">
        <f>IF($E120&gt;$C$13,A120," ")</f>
        <v> </v>
      </c>
      <c r="B130" s="306"/>
      <c r="C130" s="324">
        <f t="shared" si="6"/>
        <v>0</v>
      </c>
      <c r="D130" s="324">
        <f t="shared" si="6"/>
        <v>0</v>
      </c>
      <c r="E130" s="324">
        <f t="shared" si="6"/>
        <v>0</v>
      </c>
      <c r="F130" s="8"/>
      <c r="G130" s="51"/>
      <c r="H130" s="51"/>
      <c r="I130" s="51"/>
      <c r="J130" s="51"/>
      <c r="K130" s="51"/>
    </row>
    <row r="131" spans="1:11" ht="12.75">
      <c r="A131" s="323" t="s">
        <v>299</v>
      </c>
      <c r="B131" s="306"/>
      <c r="C131" s="283">
        <f>SUM(C126:C130)</f>
        <v>0</v>
      </c>
      <c r="D131" s="283">
        <f>SUM(D126:D130)</f>
        <v>0</v>
      </c>
      <c r="E131" s="283">
        <f>SUM(E126:E130)</f>
        <v>0</v>
      </c>
      <c r="F131" s="8"/>
      <c r="G131" s="51"/>
      <c r="H131" s="51"/>
      <c r="I131" s="51"/>
      <c r="J131" s="51"/>
      <c r="K131" s="51"/>
    </row>
    <row r="132" spans="1:11" ht="12.75">
      <c r="A132" s="306" t="s">
        <v>300</v>
      </c>
      <c r="B132" s="306"/>
      <c r="C132" s="283">
        <f>C121-C131</f>
        <v>0</v>
      </c>
      <c r="D132" s="283">
        <f>D121-D131</f>
        <v>0</v>
      </c>
      <c r="E132" s="283">
        <f>E121-E131</f>
        <v>0</v>
      </c>
      <c r="F132" s="8"/>
      <c r="G132" s="51"/>
      <c r="H132" s="51"/>
      <c r="I132" s="51"/>
      <c r="J132" s="51"/>
      <c r="K132" s="51"/>
    </row>
    <row r="133" spans="1:11" ht="12.75">
      <c r="A133" s="306" t="s">
        <v>298</v>
      </c>
      <c r="B133" s="306"/>
      <c r="C133" s="283">
        <f>C131+C132</f>
        <v>0</v>
      </c>
      <c r="D133" s="283">
        <f>D131+D132</f>
        <v>0</v>
      </c>
      <c r="E133" s="283">
        <f>E131+E132</f>
        <v>0</v>
      </c>
      <c r="F133" s="8"/>
      <c r="G133" s="51"/>
      <c r="H133" s="51"/>
      <c r="I133" s="51"/>
      <c r="J133" s="51"/>
      <c r="K133" s="51"/>
    </row>
    <row r="134" spans="2:11" ht="12.75">
      <c r="B134" s="8"/>
      <c r="C134" s="28"/>
      <c r="D134" s="28"/>
      <c r="E134" s="28"/>
      <c r="F134" s="8"/>
      <c r="G134" s="51"/>
      <c r="H134" s="51"/>
      <c r="I134" s="51"/>
      <c r="J134" s="51"/>
      <c r="K134" s="51"/>
    </row>
    <row r="135" spans="1:11" ht="12.75">
      <c r="A135" s="13" t="s">
        <v>159</v>
      </c>
      <c r="B135" s="8" t="s">
        <v>275</v>
      </c>
      <c r="C135" s="283">
        <f>+C54+C83-C123</f>
        <v>346024</v>
      </c>
      <c r="D135" s="283">
        <f>D54+D83-D123</f>
        <v>0</v>
      </c>
      <c r="E135" s="283">
        <f>E54+E83-E123</f>
        <v>346024</v>
      </c>
      <c r="F135" s="8"/>
      <c r="G135" s="51"/>
      <c r="H135" s="51"/>
      <c r="I135" s="51"/>
      <c r="J135" s="51"/>
      <c r="K135" s="51"/>
    </row>
    <row r="136" spans="1:11" ht="12.75">
      <c r="A136" s="12" t="s">
        <v>107</v>
      </c>
      <c r="B136" s="8"/>
      <c r="D136" s="36"/>
      <c r="E136" s="36"/>
      <c r="F136" s="8"/>
      <c r="G136" s="51"/>
      <c r="H136" s="51"/>
      <c r="I136" s="51"/>
      <c r="J136" s="51"/>
      <c r="K136" s="51"/>
    </row>
    <row r="137" spans="1:11" ht="12.75">
      <c r="A137" s="12" t="s">
        <v>593</v>
      </c>
      <c r="B137" s="8" t="s">
        <v>273</v>
      </c>
      <c r="C137" s="330"/>
      <c r="D137" s="330"/>
      <c r="E137" s="297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 t="s">
        <v>623</v>
      </c>
      <c r="B138" s="8" t="s">
        <v>273</v>
      </c>
      <c r="C138" s="357"/>
      <c r="D138" s="357"/>
      <c r="E138" s="443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/>
      <c r="B139" s="8"/>
      <c r="C139" s="357"/>
      <c r="D139" s="357"/>
      <c r="E139" s="443">
        <f>C139-D139</f>
        <v>0</v>
      </c>
      <c r="F139" s="8"/>
      <c r="G139" s="51"/>
      <c r="H139" s="51"/>
      <c r="I139" s="51"/>
      <c r="J139" s="51"/>
      <c r="K139" s="51"/>
    </row>
    <row r="140" spans="1:11" ht="12.75">
      <c r="A140" s="52" t="s">
        <v>175</v>
      </c>
      <c r="B140" s="8" t="s">
        <v>275</v>
      </c>
      <c r="C140" s="284">
        <f>C135-C137-C138-C139</f>
        <v>346024</v>
      </c>
      <c r="D140" s="284">
        <f>D135-D137-D138-D139</f>
        <v>0</v>
      </c>
      <c r="E140" s="284">
        <f>E135-E137-E138-E139</f>
        <v>346024</v>
      </c>
      <c r="F140" s="8"/>
      <c r="G140" s="51"/>
      <c r="H140" s="51"/>
      <c r="I140" s="51"/>
      <c r="J140" s="51"/>
      <c r="K140" s="51"/>
    </row>
    <row r="141" spans="1:11" ht="12.75">
      <c r="A141" s="52"/>
      <c r="B141" s="8"/>
      <c r="C141" s="99"/>
      <c r="D141" s="99"/>
      <c r="E141" s="99"/>
      <c r="F141" s="8"/>
      <c r="G141" s="51"/>
      <c r="H141" s="51"/>
      <c r="I141" s="51"/>
      <c r="J141" s="51"/>
      <c r="K141" s="51"/>
    </row>
    <row r="142" spans="1:11" ht="12.75">
      <c r="A142" s="101" t="s">
        <v>417</v>
      </c>
      <c r="B142" s="8"/>
      <c r="C142" s="5"/>
      <c r="D142" s="5"/>
      <c r="E142" s="5"/>
      <c r="F142" s="8"/>
      <c r="G142" s="51"/>
      <c r="H142" s="51"/>
      <c r="I142" s="51"/>
      <c r="J142" s="51"/>
      <c r="K142" s="51"/>
    </row>
    <row r="143" spans="1:11" ht="12.75">
      <c r="A143" s="52" t="s">
        <v>594</v>
      </c>
      <c r="B143" s="8" t="s">
        <v>272</v>
      </c>
      <c r="C143" s="341">
        <v>49540</v>
      </c>
      <c r="D143" s="341"/>
      <c r="E143" s="284">
        <f>C143-D143</f>
        <v>49540</v>
      </c>
      <c r="F143" s="8"/>
      <c r="G143" s="51"/>
      <c r="H143" s="51"/>
      <c r="I143" s="51"/>
      <c r="J143" s="51"/>
      <c r="K143" s="51"/>
    </row>
    <row r="144" spans="1:11" ht="12.75">
      <c r="A144" s="52" t="s">
        <v>595</v>
      </c>
      <c r="B144" s="8" t="s">
        <v>272</v>
      </c>
      <c r="C144" s="341">
        <v>19031</v>
      </c>
      <c r="D144" s="341"/>
      <c r="E144" s="326">
        <f>C144-D144</f>
        <v>19031</v>
      </c>
      <c r="F144" s="8"/>
      <c r="G144" s="51"/>
      <c r="H144" s="51"/>
      <c r="I144" s="51"/>
      <c r="J144" s="51"/>
      <c r="K144" s="51"/>
    </row>
    <row r="145" spans="1:11" ht="12.75">
      <c r="A145" s="52" t="s">
        <v>254</v>
      </c>
      <c r="B145" s="8" t="s">
        <v>275</v>
      </c>
      <c r="C145" s="284">
        <f>C143+C144</f>
        <v>68571</v>
      </c>
      <c r="D145" s="284">
        <f>D143+D144</f>
        <v>0</v>
      </c>
      <c r="E145" s="284">
        <f>E143+E144</f>
        <v>68571</v>
      </c>
      <c r="F145" s="8"/>
      <c r="G145" s="51"/>
      <c r="H145" s="51"/>
      <c r="I145" s="51"/>
      <c r="J145" s="51"/>
      <c r="K145" s="51"/>
    </row>
    <row r="146" spans="1:11" ht="12.75">
      <c r="A146" s="52" t="s">
        <v>596</v>
      </c>
      <c r="B146" s="8" t="s">
        <v>273</v>
      </c>
      <c r="C146" s="341"/>
      <c r="D146" s="341"/>
      <c r="E146" s="327">
        <f>C146-D146</f>
        <v>0</v>
      </c>
      <c r="F146" s="8"/>
      <c r="G146" s="51"/>
      <c r="H146" s="51"/>
      <c r="I146" s="51"/>
      <c r="J146" s="51"/>
      <c r="K146" s="51"/>
    </row>
    <row r="147" spans="1:11" ht="12.75">
      <c r="A147" s="101" t="s">
        <v>177</v>
      </c>
      <c r="B147" s="8" t="s">
        <v>275</v>
      </c>
      <c r="C147" s="284">
        <f>C145-C146</f>
        <v>68571</v>
      </c>
      <c r="D147" s="284">
        <f>D145-D146</f>
        <v>0</v>
      </c>
      <c r="E147" s="284">
        <f>E145-E146</f>
        <v>68571</v>
      </c>
      <c r="F147" s="8"/>
      <c r="G147" s="51"/>
      <c r="H147" s="51"/>
      <c r="I147" s="51"/>
      <c r="J147" s="51"/>
      <c r="K147" s="51"/>
    </row>
    <row r="148" spans="2:11" ht="12.75"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101" t="s">
        <v>558</v>
      </c>
      <c r="B149" s="8"/>
      <c r="C149" s="5"/>
      <c r="D149" s="5"/>
      <c r="E149" s="5"/>
      <c r="F149" s="8"/>
      <c r="G149" s="51"/>
      <c r="H149" s="51"/>
      <c r="I149" s="51"/>
      <c r="J149" s="51"/>
      <c r="K149" s="51"/>
    </row>
    <row r="150" spans="1:11" ht="12.75">
      <c r="A150" s="52" t="s">
        <v>597</v>
      </c>
      <c r="B150" s="8"/>
      <c r="C150" s="454">
        <f>'Tax Rates'!D50</f>
        <v>0.2212</v>
      </c>
      <c r="D150" s="5"/>
      <c r="E150" s="455">
        <f>C150</f>
        <v>0.2212</v>
      </c>
      <c r="F150" s="8"/>
      <c r="G150" s="51"/>
      <c r="H150" s="51"/>
      <c r="I150" s="51"/>
      <c r="J150" s="51"/>
      <c r="K150" s="51"/>
    </row>
    <row r="151" spans="1:11" ht="12.75">
      <c r="A151" s="52" t="s">
        <v>598</v>
      </c>
      <c r="B151" s="8"/>
      <c r="C151" s="454">
        <f>'Tax Rates'!D51</f>
        <v>0.055</v>
      </c>
      <c r="D151" s="5"/>
      <c r="E151" s="455">
        <f>C151</f>
        <v>0.055</v>
      </c>
      <c r="F151" s="8"/>
      <c r="G151" s="51"/>
      <c r="H151" s="51"/>
      <c r="I151" s="51"/>
      <c r="J151" s="51"/>
      <c r="K151" s="51"/>
    </row>
    <row r="152" spans="1:11" ht="12.75">
      <c r="A152" t="s">
        <v>438</v>
      </c>
      <c r="B152" s="8"/>
      <c r="C152" s="455">
        <f>SUM(C150:C151)</f>
        <v>0.2762</v>
      </c>
      <c r="D152" s="5"/>
      <c r="E152" s="455">
        <f>SUM(E150:E151)</f>
        <v>0.2762</v>
      </c>
      <c r="F152" s="8"/>
      <c r="G152" s="51"/>
      <c r="H152" s="51"/>
      <c r="I152" s="51"/>
      <c r="J152" s="51"/>
      <c r="K152" s="51"/>
    </row>
    <row r="153" spans="2:11" ht="12.75"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 t="s">
        <v>472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/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14" t="s">
        <v>330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2" t="s">
        <v>331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14" t="s">
        <v>63</v>
      </c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s="2"/>
      <c r="B159" s="8"/>
      <c r="C159" s="5"/>
      <c r="D159" s="5"/>
      <c r="E159" s="5"/>
      <c r="F159" s="8"/>
      <c r="G159" s="51"/>
      <c r="H159" s="51"/>
      <c r="I159" s="51"/>
      <c r="J159" s="51"/>
      <c r="K159" s="51"/>
    </row>
    <row r="160" spans="1:11" ht="12.75">
      <c r="A160" t="s">
        <v>64</v>
      </c>
      <c r="B160" s="75" t="s">
        <v>272</v>
      </c>
      <c r="C160" s="330">
        <v>8038524</v>
      </c>
      <c r="D160" s="330"/>
      <c r="E160" s="305">
        <f>C160-D160</f>
        <v>8038524</v>
      </c>
      <c r="F160" s="8"/>
      <c r="G160" s="51"/>
      <c r="H160" s="51"/>
      <c r="I160" s="51"/>
      <c r="J160" s="51"/>
      <c r="K160" s="51"/>
    </row>
    <row r="161" spans="1:11" ht="12.75">
      <c r="A161" t="s">
        <v>65</v>
      </c>
      <c r="B161" s="75" t="s">
        <v>278</v>
      </c>
      <c r="C161" s="330">
        <v>485917</v>
      </c>
      <c r="D161" s="330"/>
      <c r="E161" s="305">
        <f aca="true" t="shared" si="7" ref="E161:E173">C161-D161</f>
        <v>485917</v>
      </c>
      <c r="F161" s="8"/>
      <c r="G161" s="51"/>
      <c r="H161" s="51"/>
      <c r="I161" s="51"/>
      <c r="J161" s="51"/>
      <c r="K161" s="51"/>
    </row>
    <row r="162" spans="1:11" ht="12.75">
      <c r="A162" t="s">
        <v>66</v>
      </c>
      <c r="B162" s="75" t="s">
        <v>272</v>
      </c>
      <c r="C162" s="330"/>
      <c r="D162" s="330"/>
      <c r="E162" s="305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67</v>
      </c>
      <c r="B163" s="75" t="s">
        <v>272</v>
      </c>
      <c r="C163" s="330"/>
      <c r="D163" s="330"/>
      <c r="E163" s="305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68</v>
      </c>
      <c r="B164" s="75" t="s">
        <v>272</v>
      </c>
      <c r="C164" s="330">
        <v>9119128</v>
      </c>
      <c r="D164" s="330"/>
      <c r="E164" s="305">
        <f t="shared" si="7"/>
        <v>9119128</v>
      </c>
      <c r="F164" s="8"/>
      <c r="G164" s="51"/>
      <c r="H164" s="51"/>
      <c r="I164" s="51"/>
      <c r="J164" s="51"/>
      <c r="K164" s="51"/>
    </row>
    <row r="165" spans="1:11" ht="12.75">
      <c r="A165" t="s">
        <v>69</v>
      </c>
      <c r="B165" s="75" t="s">
        <v>272</v>
      </c>
      <c r="C165" s="330"/>
      <c r="D165" s="330"/>
      <c r="E165" s="305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70</v>
      </c>
      <c r="B166" s="75" t="s">
        <v>272</v>
      </c>
      <c r="C166" s="330"/>
      <c r="D166" s="330"/>
      <c r="E166" s="305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71</v>
      </c>
      <c r="B167" s="75" t="s">
        <v>272</v>
      </c>
      <c r="C167" s="330"/>
      <c r="D167" s="330"/>
      <c r="E167" s="305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371</v>
      </c>
      <c r="B168" s="75" t="s">
        <v>272</v>
      </c>
      <c r="C168" s="330"/>
      <c r="D168" s="330"/>
      <c r="E168" s="305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72</v>
      </c>
      <c r="B169" s="75" t="s">
        <v>272</v>
      </c>
      <c r="C169" s="330"/>
      <c r="D169" s="330"/>
      <c r="E169" s="305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73</v>
      </c>
      <c r="B170" s="75" t="s">
        <v>272</v>
      </c>
      <c r="C170" s="330">
        <v>-93896</v>
      </c>
      <c r="D170" s="330"/>
      <c r="E170" s="305">
        <f t="shared" si="7"/>
        <v>-93896</v>
      </c>
      <c r="F170" s="8"/>
      <c r="G170" s="51"/>
      <c r="H170" s="51"/>
      <c r="I170" s="51"/>
      <c r="J170" s="51"/>
      <c r="K170" s="51"/>
    </row>
    <row r="171" spans="1:11" ht="12.75">
      <c r="A171" t="s">
        <v>281</v>
      </c>
      <c r="B171" s="75" t="s">
        <v>272</v>
      </c>
      <c r="C171" s="330"/>
      <c r="D171" s="330"/>
      <c r="E171" s="305">
        <f t="shared" si="7"/>
        <v>0</v>
      </c>
      <c r="F171" s="8"/>
      <c r="G171" s="51"/>
      <c r="H171" s="51"/>
      <c r="I171" s="51"/>
      <c r="J171" s="51"/>
      <c r="K171" s="51"/>
    </row>
    <row r="172" spans="1:11" ht="12.75">
      <c r="A172" t="s">
        <v>74</v>
      </c>
      <c r="B172" s="75" t="s">
        <v>272</v>
      </c>
      <c r="C172" s="330">
        <v>215768</v>
      </c>
      <c r="D172" s="330"/>
      <c r="E172" s="305">
        <f t="shared" si="7"/>
        <v>215768</v>
      </c>
      <c r="F172" s="8"/>
      <c r="G172" s="51"/>
      <c r="H172" s="51"/>
      <c r="I172" s="51"/>
      <c r="J172" s="51"/>
      <c r="K172" s="51"/>
    </row>
    <row r="173" spans="1:6" ht="12.75">
      <c r="A173" t="s">
        <v>277</v>
      </c>
      <c r="B173" s="75" t="s">
        <v>272</v>
      </c>
      <c r="C173" s="330"/>
      <c r="D173" s="330"/>
      <c r="E173" s="305">
        <f t="shared" si="7"/>
        <v>0</v>
      </c>
      <c r="F173" s="8"/>
    </row>
    <row r="174" spans="1:6" ht="12.75">
      <c r="A174" t="s">
        <v>75</v>
      </c>
      <c r="B174" s="75" t="s">
        <v>275</v>
      </c>
      <c r="C174" s="283">
        <f>SUM(C160:C173)</f>
        <v>17765441</v>
      </c>
      <c r="D174" s="283">
        <f>SUM(D160:D173)</f>
        <v>0</v>
      </c>
      <c r="E174" s="283">
        <f>SUM(E160:E173)</f>
        <v>17765441</v>
      </c>
      <c r="F174" s="8"/>
    </row>
    <row r="175" spans="1:6" ht="12.75">
      <c r="A175" t="s">
        <v>76</v>
      </c>
      <c r="B175" s="8"/>
      <c r="C175" s="28"/>
      <c r="D175" s="28"/>
      <c r="E175" s="28"/>
      <c r="F175" s="8"/>
    </row>
    <row r="176" spans="1:6" ht="25.5">
      <c r="A176" s="74" t="s">
        <v>280</v>
      </c>
      <c r="B176" s="75" t="s">
        <v>273</v>
      </c>
      <c r="C176" s="331"/>
      <c r="D176" s="331"/>
      <c r="E176" s="328">
        <f>C176-D176</f>
        <v>0</v>
      </c>
      <c r="F176" s="8"/>
    </row>
    <row r="177" spans="1:6" ht="25.5">
      <c r="A177" s="91" t="s">
        <v>268</v>
      </c>
      <c r="B177" s="75" t="s">
        <v>273</v>
      </c>
      <c r="C177" s="331"/>
      <c r="D177" s="331"/>
      <c r="E177" s="328">
        <f>C177-D177</f>
        <v>0</v>
      </c>
      <c r="F177" s="8"/>
    </row>
    <row r="178" spans="1:6" ht="12.75">
      <c r="A178" s="2" t="s">
        <v>120</v>
      </c>
      <c r="B178" s="75" t="s">
        <v>275</v>
      </c>
      <c r="C178" s="329">
        <f>C174-C176-C177</f>
        <v>17765441</v>
      </c>
      <c r="D178" s="329">
        <f>D174-D176-D177</f>
        <v>0</v>
      </c>
      <c r="E178" s="283">
        <f>E174-E176-E177</f>
        <v>17765441</v>
      </c>
      <c r="F178" s="8"/>
    </row>
    <row r="179" spans="2:6" ht="12.75">
      <c r="B179" s="8"/>
      <c r="C179" s="5"/>
      <c r="D179" s="5"/>
      <c r="E179" s="5"/>
      <c r="F179" s="8"/>
    </row>
    <row r="180" spans="1:6" ht="12.75">
      <c r="A180" s="14" t="s">
        <v>77</v>
      </c>
      <c r="B180" s="8"/>
      <c r="C180" s="5"/>
      <c r="D180" s="5"/>
      <c r="E180" s="5"/>
      <c r="F180" s="8"/>
    </row>
    <row r="181" spans="2:6" ht="12.75">
      <c r="B181" s="8"/>
      <c r="C181" s="5"/>
      <c r="D181" s="5"/>
      <c r="E181" s="5"/>
      <c r="F181" s="8"/>
    </row>
    <row r="182" spans="1:6" ht="12.75">
      <c r="A182" t="s">
        <v>78</v>
      </c>
      <c r="B182" s="75" t="s">
        <v>272</v>
      </c>
      <c r="C182" s="330"/>
      <c r="D182" s="330"/>
      <c r="E182" s="305">
        <f aca="true" t="shared" si="8" ref="E182:E187">C182-D182</f>
        <v>0</v>
      </c>
      <c r="F182" s="8"/>
    </row>
    <row r="183" spans="1:6" ht="12.75">
      <c r="A183" t="s">
        <v>79</v>
      </c>
      <c r="B183" s="75" t="s">
        <v>272</v>
      </c>
      <c r="C183" s="330"/>
      <c r="D183" s="330"/>
      <c r="E183" s="305">
        <f t="shared" si="8"/>
        <v>0</v>
      </c>
      <c r="F183" s="8"/>
    </row>
    <row r="184" spans="1:6" ht="12.75">
      <c r="A184" t="s">
        <v>80</v>
      </c>
      <c r="B184" s="75" t="s">
        <v>272</v>
      </c>
      <c r="C184" s="330"/>
      <c r="D184" s="330"/>
      <c r="E184" s="305">
        <f t="shared" si="8"/>
        <v>0</v>
      </c>
      <c r="F184" s="8"/>
    </row>
    <row r="185" spans="1:6" ht="12.75">
      <c r="A185" t="s">
        <v>81</v>
      </c>
      <c r="B185" s="75" t="s">
        <v>272</v>
      </c>
      <c r="C185" s="330"/>
      <c r="D185" s="330"/>
      <c r="E185" s="305">
        <f t="shared" si="8"/>
        <v>0</v>
      </c>
      <c r="F185" s="8"/>
    </row>
    <row r="186" spans="1:6" ht="12.75">
      <c r="A186" t="s">
        <v>276</v>
      </c>
      <c r="B186" s="75" t="s">
        <v>272</v>
      </c>
      <c r="C186" s="330">
        <v>87912</v>
      </c>
      <c r="D186" s="330"/>
      <c r="E186" s="305">
        <f t="shared" si="8"/>
        <v>87912</v>
      </c>
      <c r="F186" s="8"/>
    </row>
    <row r="187" spans="1:6" ht="12.75">
      <c r="A187" t="s">
        <v>282</v>
      </c>
      <c r="B187" s="75" t="s">
        <v>272</v>
      </c>
      <c r="C187" s="330"/>
      <c r="D187" s="330"/>
      <c r="E187" s="305">
        <f t="shared" si="8"/>
        <v>0</v>
      </c>
      <c r="F187" s="8"/>
    </row>
    <row r="188" spans="2:6" ht="12.75">
      <c r="B188" s="8"/>
      <c r="C188" s="28"/>
      <c r="D188" s="28"/>
      <c r="E188" s="257"/>
      <c r="F188" s="8"/>
    </row>
    <row r="189" spans="1:6" ht="12.75">
      <c r="A189" s="2" t="s">
        <v>82</v>
      </c>
      <c r="B189" s="75" t="s">
        <v>275</v>
      </c>
      <c r="C189" s="283">
        <f>SUM(C182:C187)</f>
        <v>87912</v>
      </c>
      <c r="D189" s="283">
        <f>SUM(D182:D188)</f>
        <v>0</v>
      </c>
      <c r="E189" s="283">
        <f>SUM(E182:E187)</f>
        <v>87912</v>
      </c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2"/>
      <c r="B191" s="8"/>
      <c r="C191" s="5"/>
      <c r="D191" s="5"/>
      <c r="E191" s="5"/>
      <c r="F191" s="8"/>
    </row>
    <row r="192" spans="1:6" ht="12.75">
      <c r="A192" s="14" t="s">
        <v>83</v>
      </c>
      <c r="B192" s="8"/>
      <c r="C192" s="5"/>
      <c r="D192" s="5"/>
      <c r="E192" s="5"/>
      <c r="F192" s="8"/>
    </row>
    <row r="193" spans="2:6" ht="12.75">
      <c r="B193" s="8"/>
      <c r="C193" s="5"/>
      <c r="D193" s="5"/>
      <c r="E193" s="5"/>
      <c r="F193" s="8"/>
    </row>
    <row r="194" spans="1:6" ht="12.75">
      <c r="A194" t="s">
        <v>84</v>
      </c>
      <c r="B194" s="75" t="s">
        <v>272</v>
      </c>
      <c r="C194" s="330">
        <v>25031023</v>
      </c>
      <c r="D194" s="330"/>
      <c r="E194" s="305">
        <f>C194-D194</f>
        <v>25031023</v>
      </c>
      <c r="F194" s="8"/>
    </row>
    <row r="195" spans="1:6" ht="12.75">
      <c r="A195" t="s">
        <v>269</v>
      </c>
      <c r="B195" s="75" t="s">
        <v>272</v>
      </c>
      <c r="C195" s="330"/>
      <c r="D195" s="330"/>
      <c r="E195" s="305">
        <f>C195-D195</f>
        <v>0</v>
      </c>
      <c r="F195" s="8"/>
    </row>
    <row r="196" spans="1:7" ht="12.75">
      <c r="A196" t="s">
        <v>270</v>
      </c>
      <c r="B196" s="75" t="s">
        <v>272</v>
      </c>
      <c r="C196" s="330"/>
      <c r="D196" s="330"/>
      <c r="E196" s="305">
        <f>C196-D196</f>
        <v>0</v>
      </c>
      <c r="F196" s="8"/>
      <c r="G196" s="28" t="s">
        <v>180</v>
      </c>
    </row>
    <row r="197" spans="1:6" ht="12.75">
      <c r="A197" t="s">
        <v>271</v>
      </c>
      <c r="B197" s="75" t="s">
        <v>273</v>
      </c>
      <c r="C197" s="330"/>
      <c r="D197" s="330"/>
      <c r="E197" s="305">
        <f>C197-D197</f>
        <v>0</v>
      </c>
      <c r="F197" s="8"/>
    </row>
    <row r="198" spans="2:6" ht="12.75">
      <c r="B198" s="8"/>
      <c r="C198" s="342"/>
      <c r="D198" s="342"/>
      <c r="E198" s="205"/>
      <c r="F198" s="8"/>
    </row>
    <row r="199" spans="1:6" ht="12.75">
      <c r="A199" s="2" t="s">
        <v>85</v>
      </c>
      <c r="B199" s="75" t="s">
        <v>275</v>
      </c>
      <c r="C199" s="283">
        <f>C194+C195+C196-C197</f>
        <v>25031023</v>
      </c>
      <c r="D199" s="283">
        <f>D194+D195+D196-D197</f>
        <v>0</v>
      </c>
      <c r="E199" s="283">
        <f>E194+E195+E196-E197</f>
        <v>25031023</v>
      </c>
      <c r="F199" s="8"/>
    </row>
    <row r="200" spans="2:6" ht="12.75">
      <c r="B200" s="8"/>
      <c r="C200" s="5"/>
      <c r="D200" s="5"/>
      <c r="E200" s="5"/>
      <c r="F200" s="8"/>
    </row>
    <row r="201" spans="1:6" ht="12.75">
      <c r="A201" t="s">
        <v>86</v>
      </c>
      <c r="B201" s="8"/>
      <c r="C201" s="5"/>
      <c r="D201" s="5"/>
      <c r="E201" s="5"/>
      <c r="F201" s="8"/>
    </row>
    <row r="202" spans="1:6" ht="12.75">
      <c r="A202" t="s">
        <v>274</v>
      </c>
      <c r="B202" s="75" t="s">
        <v>272</v>
      </c>
      <c r="C202" s="330"/>
      <c r="D202" s="330"/>
      <c r="E202" s="305">
        <f aca="true" t="shared" si="9" ref="E202:E208">C202-D202</f>
        <v>0</v>
      </c>
      <c r="F202" s="8"/>
    </row>
    <row r="203" spans="1:6" ht="12.75">
      <c r="A203" t="s">
        <v>87</v>
      </c>
      <c r="B203" s="75" t="s">
        <v>272</v>
      </c>
      <c r="C203" s="330"/>
      <c r="D203" s="330"/>
      <c r="E203" s="305">
        <f t="shared" si="9"/>
        <v>0</v>
      </c>
      <c r="F203" s="8"/>
    </row>
    <row r="204" spans="1:6" ht="12.75">
      <c r="A204" t="s">
        <v>88</v>
      </c>
      <c r="B204" s="8"/>
      <c r="C204" s="330"/>
      <c r="D204" s="330"/>
      <c r="E204" s="305">
        <f t="shared" si="9"/>
        <v>0</v>
      </c>
      <c r="F204" s="8"/>
    </row>
    <row r="205" spans="1:6" ht="25.5">
      <c r="A205" s="74" t="s">
        <v>280</v>
      </c>
      <c r="B205" s="77" t="s">
        <v>273</v>
      </c>
      <c r="C205" s="331"/>
      <c r="D205" s="331"/>
      <c r="E205" s="328">
        <f t="shared" si="9"/>
        <v>0</v>
      </c>
      <c r="F205" s="8"/>
    </row>
    <row r="206" spans="1:6" ht="25.5">
      <c r="A206" s="74" t="s">
        <v>279</v>
      </c>
      <c r="B206" s="75" t="s">
        <v>273</v>
      </c>
      <c r="C206" s="330"/>
      <c r="D206" s="330"/>
      <c r="E206" s="305">
        <f t="shared" si="9"/>
        <v>0</v>
      </c>
      <c r="F206" s="8"/>
    </row>
    <row r="207" spans="1:5" ht="12.75">
      <c r="A207" t="s">
        <v>89</v>
      </c>
      <c r="B207" s="75" t="s">
        <v>273</v>
      </c>
      <c r="C207" s="330"/>
      <c r="D207" s="330"/>
      <c r="E207" s="305">
        <f t="shared" si="9"/>
        <v>0</v>
      </c>
    </row>
    <row r="208" spans="1:5" ht="12.75">
      <c r="A208" t="s">
        <v>90</v>
      </c>
      <c r="B208" s="75" t="s">
        <v>278</v>
      </c>
      <c r="C208" s="330"/>
      <c r="D208" s="330"/>
      <c r="E208" s="305">
        <f t="shared" si="9"/>
        <v>0</v>
      </c>
    </row>
    <row r="209" spans="2:5" ht="12.75">
      <c r="B209" s="8"/>
      <c r="C209" s="28"/>
      <c r="D209" s="28"/>
      <c r="E209" s="205"/>
    </row>
    <row r="210" spans="1:5" ht="12.75">
      <c r="A210" s="2" t="s">
        <v>91</v>
      </c>
      <c r="B210" s="8" t="s">
        <v>275</v>
      </c>
      <c r="C210" s="329">
        <f>C199+C202+C203-C205-C206-C207+C208</f>
        <v>25031023</v>
      </c>
      <c r="D210" s="329">
        <f>D199+D202+D203-D205-D206-D207+D208</f>
        <v>0</v>
      </c>
      <c r="E210" s="283">
        <f>E199+E202+E203-E205-E206-E207+E208</f>
        <v>25031023</v>
      </c>
    </row>
    <row r="211" spans="2:5" ht="12.75">
      <c r="B211" s="8"/>
      <c r="C211" s="5"/>
      <c r="D211" s="5"/>
      <c r="E211" s="5"/>
    </row>
    <row r="212" spans="2:6" ht="12.75">
      <c r="B212" s="8"/>
      <c r="C212" s="28"/>
      <c r="D212" s="28"/>
      <c r="E212" s="28"/>
      <c r="F212" s="8"/>
    </row>
    <row r="213" spans="1:6" ht="12.75">
      <c r="A213" s="14" t="s">
        <v>92</v>
      </c>
      <c r="B213" s="8"/>
      <c r="C213" s="283">
        <f>IF(C210=0,0,IF(((C189/C210)*C178)&lt;0,0,IF((C189/C210)*C178&gt;C189,C189,C189/C210*C178)))</f>
        <v>62394.3915193558</v>
      </c>
      <c r="D213" s="283">
        <f>IF(D210=0,0,IF(((D189/D210)*D178)&lt;0,0,IF((D189/D210)*D178&gt;D189,D189,D189/D210*D178)))</f>
        <v>0</v>
      </c>
      <c r="E213" s="283">
        <f>IF(E210=0,0,IF(((E189/E210)*E178)&lt;0,0,IF((E189/E210)*E178&gt;E189,E189,E189/E210*E178)))</f>
        <v>62394.3915193558</v>
      </c>
      <c r="F213" s="8"/>
    </row>
    <row r="214" spans="2:6" ht="12.75">
      <c r="B214" s="8"/>
      <c r="C214" s="5"/>
      <c r="D214" s="5"/>
      <c r="E214" s="5"/>
      <c r="F214" s="8"/>
    </row>
    <row r="215" spans="1:6" ht="12.75">
      <c r="A215" s="14" t="s">
        <v>59</v>
      </c>
      <c r="B215" s="8"/>
      <c r="C215" s="5"/>
      <c r="D215" s="5"/>
      <c r="E215" s="5"/>
      <c r="F215" s="8"/>
    </row>
    <row r="216" spans="1:6" ht="12.75">
      <c r="A216" s="2"/>
      <c r="B216" s="8"/>
      <c r="C216" s="5"/>
      <c r="D216" s="5"/>
      <c r="E216" s="5"/>
      <c r="F216" s="8"/>
    </row>
    <row r="217" spans="1:6" ht="12.75">
      <c r="A217" s="4" t="s">
        <v>93</v>
      </c>
      <c r="B217" s="75" t="s">
        <v>272</v>
      </c>
      <c r="C217" s="313">
        <f>+C178</f>
        <v>17765441</v>
      </c>
      <c r="D217" s="313">
        <f>+D178</f>
        <v>0</v>
      </c>
      <c r="E217" s="317">
        <f>+C217-D217</f>
        <v>17765441</v>
      </c>
      <c r="F217" s="8"/>
    </row>
    <row r="218" spans="1:6" ht="12.75">
      <c r="A218" s="4" t="s">
        <v>94</v>
      </c>
      <c r="B218" s="75" t="s">
        <v>273</v>
      </c>
      <c r="C218" s="283">
        <f>C213</f>
        <v>62394.3915193558</v>
      </c>
      <c r="D218" s="283">
        <f>D213</f>
        <v>0</v>
      </c>
      <c r="E218" s="283">
        <f>C218-D218</f>
        <v>62394.3915193558</v>
      </c>
      <c r="F218" s="8"/>
    </row>
    <row r="219" spans="1:6" ht="12.75">
      <c r="A219" s="4"/>
      <c r="B219" s="26"/>
      <c r="C219" s="84"/>
      <c r="D219" s="84"/>
      <c r="E219" s="102" t="s">
        <v>180</v>
      </c>
      <c r="F219" s="8"/>
    </row>
    <row r="220" spans="1:6" ht="12.75">
      <c r="A220" s="4" t="s">
        <v>95</v>
      </c>
      <c r="B220" s="8" t="s">
        <v>275</v>
      </c>
      <c r="C220" s="283">
        <f>IF(C217&gt;C218,C217-C218,0)</f>
        <v>17703046.608480643</v>
      </c>
      <c r="D220" s="283">
        <f>IF(D217&gt;D218,D217-D218,0)</f>
        <v>0</v>
      </c>
      <c r="E220" s="283">
        <f>IF(E217&gt;E218,E217-E218,0)</f>
        <v>17703046.608480643</v>
      </c>
      <c r="F220" s="8"/>
    </row>
    <row r="221" spans="1:6" ht="12.75">
      <c r="A221" s="4"/>
      <c r="B221" s="8"/>
      <c r="C221" s="5"/>
      <c r="D221" s="5"/>
      <c r="E221" s="5"/>
      <c r="F221" s="8"/>
    </row>
    <row r="222" spans="1:6" ht="12.75">
      <c r="A222" s="14" t="s">
        <v>96</v>
      </c>
      <c r="B222" s="8"/>
      <c r="C222" s="5"/>
      <c r="D222" s="5"/>
      <c r="E222" s="5"/>
      <c r="F222" s="8"/>
    </row>
    <row r="223" spans="1:6" ht="12.75">
      <c r="A223" s="4" t="s">
        <v>519</v>
      </c>
      <c r="B223" s="8"/>
      <c r="C223" s="286">
        <f>IF(C220&gt;0,'Tax Rates'!C57,0)</f>
        <v>5369797</v>
      </c>
      <c r="D223" s="330">
        <v>0</v>
      </c>
      <c r="E223" s="305">
        <f>+C223-D223</f>
        <v>5369797</v>
      </c>
      <c r="F223" s="8"/>
    </row>
    <row r="224" spans="1:6" ht="12.75">
      <c r="A224" s="2" t="s">
        <v>439</v>
      </c>
      <c r="B224" s="8"/>
      <c r="C224" s="28"/>
      <c r="D224" s="28"/>
      <c r="E224" s="28"/>
      <c r="F224" s="8"/>
    </row>
    <row r="225" spans="1:6" ht="12.75">
      <c r="A225" s="4" t="s">
        <v>97</v>
      </c>
      <c r="B225" s="8"/>
      <c r="C225" s="283">
        <f>IF(C220&gt;C223,C220-C223,0)</f>
        <v>12333249.608480643</v>
      </c>
      <c r="D225" s="283">
        <f>D220-D223</f>
        <v>0</v>
      </c>
      <c r="E225" s="283">
        <f>E220-E223</f>
        <v>12333249.608480643</v>
      </c>
      <c r="F225" s="8"/>
    </row>
    <row r="226" spans="1:6" ht="12.75">
      <c r="A226" s="2"/>
      <c r="B226" s="8"/>
      <c r="C226" s="5"/>
      <c r="D226" s="5"/>
      <c r="E226" s="5"/>
      <c r="F226" s="8"/>
    </row>
    <row r="227" spans="1:6" ht="12.75">
      <c r="A227" s="4" t="s">
        <v>432</v>
      </c>
      <c r="B227" s="8"/>
      <c r="C227" s="332">
        <f>'Tax Rates'!C54</f>
        <v>0.003</v>
      </c>
      <c r="D227" s="332">
        <f>C227</f>
        <v>0.003</v>
      </c>
      <c r="E227" s="332">
        <f>C227</f>
        <v>0.003</v>
      </c>
      <c r="F227" s="8"/>
    </row>
    <row r="228" spans="1:6" ht="12.75">
      <c r="A228" s="4"/>
      <c r="B228" s="8"/>
      <c r="C228" s="5"/>
      <c r="D228" s="5"/>
      <c r="E228" s="5"/>
      <c r="F228" s="8"/>
    </row>
    <row r="229" spans="1:6" ht="12.75">
      <c r="A229" s="4" t="s">
        <v>126</v>
      </c>
      <c r="B229" s="8"/>
      <c r="C229" s="284">
        <f>C11</f>
        <v>365</v>
      </c>
      <c r="D229" s="284">
        <f>C229</f>
        <v>365</v>
      </c>
      <c r="E229" s="284">
        <f>C229</f>
        <v>365</v>
      </c>
      <c r="F229" s="8"/>
    </row>
    <row r="230" spans="1:6" ht="12.75">
      <c r="A230" s="4" t="s">
        <v>518</v>
      </c>
      <c r="B230" s="8"/>
      <c r="C230" s="333">
        <f>+C229/REGINFO!B7</f>
        <v>1</v>
      </c>
      <c r="D230" s="333">
        <f>+D229/REGINFO!B7</f>
        <v>1</v>
      </c>
      <c r="E230" s="333">
        <f>+E229/REGINFO!B7</f>
        <v>1</v>
      </c>
      <c r="F230" s="8"/>
    </row>
    <row r="231" spans="2:6" ht="12.75">
      <c r="B231" s="8"/>
      <c r="C231" s="5"/>
      <c r="D231" s="5"/>
      <c r="E231" s="5"/>
      <c r="F231" s="8"/>
    </row>
    <row r="232" spans="1:6" ht="12.75">
      <c r="A232" s="2" t="s">
        <v>547</v>
      </c>
      <c r="B232" s="8"/>
      <c r="C232" s="501">
        <f>C225*C227*C230</f>
        <v>36999.74882544193</v>
      </c>
      <c r="D232" s="283">
        <f>+D223*D225*D228</f>
        <v>0</v>
      </c>
      <c r="E232" s="283">
        <f>C232-D232</f>
        <v>36999.74882544193</v>
      </c>
      <c r="F232" s="8"/>
    </row>
    <row r="233" spans="2:6" ht="12.75">
      <c r="B233" s="8"/>
      <c r="C233" s="5"/>
      <c r="D233" s="5"/>
      <c r="E233" s="5"/>
      <c r="F233" s="8"/>
    </row>
    <row r="234" spans="1:6" ht="12.75">
      <c r="A234" s="2" t="s">
        <v>592</v>
      </c>
      <c r="B234" s="8"/>
      <c r="C234" s="338">
        <v>37000</v>
      </c>
      <c r="D234" s="338">
        <f>+D225*D227*D230</f>
        <v>0</v>
      </c>
      <c r="E234" s="283">
        <f>C234-D234</f>
        <v>37000</v>
      </c>
      <c r="F234" s="8"/>
    </row>
    <row r="235" spans="1:6" ht="12.75">
      <c r="A235" s="2"/>
      <c r="B235" s="8"/>
      <c r="C235" s="6"/>
      <c r="D235" s="6"/>
      <c r="E235" s="6"/>
      <c r="F235" s="8"/>
    </row>
    <row r="236" spans="1:6" ht="12.75">
      <c r="A236" s="14" t="s">
        <v>630</v>
      </c>
      <c r="B236" s="8"/>
      <c r="C236" s="5"/>
      <c r="D236" s="5"/>
      <c r="E236" s="5"/>
      <c r="F236" s="8"/>
    </row>
    <row r="237" spans="1:6" ht="12.75">
      <c r="A237" s="14"/>
      <c r="B237" s="8"/>
      <c r="C237" s="5"/>
      <c r="D237" s="5"/>
      <c r="E237" s="5"/>
      <c r="F237" s="8"/>
    </row>
    <row r="238" spans="1:6" ht="12.75">
      <c r="A238" s="14" t="s">
        <v>631</v>
      </c>
      <c r="B238" s="8"/>
      <c r="C238" s="5"/>
      <c r="D238" s="5"/>
      <c r="E238" s="5"/>
      <c r="F238" s="8"/>
    </row>
    <row r="239" spans="1:6" ht="12.75">
      <c r="A239" s="101" t="s">
        <v>329</v>
      </c>
      <c r="B239" s="8"/>
      <c r="C239" s="5"/>
      <c r="D239" s="5"/>
      <c r="E239" s="5"/>
      <c r="F239" s="8"/>
    </row>
    <row r="240" spans="1:6" ht="12.75">
      <c r="A240" s="2" t="s">
        <v>98</v>
      </c>
      <c r="B240" s="8"/>
      <c r="C240" s="5"/>
      <c r="D240" s="5"/>
      <c r="E240" s="5"/>
      <c r="F240" s="8"/>
    </row>
    <row r="241" spans="1:6" ht="12.75">
      <c r="A241" t="s">
        <v>99</v>
      </c>
      <c r="B241" s="8"/>
      <c r="C241" s="5"/>
      <c r="D241" s="5"/>
      <c r="E241" s="5"/>
      <c r="F241" s="8"/>
    </row>
    <row r="242" spans="1:6" ht="25.5">
      <c r="A242" s="74" t="s">
        <v>283</v>
      </c>
      <c r="B242" s="77" t="s">
        <v>272</v>
      </c>
      <c r="C242" s="334"/>
      <c r="D242" s="334"/>
      <c r="E242" s="328">
        <f>+C242-D242</f>
        <v>0</v>
      </c>
      <c r="F242" s="8"/>
    </row>
    <row r="243" spans="1:6" ht="12.75">
      <c r="A243" s="74" t="s">
        <v>100</v>
      </c>
      <c r="B243" s="77" t="s">
        <v>272</v>
      </c>
      <c r="C243" s="338"/>
      <c r="D243" s="338"/>
      <c r="E243" s="305">
        <f aca="true" t="shared" si="10" ref="E243:E251">+C243-D243</f>
        <v>0</v>
      </c>
      <c r="F243" s="8"/>
    </row>
    <row r="244" spans="1:6" ht="12.75">
      <c r="A244" s="74" t="s">
        <v>101</v>
      </c>
      <c r="B244" s="77" t="s">
        <v>272</v>
      </c>
      <c r="C244" s="335"/>
      <c r="D244" s="335"/>
      <c r="E244" s="305">
        <f t="shared" si="10"/>
        <v>0</v>
      </c>
      <c r="F244" s="8"/>
    </row>
    <row r="245" spans="1:6" ht="12.75">
      <c r="A245" s="74" t="s">
        <v>102</v>
      </c>
      <c r="B245" s="77" t="s">
        <v>272</v>
      </c>
      <c r="C245" s="336"/>
      <c r="D245" s="336"/>
      <c r="E245" s="305">
        <f t="shared" si="10"/>
        <v>0</v>
      </c>
      <c r="F245" s="8"/>
    </row>
    <row r="246" spans="1:6" ht="12.75">
      <c r="A246" s="74" t="s">
        <v>103</v>
      </c>
      <c r="B246" s="77" t="s">
        <v>272</v>
      </c>
      <c r="C246" s="336"/>
      <c r="D246" s="336"/>
      <c r="E246" s="305">
        <f t="shared" si="10"/>
        <v>0</v>
      </c>
      <c r="F246" s="8"/>
    </row>
    <row r="247" spans="1:6" ht="12.75">
      <c r="A247" s="74" t="s">
        <v>104</v>
      </c>
      <c r="B247" s="77" t="s">
        <v>272</v>
      </c>
      <c r="C247" s="336"/>
      <c r="D247" s="336"/>
      <c r="E247" s="305">
        <f t="shared" si="10"/>
        <v>0</v>
      </c>
      <c r="F247" s="8"/>
    </row>
    <row r="248" spans="1:6" ht="12.75">
      <c r="A248" s="74" t="s">
        <v>105</v>
      </c>
      <c r="B248" s="77" t="s">
        <v>272</v>
      </c>
      <c r="C248" s="336"/>
      <c r="D248" s="336"/>
      <c r="E248" s="305">
        <f t="shared" si="10"/>
        <v>0</v>
      </c>
      <c r="F248" s="8"/>
    </row>
    <row r="249" spans="1:6" ht="25.5">
      <c r="A249" s="74" t="s">
        <v>286</v>
      </c>
      <c r="B249" s="77" t="s">
        <v>272</v>
      </c>
      <c r="C249" s="334"/>
      <c r="D249" s="334"/>
      <c r="E249" s="328">
        <f t="shared" si="10"/>
        <v>0</v>
      </c>
      <c r="F249" s="8"/>
    </row>
    <row r="250" spans="1:6" ht="12.75">
      <c r="A250" s="74" t="s">
        <v>106</v>
      </c>
      <c r="B250" s="77" t="s">
        <v>272</v>
      </c>
      <c r="C250" s="336"/>
      <c r="D250" s="336"/>
      <c r="E250" s="305">
        <f t="shared" si="10"/>
        <v>0</v>
      </c>
      <c r="F250" s="8"/>
    </row>
    <row r="251" spans="1:6" ht="12.75">
      <c r="A251" s="74" t="s">
        <v>287</v>
      </c>
      <c r="B251" s="77" t="s">
        <v>272</v>
      </c>
      <c r="C251" s="336"/>
      <c r="D251" s="336"/>
      <c r="E251" s="305">
        <f t="shared" si="10"/>
        <v>0</v>
      </c>
      <c r="F251" s="8"/>
    </row>
    <row r="252" spans="2:6" ht="12.75">
      <c r="B252" s="8"/>
      <c r="C252" s="28"/>
      <c r="D252" s="28"/>
      <c r="E252" s="28"/>
      <c r="F252" s="8"/>
    </row>
    <row r="253" spans="1:6" ht="12.75">
      <c r="A253" t="s">
        <v>9</v>
      </c>
      <c r="B253" s="8" t="s">
        <v>275</v>
      </c>
      <c r="C253" s="283">
        <f>SUM(C242:C252)</f>
        <v>0</v>
      </c>
      <c r="D253" s="283">
        <f>SUM(D242:D252)</f>
        <v>0</v>
      </c>
      <c r="E253" s="283">
        <f>SUM(E242:E252)</f>
        <v>0</v>
      </c>
      <c r="F253" s="8"/>
    </row>
    <row r="254" spans="2:6" ht="12.75">
      <c r="B254" s="8"/>
      <c r="C254" s="28"/>
      <c r="D254" s="28"/>
      <c r="E254" s="28"/>
      <c r="F254" s="8"/>
    </row>
    <row r="255" spans="1:6" ht="12.75">
      <c r="A255" t="s">
        <v>107</v>
      </c>
      <c r="B255" s="8"/>
      <c r="C255" s="28"/>
      <c r="D255" s="28"/>
      <c r="E255" s="28"/>
      <c r="F255" s="8"/>
    </row>
    <row r="256" spans="1:6" ht="12.75">
      <c r="A256" t="s">
        <v>108</v>
      </c>
      <c r="B256" s="75" t="s">
        <v>273</v>
      </c>
      <c r="C256" s="330"/>
      <c r="D256" s="330"/>
      <c r="E256" s="305">
        <f>+C256-D256</f>
        <v>0</v>
      </c>
      <c r="F256" s="8"/>
    </row>
    <row r="257" spans="1:6" ht="12.75">
      <c r="A257" t="s">
        <v>284</v>
      </c>
      <c r="B257" s="75" t="s">
        <v>273</v>
      </c>
      <c r="C257" s="330"/>
      <c r="D257" s="330"/>
      <c r="E257" s="305">
        <f>+C257-D257</f>
        <v>0</v>
      </c>
      <c r="F257" s="8"/>
    </row>
    <row r="258" spans="1:6" ht="25.5">
      <c r="A258" s="76" t="s">
        <v>285</v>
      </c>
      <c r="B258" s="75" t="s">
        <v>273</v>
      </c>
      <c r="C258" s="331"/>
      <c r="D258" s="331"/>
      <c r="E258" s="328">
        <f>+C258-D258</f>
        <v>0</v>
      </c>
      <c r="F258" s="8"/>
    </row>
    <row r="259" spans="1:6" ht="12.75">
      <c r="A259" t="s">
        <v>109</v>
      </c>
      <c r="B259" s="75" t="s">
        <v>273</v>
      </c>
      <c r="C259" s="330"/>
      <c r="D259" s="330"/>
      <c r="E259" s="305">
        <f>+C259-D259</f>
        <v>0</v>
      </c>
      <c r="F259" s="8"/>
    </row>
    <row r="260" spans="2:6" ht="12.75">
      <c r="B260" s="8"/>
      <c r="C260" s="28"/>
      <c r="D260" s="28"/>
      <c r="E260" s="283"/>
      <c r="F260" s="8"/>
    </row>
    <row r="261" spans="1:6" ht="12.75">
      <c r="A261" t="s">
        <v>9</v>
      </c>
      <c r="B261" s="8" t="s">
        <v>275</v>
      </c>
      <c r="C261" s="283">
        <f>SUM(C256:C260)</f>
        <v>0</v>
      </c>
      <c r="D261" s="283">
        <f>SUM(D256:D260)</f>
        <v>0</v>
      </c>
      <c r="E261" s="283">
        <f>SUM(E256:E260)</f>
        <v>0</v>
      </c>
      <c r="F261" s="8"/>
    </row>
    <row r="262" spans="2:6" ht="12.75">
      <c r="B262" s="8"/>
      <c r="C262" s="28"/>
      <c r="D262" s="28"/>
      <c r="E262" s="28"/>
      <c r="F262" s="8"/>
    </row>
    <row r="263" spans="1:6" ht="12.75">
      <c r="A263" s="2" t="s">
        <v>11</v>
      </c>
      <c r="B263" s="8"/>
      <c r="C263" s="283">
        <f>+C253-C261</f>
        <v>0</v>
      </c>
      <c r="D263" s="283">
        <f>+D253-D261</f>
        <v>0</v>
      </c>
      <c r="E263" s="283">
        <f>+E253-E261</f>
        <v>0</v>
      </c>
      <c r="F263" s="8"/>
    </row>
    <row r="264" spans="1:6" ht="12.75">
      <c r="A264" s="2"/>
      <c r="B264" s="8"/>
      <c r="C264" s="5"/>
      <c r="D264" s="5"/>
      <c r="E264" s="5"/>
      <c r="F264" s="8"/>
    </row>
    <row r="265" spans="1:6" ht="12.75">
      <c r="A265" s="14" t="s">
        <v>110</v>
      </c>
      <c r="B265" s="8"/>
      <c r="C265" s="5"/>
      <c r="D265" s="5"/>
      <c r="E265" s="5"/>
      <c r="F265" s="8"/>
    </row>
    <row r="266" spans="1:6" ht="12.75">
      <c r="A266" s="2"/>
      <c r="B266" s="8"/>
      <c r="C266" s="5"/>
      <c r="D266" s="5"/>
      <c r="E266" s="5"/>
      <c r="F266" s="8"/>
    </row>
    <row r="267" spans="1:6" ht="12.75">
      <c r="A267" s="4" t="s">
        <v>111</v>
      </c>
      <c r="B267" s="75" t="s">
        <v>272</v>
      </c>
      <c r="C267" s="330"/>
      <c r="D267" s="330"/>
      <c r="E267" s="305">
        <f>C267-D267</f>
        <v>0</v>
      </c>
      <c r="F267" s="8"/>
    </row>
    <row r="268" spans="1:6" ht="12.75">
      <c r="A268" s="4" t="s">
        <v>112</v>
      </c>
      <c r="B268" s="75" t="s">
        <v>272</v>
      </c>
      <c r="C268" s="330"/>
      <c r="D268" s="330"/>
      <c r="E268" s="305">
        <f aca="true" t="shared" si="11" ref="E268:E274">C268-D268</f>
        <v>0</v>
      </c>
      <c r="F268" s="8"/>
    </row>
    <row r="269" spans="1:6" ht="12.75">
      <c r="A269" s="4" t="s">
        <v>113</v>
      </c>
      <c r="B269" s="75" t="s">
        <v>272</v>
      </c>
      <c r="C269" s="330"/>
      <c r="D269" s="330"/>
      <c r="E269" s="305">
        <f t="shared" si="11"/>
        <v>0</v>
      </c>
      <c r="F269" s="8"/>
    </row>
    <row r="270" spans="1:6" ht="12.75">
      <c r="A270" s="4" t="s">
        <v>114</v>
      </c>
      <c r="B270" s="75" t="s">
        <v>272</v>
      </c>
      <c r="C270" s="330"/>
      <c r="D270" s="330"/>
      <c r="E270" s="305">
        <f t="shared" si="11"/>
        <v>0</v>
      </c>
      <c r="F270" s="8"/>
    </row>
    <row r="271" spans="1:6" ht="12.75">
      <c r="A271" s="4" t="s">
        <v>115</v>
      </c>
      <c r="B271" s="75" t="s">
        <v>272</v>
      </c>
      <c r="C271" s="330"/>
      <c r="D271" s="330"/>
      <c r="E271" s="305">
        <f t="shared" si="11"/>
        <v>0</v>
      </c>
      <c r="F271" s="8"/>
    </row>
    <row r="272" spans="1:6" ht="12.75">
      <c r="A272" s="4" t="s">
        <v>116</v>
      </c>
      <c r="B272" s="75" t="s">
        <v>272</v>
      </c>
      <c r="C272" s="330"/>
      <c r="D272" s="330"/>
      <c r="E272" s="305">
        <f t="shared" si="11"/>
        <v>0</v>
      </c>
      <c r="F272" s="8"/>
    </row>
    <row r="273" spans="1:6" ht="25.5">
      <c r="A273" s="78" t="s">
        <v>288</v>
      </c>
      <c r="B273" s="77" t="s">
        <v>272</v>
      </c>
      <c r="C273" s="331"/>
      <c r="D273" s="331"/>
      <c r="E273" s="328">
        <f t="shared" si="11"/>
        <v>0</v>
      </c>
      <c r="F273" s="8"/>
    </row>
    <row r="274" spans="1:6" ht="12.75">
      <c r="A274" s="4" t="s">
        <v>117</v>
      </c>
      <c r="B274" s="75" t="s">
        <v>272</v>
      </c>
      <c r="C274" s="330"/>
      <c r="D274" s="330"/>
      <c r="E274" s="305">
        <f t="shared" si="11"/>
        <v>0</v>
      </c>
      <c r="F274" s="8"/>
    </row>
    <row r="275" spans="1:6" ht="12.75">
      <c r="A275" s="4"/>
      <c r="B275" s="8"/>
      <c r="C275" s="28"/>
      <c r="D275" s="28"/>
      <c r="E275" s="283"/>
      <c r="F275" s="8"/>
    </row>
    <row r="276" spans="1:6" ht="12.75">
      <c r="A276" s="2" t="s">
        <v>10</v>
      </c>
      <c r="B276" s="8" t="s">
        <v>275</v>
      </c>
      <c r="C276" s="329">
        <f>SUM(C267:C275)</f>
        <v>0</v>
      </c>
      <c r="D276" s="337">
        <f>SUM(D267:D275)</f>
        <v>0</v>
      </c>
      <c r="E276" s="283">
        <f>SUM(E267:E275)</f>
        <v>0</v>
      </c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4"/>
      <c r="B278" s="8"/>
      <c r="C278" s="5"/>
      <c r="D278" s="5"/>
      <c r="E278" s="5"/>
      <c r="F278" s="8"/>
    </row>
    <row r="279" spans="1:6" ht="12.75">
      <c r="A279" s="14" t="s">
        <v>118</v>
      </c>
      <c r="B279" s="8"/>
      <c r="C279" s="5"/>
      <c r="D279" s="5"/>
      <c r="E279" s="5"/>
      <c r="F279" s="8"/>
    </row>
    <row r="280" spans="1:6" ht="12.75">
      <c r="A280" s="4"/>
      <c r="B280" s="8"/>
      <c r="C280" s="5"/>
      <c r="D280" s="5"/>
      <c r="E280" s="5"/>
      <c r="F280" s="8"/>
    </row>
    <row r="281" spans="1:6" ht="12.75">
      <c r="A281" s="4" t="s">
        <v>13</v>
      </c>
      <c r="B281" s="8" t="s">
        <v>275</v>
      </c>
      <c r="C281" s="283">
        <f>+C263</f>
        <v>0</v>
      </c>
      <c r="D281" s="283">
        <f>+D263</f>
        <v>0</v>
      </c>
      <c r="E281" s="305">
        <f>+E263</f>
        <v>0</v>
      </c>
      <c r="F281" s="8"/>
    </row>
    <row r="282" spans="1:6" ht="12.75">
      <c r="A282" s="4"/>
      <c r="B282" s="8"/>
      <c r="C282" s="71"/>
      <c r="D282" s="71"/>
      <c r="E282" s="71"/>
      <c r="F282" s="8"/>
    </row>
    <row r="283" spans="1:6" ht="12.75">
      <c r="A283" s="4" t="s">
        <v>14</v>
      </c>
      <c r="B283" s="8" t="s">
        <v>273</v>
      </c>
      <c r="C283" s="283">
        <f>+C276</f>
        <v>0</v>
      </c>
      <c r="D283" s="283">
        <f>+D276</f>
        <v>0</v>
      </c>
      <c r="E283" s="305">
        <f>+C283-D283</f>
        <v>0</v>
      </c>
      <c r="F283" s="8"/>
    </row>
    <row r="284" spans="1:6" ht="12.75">
      <c r="A284" s="4"/>
      <c r="B284" s="8"/>
      <c r="C284" s="71"/>
      <c r="D284" s="71"/>
      <c r="E284" s="71"/>
      <c r="F284" s="8"/>
    </row>
    <row r="285" spans="1:6" ht="12.75">
      <c r="A285" s="4" t="s">
        <v>15</v>
      </c>
      <c r="B285" s="75" t="s">
        <v>275</v>
      </c>
      <c r="C285" s="283">
        <f>IF(C281&gt;C283,C281-C283,0)</f>
        <v>0</v>
      </c>
      <c r="D285" s="283">
        <f>IF(D281&gt;D283,D281-D283,0)</f>
        <v>0</v>
      </c>
      <c r="E285" s="283">
        <f>IF(E281&gt;E283,E281-E283,0)</f>
        <v>0</v>
      </c>
      <c r="F285" s="8"/>
    </row>
    <row r="286" spans="1:6" ht="12.75">
      <c r="A286" s="4"/>
      <c r="B286" s="8"/>
      <c r="C286" s="71"/>
      <c r="D286" s="71"/>
      <c r="E286" s="71"/>
      <c r="F286" s="8"/>
    </row>
    <row r="287" spans="1:6" ht="12.75">
      <c r="A287" s="4" t="s">
        <v>419</v>
      </c>
      <c r="B287" s="75" t="s">
        <v>273</v>
      </c>
      <c r="C287" s="427">
        <f>IF(C285&gt;0,'Tax Rates'!C58,0)</f>
        <v>0</v>
      </c>
      <c r="D287" s="338">
        <v>0</v>
      </c>
      <c r="E287" s="305">
        <f>+C287-D287</f>
        <v>0</v>
      </c>
      <c r="F287" s="8"/>
    </row>
    <row r="288" spans="1:6" ht="12.75">
      <c r="A288" s="2" t="s">
        <v>591</v>
      </c>
      <c r="B288" s="8"/>
      <c r="C288" s="71"/>
      <c r="D288" s="71"/>
      <c r="E288" s="71"/>
      <c r="F288" s="8"/>
    </row>
    <row r="289" spans="1:6" ht="12.75">
      <c r="A289" s="2" t="s">
        <v>12</v>
      </c>
      <c r="B289" s="8" t="s">
        <v>275</v>
      </c>
      <c r="C289" s="283">
        <f>IF(C285&gt;C287,C285-C287,0)</f>
        <v>0</v>
      </c>
      <c r="D289" s="283">
        <f>IF(D285&gt;D287,D285-D287,0)</f>
        <v>0</v>
      </c>
      <c r="E289" s="283">
        <f>IF(E285&gt;E287,E285-E287,0)</f>
        <v>0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495" t="s">
        <v>520</v>
      </c>
      <c r="B291" s="8"/>
      <c r="C291" s="343">
        <f>'Tax Rates'!C55</f>
        <v>0.00175</v>
      </c>
      <c r="D291" s="343">
        <f>C291</f>
        <v>0.00175</v>
      </c>
      <c r="E291" s="344">
        <f>C291</f>
        <v>0.00175</v>
      </c>
      <c r="F291" s="8"/>
    </row>
    <row r="292" spans="1:6" ht="12.75">
      <c r="A292" s="4"/>
      <c r="B292" s="8"/>
      <c r="C292" s="72"/>
      <c r="D292" s="72"/>
      <c r="E292" s="72"/>
      <c r="F292" s="8"/>
    </row>
    <row r="293" spans="1:6" ht="12.75">
      <c r="A293" s="4" t="s">
        <v>127</v>
      </c>
      <c r="B293" s="8"/>
      <c r="C293" s="284">
        <f>C11</f>
        <v>365</v>
      </c>
      <c r="D293" s="284">
        <f>C11</f>
        <v>365</v>
      </c>
      <c r="E293" s="284">
        <f>C11</f>
        <v>365</v>
      </c>
      <c r="F293" s="8"/>
    </row>
    <row r="294" spans="1:6" ht="12.75">
      <c r="A294" s="4" t="s">
        <v>518</v>
      </c>
      <c r="B294" s="8"/>
      <c r="C294" s="345">
        <f>+C293/REGINFO!B7</f>
        <v>1</v>
      </c>
      <c r="D294" s="345">
        <f>+D293/REGINFO!B7</f>
        <v>1</v>
      </c>
      <c r="E294" s="345">
        <f>+E293/REGINFO!B7</f>
        <v>1</v>
      </c>
      <c r="F294" s="8"/>
    </row>
    <row r="295" spans="1:6" ht="12.75">
      <c r="A295" s="4"/>
      <c r="B295" s="8"/>
      <c r="C295" s="72"/>
      <c r="D295" s="72"/>
      <c r="E295" s="72"/>
      <c r="F295" s="8"/>
    </row>
    <row r="296" spans="1:6" ht="12.75">
      <c r="A296" s="2" t="s">
        <v>590</v>
      </c>
      <c r="B296" s="8" t="s">
        <v>275</v>
      </c>
      <c r="C296" s="283">
        <f>C289*C291*C294</f>
        <v>0</v>
      </c>
      <c r="D296" s="283">
        <f>D289*D291*D294</f>
        <v>0</v>
      </c>
      <c r="E296" s="283">
        <f>E289*E291*E294</f>
        <v>0</v>
      </c>
      <c r="F296" s="8"/>
    </row>
    <row r="297" spans="1:6" ht="12.75">
      <c r="A297" s="4"/>
      <c r="B297" s="8"/>
      <c r="C297" s="72"/>
      <c r="D297" s="70"/>
      <c r="E297" s="72"/>
      <c r="F297" s="8"/>
    </row>
    <row r="298" spans="1:6" ht="12.75">
      <c r="A298" s="4" t="s">
        <v>129</v>
      </c>
      <c r="B298" s="8"/>
      <c r="C298" s="332">
        <f>'Tax Rates'!C56</f>
        <v>0.0112</v>
      </c>
      <c r="D298" s="332">
        <f>C298</f>
        <v>0.0112</v>
      </c>
      <c r="E298" s="332">
        <f>C298</f>
        <v>0.0112</v>
      </c>
      <c r="F298" s="8"/>
    </row>
    <row r="299" spans="2:6" ht="12.75">
      <c r="B299" s="8"/>
      <c r="C299" s="70"/>
      <c r="D299" s="70"/>
      <c r="E299" s="70"/>
      <c r="F299" s="8"/>
    </row>
    <row r="300" spans="1:6" ht="12.75">
      <c r="A300" t="s">
        <v>589</v>
      </c>
      <c r="B300" s="75" t="s">
        <v>273</v>
      </c>
      <c r="C300" s="338"/>
      <c r="D300" s="338"/>
      <c r="E300" s="283">
        <f>C300-D300</f>
        <v>0</v>
      </c>
      <c r="F300" s="8"/>
    </row>
    <row r="301" spans="2:6" ht="12.75">
      <c r="B301" s="8"/>
      <c r="C301" s="71"/>
      <c r="D301" s="71"/>
      <c r="E301" s="71"/>
      <c r="F301" s="8"/>
    </row>
    <row r="302" spans="1:6" ht="12.75">
      <c r="A302" s="2" t="s">
        <v>433</v>
      </c>
      <c r="B302" s="8" t="s">
        <v>275</v>
      </c>
      <c r="C302" s="283">
        <f>IF(C296&gt;C300,C296-C300,0)</f>
        <v>0</v>
      </c>
      <c r="D302" s="283">
        <f>IF(D296&gt;D300,D296-D300,0)</f>
        <v>0</v>
      </c>
      <c r="E302" s="283">
        <f>IF(E296&gt;E300,E296-E300,0)</f>
        <v>0</v>
      </c>
      <c r="F302" s="8"/>
    </row>
    <row r="303" spans="1:6" ht="12.75">
      <c r="A303" t="s">
        <v>130</v>
      </c>
      <c r="B303" s="8"/>
      <c r="F303" s="8"/>
    </row>
    <row r="304" spans="2:6" ht="12.75">
      <c r="B304" s="8"/>
      <c r="F304" s="8"/>
    </row>
    <row r="305" spans="1:2" ht="12.75">
      <c r="A305" s="14" t="s">
        <v>473</v>
      </c>
      <c r="B305" s="8"/>
    </row>
    <row r="306" spans="1:2" ht="12.75">
      <c r="A306" s="14"/>
      <c r="B306" s="8"/>
    </row>
    <row r="307" spans="1:2" ht="12.75">
      <c r="A307" s="2" t="s">
        <v>442</v>
      </c>
      <c r="B307" s="8"/>
    </row>
    <row r="308" spans="1:5" ht="12.75">
      <c r="A308" t="s">
        <v>327</v>
      </c>
      <c r="B308" s="97" t="s">
        <v>272</v>
      </c>
      <c r="C308" s="283">
        <f>C147</f>
        <v>68571</v>
      </c>
      <c r="D308" s="283">
        <f>D147</f>
        <v>0</v>
      </c>
      <c r="E308" s="283">
        <f>E147</f>
        <v>68571</v>
      </c>
    </row>
    <row r="309" spans="1:5" ht="12.75">
      <c r="A309" t="s">
        <v>36</v>
      </c>
      <c r="B309" s="97" t="s">
        <v>272</v>
      </c>
      <c r="C309" s="283">
        <f>C234</f>
        <v>37000</v>
      </c>
      <c r="D309" s="283">
        <f>D234</f>
        <v>0</v>
      </c>
      <c r="E309" s="283">
        <f>E234</f>
        <v>37000</v>
      </c>
    </row>
    <row r="310" spans="1:5" ht="12.75">
      <c r="A310" t="s">
        <v>326</v>
      </c>
      <c r="B310" s="97" t="s">
        <v>272</v>
      </c>
      <c r="C310" s="283">
        <f>C302</f>
        <v>0</v>
      </c>
      <c r="D310" s="283">
        <f>D302</f>
        <v>0</v>
      </c>
      <c r="E310" s="283">
        <f>E302</f>
        <v>0</v>
      </c>
    </row>
    <row r="311" ht="12.75">
      <c r="B311" s="8"/>
    </row>
    <row r="312" spans="1:5" ht="12.75">
      <c r="A312" s="2" t="s">
        <v>412</v>
      </c>
      <c r="B312" s="75" t="s">
        <v>275</v>
      </c>
      <c r="C312" s="283">
        <f>C308+C309+C310</f>
        <v>105571</v>
      </c>
      <c r="D312" s="283">
        <f>D308+D309+D310</f>
        <v>0</v>
      </c>
      <c r="E312" s="283">
        <f>E308+E309+E310</f>
        <v>105571</v>
      </c>
    </row>
    <row r="313" ht="12.75">
      <c r="C313" s="96"/>
    </row>
    <row r="314" ht="12.75">
      <c r="C314" s="8"/>
    </row>
    <row r="315" ht="12.75">
      <c r="E315" s="28"/>
    </row>
  </sheetData>
  <sheetProtection/>
  <hyperlinks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  <hyperlink ref="C65" location="'Tax Reserves'!C21" display="'Tax Reserves'!C21"/>
    <hyperlink ref="D65" location="'Tax Reserves'!D21" display="'Tax Reserves'!D21"/>
    <hyperlink ref="C107" location="'Tax Reserves'!C36" tooltip="Go to Tax Reserves worksheet" display="'Tax Reserves'!C36"/>
    <hyperlink ref="D107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7" r:id="rId1"/>
  <rowBreaks count="3" manualBreakCount="3">
    <brk id="96" max="5" man="1"/>
    <brk id="178" max="5" man="1"/>
    <brk id="25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27" t="s">
        <v>633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Erie Thames Powerlines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9" t="s">
        <v>388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395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396</v>
      </c>
      <c r="B15" s="67"/>
      <c r="C15" s="330"/>
      <c r="D15" s="330"/>
      <c r="E15" s="283">
        <f t="shared" si="0"/>
        <v>0</v>
      </c>
    </row>
    <row r="16" spans="1:5" ht="12.75">
      <c r="A16" s="67" t="s">
        <v>397</v>
      </c>
      <c r="B16" s="67"/>
      <c r="C16" s="330"/>
      <c r="D16" s="330"/>
      <c r="E16" s="283">
        <f t="shared" si="0"/>
        <v>0</v>
      </c>
    </row>
    <row r="17" spans="1:5" ht="12.75">
      <c r="A17" s="67" t="s">
        <v>398</v>
      </c>
      <c r="B17" s="67"/>
      <c r="C17" s="330"/>
      <c r="D17" s="330"/>
      <c r="E17" s="283">
        <f t="shared" si="0"/>
        <v>0</v>
      </c>
    </row>
    <row r="18" spans="1:5" ht="12.75">
      <c r="A18" s="67" t="s">
        <v>385</v>
      </c>
      <c r="B18" s="67"/>
      <c r="C18" s="330"/>
      <c r="D18" s="330"/>
      <c r="E18" s="283">
        <f t="shared" si="0"/>
        <v>0</v>
      </c>
    </row>
    <row r="19" spans="1:5" ht="12.75">
      <c r="A19" s="67" t="s">
        <v>385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261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387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395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396</v>
      </c>
      <c r="B27" s="67"/>
      <c r="C27" s="330"/>
      <c r="D27" s="330"/>
      <c r="E27" s="283">
        <f t="shared" si="1"/>
        <v>0</v>
      </c>
    </row>
    <row r="28" spans="1:5" ht="12.75">
      <c r="A28" s="67" t="s">
        <v>397</v>
      </c>
      <c r="B28" s="67"/>
      <c r="C28" s="330"/>
      <c r="D28" s="330"/>
      <c r="E28" s="283">
        <f t="shared" si="1"/>
        <v>0</v>
      </c>
    </row>
    <row r="29" spans="1:5" ht="12.75">
      <c r="A29" s="67" t="s">
        <v>398</v>
      </c>
      <c r="B29" s="67"/>
      <c r="C29" s="330"/>
      <c r="D29" s="330"/>
      <c r="E29" s="283">
        <f t="shared" si="1"/>
        <v>0</v>
      </c>
    </row>
    <row r="30" spans="1:5" ht="12.75">
      <c r="A30" s="67" t="s">
        <v>385</v>
      </c>
      <c r="B30" s="67"/>
      <c r="C30" s="330"/>
      <c r="D30" s="330"/>
      <c r="E30" s="283">
        <f t="shared" si="1"/>
        <v>0</v>
      </c>
    </row>
    <row r="31" spans="1:5" ht="12.75">
      <c r="A31" s="67" t="s">
        <v>385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211</v>
      </c>
      <c r="C34" s="28"/>
      <c r="D34" s="28"/>
      <c r="E34" s="313"/>
    </row>
    <row r="35" spans="1:5" ht="12.75">
      <c r="A35" s="2" t="s">
        <v>261</v>
      </c>
      <c r="C35" s="283">
        <f>SUM(C25:C33)</f>
        <v>0</v>
      </c>
      <c r="D35" s="283">
        <f>SUM(D25:D33)</f>
        <v>0</v>
      </c>
      <c r="E35" s="283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388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381</v>
      </c>
      <c r="B43" s="67"/>
      <c r="C43" s="330"/>
      <c r="D43" s="330"/>
      <c r="E43" s="283">
        <f t="shared" si="2"/>
        <v>0</v>
      </c>
    </row>
    <row r="44" spans="1:5" ht="12.75">
      <c r="A44" s="67" t="s">
        <v>382</v>
      </c>
      <c r="B44" s="67"/>
      <c r="C44" s="330"/>
      <c r="D44" s="330"/>
      <c r="E44" s="283">
        <f t="shared" si="2"/>
        <v>0</v>
      </c>
    </row>
    <row r="45" spans="1:5" ht="12.75">
      <c r="A45" s="67" t="s">
        <v>383</v>
      </c>
      <c r="B45" s="67"/>
      <c r="C45" s="330"/>
      <c r="D45" s="330"/>
      <c r="E45" s="283">
        <f t="shared" si="2"/>
        <v>0</v>
      </c>
    </row>
    <row r="46" spans="1:5" ht="12.75">
      <c r="A46" s="67" t="s">
        <v>384</v>
      </c>
      <c r="B46" s="67"/>
      <c r="C46" s="330"/>
      <c r="D46" s="330"/>
      <c r="E46" s="283">
        <f t="shared" si="2"/>
        <v>0</v>
      </c>
    </row>
    <row r="47" spans="1:5" ht="12.75">
      <c r="A47" s="67" t="s">
        <v>385</v>
      </c>
      <c r="B47" s="67"/>
      <c r="C47" s="330"/>
      <c r="D47" s="330"/>
      <c r="E47" s="283">
        <f t="shared" si="2"/>
        <v>0</v>
      </c>
    </row>
    <row r="48" spans="1:5" ht="12.75">
      <c r="A48" s="67" t="s">
        <v>385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261</v>
      </c>
      <c r="C50" s="283">
        <f>SUM(C41:C49)</f>
        <v>0</v>
      </c>
      <c r="D50" s="283">
        <f>SUM(D41:D49)</f>
        <v>0</v>
      </c>
      <c r="E50" s="283">
        <f>SUM(E41:E49)</f>
        <v>0</v>
      </c>
    </row>
    <row r="51" spans="3:5" ht="12.75">
      <c r="C51" s="28"/>
      <c r="D51" s="28"/>
      <c r="E51" s="28"/>
    </row>
    <row r="52" spans="1:5" ht="12.75">
      <c r="A52" s="279" t="s">
        <v>387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381</v>
      </c>
      <c r="B55" s="67"/>
      <c r="C55" s="330"/>
      <c r="D55" s="330"/>
      <c r="E55" s="283">
        <f t="shared" si="3"/>
        <v>0</v>
      </c>
    </row>
    <row r="56" spans="1:5" ht="12.75">
      <c r="A56" s="278" t="s">
        <v>382</v>
      </c>
      <c r="B56" s="67"/>
      <c r="C56" s="330"/>
      <c r="D56" s="330"/>
      <c r="E56" s="283">
        <f t="shared" si="3"/>
        <v>0</v>
      </c>
    </row>
    <row r="57" spans="1:5" ht="12.75">
      <c r="A57" s="278" t="s">
        <v>383</v>
      </c>
      <c r="B57" s="67"/>
      <c r="C57" s="330"/>
      <c r="D57" s="330"/>
      <c r="E57" s="283">
        <f t="shared" si="3"/>
        <v>0</v>
      </c>
    </row>
    <row r="58" spans="1:5" ht="12.75">
      <c r="A58" s="278" t="s">
        <v>384</v>
      </c>
      <c r="B58" s="67"/>
      <c r="C58" s="330"/>
      <c r="D58" s="330"/>
      <c r="E58" s="283">
        <f t="shared" si="3"/>
        <v>0</v>
      </c>
    </row>
    <row r="59" spans="1:5" ht="12.75">
      <c r="A59" s="67" t="s">
        <v>385</v>
      </c>
      <c r="B59" s="67"/>
      <c r="C59" s="330"/>
      <c r="D59" s="330"/>
      <c r="E59" s="283">
        <f t="shared" si="3"/>
        <v>0</v>
      </c>
    </row>
    <row r="60" spans="1:5" ht="12.75">
      <c r="A60" s="67" t="s">
        <v>385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211</v>
      </c>
      <c r="C62" s="28"/>
      <c r="D62" s="28"/>
      <c r="E62" s="313"/>
    </row>
    <row r="63" spans="1:5" ht="12.75">
      <c r="A63" s="2" t="s">
        <v>261</v>
      </c>
      <c r="C63" s="283">
        <f>SUM(C53:C61)</f>
        <v>0</v>
      </c>
      <c r="D63" s="283">
        <f>SUM(D53:D61)</f>
        <v>0</v>
      </c>
      <c r="E63" s="283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5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" sqref="C1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27" t="s">
        <v>633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5" t="str">
        <f>REGINFO!A3</f>
        <v>Utility Name:  Erie Thames Powerlines</v>
      </c>
      <c r="B8" s="26"/>
      <c r="C8" s="31"/>
      <c r="D8" s="31"/>
      <c r="E8" s="31"/>
      <c r="F8" s="26"/>
    </row>
    <row r="9" spans="1:6" ht="12.75">
      <c r="A9" s="525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5">
        <f>TAXREC!C13</f>
        <v>20130.33125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31"/>
      <c r="D15" s="331"/>
      <c r="E15" s="360">
        <f>C15-D15</f>
        <v>0</v>
      </c>
    </row>
    <row r="16" spans="1:5" ht="12.75">
      <c r="A16" s="78" t="s">
        <v>363</v>
      </c>
      <c r="B16" t="s">
        <v>272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31"/>
      <c r="D17" s="331"/>
      <c r="E17" s="360">
        <f t="shared" si="0"/>
        <v>0</v>
      </c>
    </row>
    <row r="18" spans="1:5" ht="12.75">
      <c r="A18" s="78" t="s">
        <v>213</v>
      </c>
      <c r="B18" t="s">
        <v>272</v>
      </c>
      <c r="C18" s="331"/>
      <c r="D18" s="361"/>
      <c r="E18" s="360">
        <f t="shared" si="0"/>
        <v>0</v>
      </c>
    </row>
    <row r="19" spans="1:5" ht="12.75">
      <c r="A19" s="78" t="s">
        <v>214</v>
      </c>
      <c r="B19" t="s">
        <v>272</v>
      </c>
      <c r="C19" s="331"/>
      <c r="D19" s="331"/>
      <c r="E19" s="360">
        <f t="shared" si="0"/>
        <v>0</v>
      </c>
    </row>
    <row r="20" spans="1:5" ht="12.75">
      <c r="A20" s="78" t="s">
        <v>215</v>
      </c>
      <c r="B20" t="s">
        <v>272</v>
      </c>
      <c r="C20" s="331"/>
      <c r="D20" s="331"/>
      <c r="E20" s="360">
        <f t="shared" si="0"/>
        <v>0</v>
      </c>
    </row>
    <row r="21" spans="1:5" ht="12.75">
      <c r="A21" s="78" t="s">
        <v>24</v>
      </c>
      <c r="B21" t="s">
        <v>272</v>
      </c>
      <c r="C21" s="331"/>
      <c r="D21" s="331"/>
      <c r="E21" s="360">
        <f t="shared" si="0"/>
        <v>0</v>
      </c>
    </row>
    <row r="22" spans="1:5" ht="12.75">
      <c r="A22" s="78" t="s">
        <v>216</v>
      </c>
      <c r="B22" t="s">
        <v>272</v>
      </c>
      <c r="C22" s="331"/>
      <c r="D22" s="331"/>
      <c r="E22" s="360">
        <f t="shared" si="0"/>
        <v>0</v>
      </c>
    </row>
    <row r="23" spans="1:5" ht="12.75">
      <c r="A23" s="78" t="s">
        <v>217</v>
      </c>
      <c r="B23" t="s">
        <v>272</v>
      </c>
      <c r="C23" s="331"/>
      <c r="D23" s="331"/>
      <c r="E23" s="360">
        <f t="shared" si="0"/>
        <v>0</v>
      </c>
    </row>
    <row r="24" spans="1:5" ht="12.75">
      <c r="A24" s="78" t="s">
        <v>218</v>
      </c>
      <c r="B24" t="s">
        <v>272</v>
      </c>
      <c r="C24" s="331"/>
      <c r="D24" s="331"/>
      <c r="E24" s="360">
        <f t="shared" si="0"/>
        <v>0</v>
      </c>
    </row>
    <row r="25" spans="1:5" ht="12.75">
      <c r="A25" s="78" t="s">
        <v>25</v>
      </c>
      <c r="B25" t="s">
        <v>272</v>
      </c>
      <c r="C25" s="331"/>
      <c r="D25" s="331"/>
      <c r="E25" s="360">
        <f t="shared" si="0"/>
        <v>0</v>
      </c>
    </row>
    <row r="26" spans="1:5" ht="12.75">
      <c r="A26" s="78" t="s">
        <v>219</v>
      </c>
      <c r="B26" t="s">
        <v>272</v>
      </c>
      <c r="C26" s="331"/>
      <c r="D26" s="331"/>
      <c r="E26" s="360">
        <f t="shared" si="0"/>
        <v>0</v>
      </c>
    </row>
    <row r="27" spans="1:5" ht="12.75">
      <c r="A27" s="78" t="s">
        <v>220</v>
      </c>
      <c r="B27" t="s">
        <v>272</v>
      </c>
      <c r="C27" s="331"/>
      <c r="D27" s="331"/>
      <c r="E27" s="360">
        <f t="shared" si="0"/>
        <v>0</v>
      </c>
    </row>
    <row r="28" spans="1:5" ht="12.75">
      <c r="A28" s="78" t="s">
        <v>364</v>
      </c>
      <c r="B28" t="s">
        <v>272</v>
      </c>
      <c r="C28" s="331"/>
      <c r="D28" s="331"/>
      <c r="E28" s="360">
        <f t="shared" si="0"/>
        <v>0</v>
      </c>
    </row>
    <row r="29" spans="1:5" ht="12.75">
      <c r="A29" s="78" t="s">
        <v>290</v>
      </c>
      <c r="B29" t="s">
        <v>272</v>
      </c>
      <c r="C29" s="331"/>
      <c r="D29" s="331"/>
      <c r="E29" s="360">
        <f t="shared" si="0"/>
        <v>0</v>
      </c>
    </row>
    <row r="30" spans="1:5" ht="12.75">
      <c r="A30" s="78" t="s">
        <v>414</v>
      </c>
      <c r="B30" t="s">
        <v>272</v>
      </c>
      <c r="C30" s="331"/>
      <c r="D30" s="331"/>
      <c r="E30" s="360">
        <f t="shared" si="0"/>
        <v>0</v>
      </c>
    </row>
    <row r="31" spans="1:5" ht="12.75">
      <c r="A31" s="78" t="s">
        <v>291</v>
      </c>
      <c r="B31" t="s">
        <v>272</v>
      </c>
      <c r="C31" s="331"/>
      <c r="D31" s="331"/>
      <c r="E31" s="360">
        <f t="shared" si="0"/>
        <v>0</v>
      </c>
    </row>
    <row r="32" spans="1:5" ht="12.75">
      <c r="A32" s="78" t="s">
        <v>23</v>
      </c>
      <c r="B32" t="s">
        <v>272</v>
      </c>
      <c r="C32" s="331"/>
      <c r="D32" s="331"/>
      <c r="E32" s="360">
        <f t="shared" si="0"/>
        <v>0</v>
      </c>
    </row>
    <row r="33" spans="1:5" ht="12.75">
      <c r="A33" s="78" t="s">
        <v>203</v>
      </c>
      <c r="B33" t="s">
        <v>272</v>
      </c>
      <c r="C33" s="331"/>
      <c r="D33" s="331"/>
      <c r="E33" s="360">
        <f t="shared" si="0"/>
        <v>0</v>
      </c>
    </row>
    <row r="34" spans="1:5" ht="12.75">
      <c r="A34" s="78" t="s">
        <v>204</v>
      </c>
      <c r="B34" t="s">
        <v>272</v>
      </c>
      <c r="C34" s="331"/>
      <c r="D34" s="331"/>
      <c r="E34" s="360">
        <f t="shared" si="0"/>
        <v>0</v>
      </c>
    </row>
    <row r="35" spans="1:5" ht="12.75">
      <c r="A35" s="78" t="s">
        <v>292</v>
      </c>
      <c r="B35" t="s">
        <v>272</v>
      </c>
      <c r="C35" s="331"/>
      <c r="D35" s="331"/>
      <c r="E35" s="360">
        <f t="shared" si="0"/>
        <v>0</v>
      </c>
    </row>
    <row r="36" spans="1:5" ht="12.75">
      <c r="A36" s="78" t="s">
        <v>221</v>
      </c>
      <c r="B36" t="s">
        <v>272</v>
      </c>
      <c r="C36" s="331"/>
      <c r="D36" s="331"/>
      <c r="E36" s="283">
        <f t="shared" si="0"/>
        <v>0</v>
      </c>
    </row>
    <row r="37" spans="1:5" ht="12.75">
      <c r="A37" s="78" t="s">
        <v>222</v>
      </c>
      <c r="B37" t="s">
        <v>272</v>
      </c>
      <c r="C37" s="331"/>
      <c r="D37" s="331"/>
      <c r="E37" s="283">
        <f t="shared" si="0"/>
        <v>0</v>
      </c>
    </row>
    <row r="38" spans="1:5" ht="12.75">
      <c r="A38" s="78" t="s">
        <v>365</v>
      </c>
      <c r="B38" t="s">
        <v>272</v>
      </c>
      <c r="C38" s="331"/>
      <c r="D38" s="331"/>
      <c r="E38" s="283">
        <f t="shared" si="0"/>
        <v>0</v>
      </c>
    </row>
    <row r="39" spans="1:5" ht="12.75">
      <c r="A39" s="78" t="s">
        <v>223</v>
      </c>
      <c r="B39" t="s">
        <v>272</v>
      </c>
      <c r="C39" s="331"/>
      <c r="D39" s="331"/>
      <c r="E39" s="283">
        <f t="shared" si="0"/>
        <v>0</v>
      </c>
    </row>
    <row r="40" spans="1:5" ht="12.75">
      <c r="A40" s="78" t="s">
        <v>224</v>
      </c>
      <c r="B40" t="s">
        <v>272</v>
      </c>
      <c r="C40" s="331"/>
      <c r="D40" s="331"/>
      <c r="E40" s="283">
        <f t="shared" si="0"/>
        <v>0</v>
      </c>
    </row>
    <row r="41" spans="1:5" ht="12.75">
      <c r="A41" s="78" t="s">
        <v>225</v>
      </c>
      <c r="B41" t="s">
        <v>272</v>
      </c>
      <c r="C41" s="330"/>
      <c r="D41" s="331"/>
      <c r="E41" s="283">
        <f t="shared" si="0"/>
        <v>0</v>
      </c>
    </row>
    <row r="42" spans="1:5" ht="12.75">
      <c r="A42" s="78" t="s">
        <v>293</v>
      </c>
      <c r="B42" t="s">
        <v>272</v>
      </c>
      <c r="C42" s="330"/>
      <c r="D42" s="331"/>
      <c r="E42" s="283">
        <f t="shared" si="0"/>
        <v>0</v>
      </c>
    </row>
    <row r="43" spans="1:5" ht="12.75">
      <c r="A43" s="79" t="s">
        <v>304</v>
      </c>
      <c r="B43" t="s">
        <v>272</v>
      </c>
      <c r="C43" s="330"/>
      <c r="D43" s="330"/>
      <c r="E43" s="283">
        <f t="shared" si="0"/>
        <v>0</v>
      </c>
    </row>
    <row r="44" spans="1:5" ht="12.75">
      <c r="A44" s="78" t="s">
        <v>415</v>
      </c>
      <c r="B44" t="s">
        <v>272</v>
      </c>
      <c r="C44" s="330"/>
      <c r="D44" s="330"/>
      <c r="E44" s="283">
        <f t="shared" si="0"/>
        <v>0</v>
      </c>
    </row>
    <row r="45" spans="1:5" ht="12.75">
      <c r="A45" s="78"/>
      <c r="B45" t="s">
        <v>272</v>
      </c>
      <c r="C45" s="330"/>
      <c r="D45" s="330"/>
      <c r="E45" s="283">
        <f t="shared" si="0"/>
        <v>0</v>
      </c>
    </row>
    <row r="46" spans="1:5" ht="12.75">
      <c r="A46" s="78"/>
      <c r="B46" t="s">
        <v>272</v>
      </c>
      <c r="C46" s="330"/>
      <c r="D46" s="330"/>
      <c r="E46" s="283">
        <f t="shared" si="0"/>
        <v>0</v>
      </c>
    </row>
    <row r="47" spans="1:5" ht="12.75">
      <c r="A47" s="78" t="s">
        <v>625</v>
      </c>
      <c r="B47" t="s">
        <v>272</v>
      </c>
      <c r="C47" s="330"/>
      <c r="D47" s="330"/>
      <c r="E47" s="283">
        <f t="shared" si="0"/>
        <v>0</v>
      </c>
    </row>
    <row r="48" spans="1:5" ht="12.75">
      <c r="A48" s="78"/>
      <c r="B48" t="s">
        <v>272</v>
      </c>
      <c r="C48" s="330"/>
      <c r="D48" s="330"/>
      <c r="E48" s="283">
        <f t="shared" si="0"/>
        <v>0</v>
      </c>
    </row>
    <row r="49" spans="1:5" ht="12.75">
      <c r="A49" s="78"/>
      <c r="B49" t="s">
        <v>272</v>
      </c>
      <c r="C49" s="330"/>
      <c r="D49" s="330"/>
      <c r="E49" s="283">
        <f t="shared" si="0"/>
        <v>0</v>
      </c>
    </row>
    <row r="50" spans="1:5" ht="12.75">
      <c r="A50" s="78"/>
      <c r="B50" t="s">
        <v>272</v>
      </c>
      <c r="C50" s="330"/>
      <c r="D50" s="330"/>
      <c r="E50" s="283">
        <f t="shared" si="0"/>
        <v>0</v>
      </c>
    </row>
    <row r="51" spans="1:5" ht="12.75">
      <c r="A51" s="78"/>
      <c r="B51" t="s">
        <v>272</v>
      </c>
      <c r="C51" s="330"/>
      <c r="D51" s="330"/>
      <c r="E51" s="283">
        <f t="shared" si="0"/>
        <v>0</v>
      </c>
    </row>
    <row r="52" spans="1:5" ht="12.75">
      <c r="A52" s="78"/>
      <c r="B52" t="s">
        <v>272</v>
      </c>
      <c r="C52" s="330"/>
      <c r="D52" s="330"/>
      <c r="E52" s="283">
        <f t="shared" si="0"/>
        <v>0</v>
      </c>
    </row>
    <row r="53" spans="1:5" ht="12.75">
      <c r="A53" s="78"/>
      <c r="B53" t="s">
        <v>272</v>
      </c>
      <c r="C53" s="330"/>
      <c r="D53" s="330"/>
      <c r="E53" s="313"/>
    </row>
    <row r="54" spans="1:5" ht="12.75">
      <c r="A54" s="81" t="s">
        <v>251</v>
      </c>
      <c r="B54" t="s">
        <v>275</v>
      </c>
      <c r="C54" s="283">
        <f>SUM(C15:C53)</f>
        <v>0</v>
      </c>
      <c r="D54" s="283">
        <f>SUM(D15:D53)</f>
        <v>0</v>
      </c>
      <c r="E54" s="283">
        <f>SUM(E15:E53)</f>
        <v>0</v>
      </c>
    </row>
    <row r="55" ht="12.75">
      <c r="A55" s="78"/>
    </row>
    <row r="56" ht="12.75">
      <c r="A56" s="78" t="s">
        <v>253</v>
      </c>
    </row>
    <row r="57" spans="1:5" ht="12.75">
      <c r="A57" s="308" t="str">
        <f aca="true" t="shared" si="1" ref="A57:A71">IF($E15&gt;$C$11,A15," ")</f>
        <v> </v>
      </c>
      <c r="B57" s="306"/>
      <c r="C57" s="283">
        <f>IF($E15&gt;$C$11,C15,)</f>
        <v>0</v>
      </c>
      <c r="D57" s="283">
        <f aca="true" t="shared" si="2" ref="C57:E71">IF($E15&gt;$C$11,D15,)</f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 </v>
      </c>
      <c r="B62" s="306"/>
      <c r="C62" s="283">
        <f t="shared" si="2"/>
        <v>0</v>
      </c>
      <c r="D62" s="283">
        <f t="shared" si="2"/>
        <v>0</v>
      </c>
      <c r="E62" s="283">
        <f t="shared" si="2"/>
        <v>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 </v>
      </c>
      <c r="B86" s="306"/>
      <c r="C86" s="283">
        <f t="shared" si="5"/>
        <v>0</v>
      </c>
      <c r="D86" s="283">
        <f t="shared" si="5"/>
        <v>0</v>
      </c>
      <c r="E86" s="283">
        <f t="shared" si="5"/>
        <v>0</v>
      </c>
    </row>
    <row r="87" spans="1:5" ht="12.75">
      <c r="A87" s="308" t="str">
        <f t="shared" si="3"/>
        <v> </v>
      </c>
      <c r="B87" s="306"/>
      <c r="C87" s="283">
        <f t="shared" si="5"/>
        <v>0</v>
      </c>
      <c r="D87" s="283">
        <f t="shared" si="5"/>
        <v>0</v>
      </c>
      <c r="E87" s="283">
        <f t="shared" si="5"/>
        <v>0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226</v>
      </c>
      <c r="B95" s="306"/>
      <c r="C95" s="283">
        <f>SUM(C57:C93)</f>
        <v>0</v>
      </c>
      <c r="D95" s="283">
        <f>SUM(D57:D93)</f>
        <v>0</v>
      </c>
      <c r="E95" s="283">
        <f>SUM(E57:E93)</f>
        <v>0</v>
      </c>
    </row>
    <row r="96" spans="1:5" ht="12.75">
      <c r="A96" s="310" t="s">
        <v>303</v>
      </c>
      <c r="B96" s="311"/>
      <c r="C96" s="362">
        <f>C54-C95</f>
        <v>0</v>
      </c>
      <c r="D96" s="362">
        <f>D54-D95</f>
        <v>0</v>
      </c>
      <c r="E96" s="362">
        <f>E54-E95</f>
        <v>0</v>
      </c>
    </row>
    <row r="97" spans="1:5" ht="12.75">
      <c r="A97" s="310" t="s">
        <v>251</v>
      </c>
      <c r="B97" s="311"/>
      <c r="C97" s="362">
        <f>C95+C96</f>
        <v>0</v>
      </c>
      <c r="D97" s="362">
        <f>D95+D96</f>
        <v>0</v>
      </c>
      <c r="E97" s="362">
        <f>E95+E96</f>
        <v>0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30"/>
      <c r="D100" s="330"/>
      <c r="E100" s="283">
        <f>C100-D100</f>
        <v>0</v>
      </c>
    </row>
    <row r="101" spans="1:5" ht="12.75">
      <c r="A101" s="82" t="s">
        <v>233</v>
      </c>
      <c r="B101" s="8" t="s">
        <v>273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30"/>
      <c r="D102" s="330"/>
      <c r="E102" s="283">
        <f t="shared" si="7"/>
        <v>0</v>
      </c>
    </row>
    <row r="103" spans="1:5" ht="12.75">
      <c r="A103" s="82" t="s">
        <v>366</v>
      </c>
      <c r="B103" s="8" t="s">
        <v>273</v>
      </c>
      <c r="C103" s="330"/>
      <c r="D103" s="330"/>
      <c r="E103" s="283">
        <f t="shared" si="7"/>
        <v>0</v>
      </c>
    </row>
    <row r="104" spans="1:5" ht="12.75">
      <c r="A104" s="78" t="s">
        <v>294</v>
      </c>
      <c r="B104" s="8" t="s">
        <v>273</v>
      </c>
      <c r="C104" s="330"/>
      <c r="D104" s="330"/>
      <c r="E104" s="283">
        <f t="shared" si="7"/>
        <v>0</v>
      </c>
    </row>
    <row r="105" spans="1:5" ht="12.75">
      <c r="A105" s="78" t="s">
        <v>491</v>
      </c>
      <c r="B105" s="8" t="s">
        <v>273</v>
      </c>
      <c r="C105" s="330"/>
      <c r="D105" s="330"/>
      <c r="E105" s="283">
        <f t="shared" si="7"/>
        <v>0</v>
      </c>
    </row>
    <row r="106" spans="1:5" ht="12.75">
      <c r="A106" s="78" t="s">
        <v>295</v>
      </c>
      <c r="B106" s="8" t="s">
        <v>273</v>
      </c>
      <c r="C106" s="330"/>
      <c r="D106" s="330"/>
      <c r="E106" s="283">
        <f t="shared" si="7"/>
        <v>0</v>
      </c>
    </row>
    <row r="107" spans="1:5" ht="12.75">
      <c r="A107" s="78" t="s">
        <v>248</v>
      </c>
      <c r="B107" s="8" t="s">
        <v>273</v>
      </c>
      <c r="C107" s="330"/>
      <c r="D107" s="330"/>
      <c r="E107" s="283">
        <f t="shared" si="7"/>
        <v>0</v>
      </c>
    </row>
    <row r="108" spans="1:5" ht="12.75">
      <c r="A108" s="78" t="s">
        <v>249</v>
      </c>
      <c r="B108" s="8" t="s">
        <v>273</v>
      </c>
      <c r="C108" s="330"/>
      <c r="D108" s="330"/>
      <c r="E108" s="283">
        <f t="shared" si="7"/>
        <v>0</v>
      </c>
    </row>
    <row r="109" spans="1:5" ht="12.75">
      <c r="A109" s="78" t="s">
        <v>250</v>
      </c>
      <c r="B109" s="8" t="s">
        <v>273</v>
      </c>
      <c r="C109" s="330"/>
      <c r="D109" s="330"/>
      <c r="E109" s="283">
        <f t="shared" si="7"/>
        <v>0</v>
      </c>
    </row>
    <row r="110" spans="1:5" ht="12.75">
      <c r="A110" s="79" t="s">
        <v>305</v>
      </c>
      <c r="B110" s="8" t="s">
        <v>273</v>
      </c>
      <c r="C110" s="330"/>
      <c r="D110" s="330"/>
      <c r="E110" s="283"/>
    </row>
    <row r="111" spans="1:5" ht="12.75">
      <c r="A111" s="78" t="s">
        <v>416</v>
      </c>
      <c r="B111" s="8" t="s">
        <v>273</v>
      </c>
      <c r="C111" s="330"/>
      <c r="D111" s="330"/>
      <c r="E111" s="283">
        <f t="shared" si="7"/>
        <v>0</v>
      </c>
    </row>
    <row r="112" spans="1:5" ht="12.75">
      <c r="A112" s="78" t="s">
        <v>553</v>
      </c>
      <c r="B112" s="8" t="s">
        <v>273</v>
      </c>
      <c r="C112" s="330"/>
      <c r="D112" s="330"/>
      <c r="E112" s="283">
        <f t="shared" si="7"/>
        <v>0</v>
      </c>
    </row>
    <row r="113" spans="1:5" ht="12.75">
      <c r="A113" s="78" t="s">
        <v>554</v>
      </c>
      <c r="B113" s="8" t="s">
        <v>273</v>
      </c>
      <c r="C113" s="330"/>
      <c r="D113" s="330"/>
      <c r="E113" s="283">
        <f t="shared" si="7"/>
        <v>0</v>
      </c>
    </row>
    <row r="114" spans="1:5" ht="12.75">
      <c r="A114" s="78" t="s">
        <v>555</v>
      </c>
      <c r="B114" s="8" t="s">
        <v>273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273</v>
      </c>
      <c r="C115" s="330"/>
      <c r="D115" s="330"/>
      <c r="E115" s="283">
        <f t="shared" si="7"/>
        <v>0</v>
      </c>
    </row>
    <row r="116" spans="1:5" ht="12.75">
      <c r="A116" s="78" t="s">
        <v>626</v>
      </c>
      <c r="B116" s="8" t="s">
        <v>273</v>
      </c>
      <c r="C116" s="330"/>
      <c r="D116" s="330"/>
      <c r="E116" s="283">
        <f t="shared" si="7"/>
        <v>0</v>
      </c>
    </row>
    <row r="117" spans="1:5" ht="12.75">
      <c r="A117" s="78"/>
      <c r="B117" s="8" t="s">
        <v>273</v>
      </c>
      <c r="C117" s="330"/>
      <c r="D117" s="330"/>
      <c r="E117" s="283">
        <f t="shared" si="7"/>
        <v>0</v>
      </c>
    </row>
    <row r="118" spans="1:5" ht="12.75">
      <c r="A118" s="78"/>
      <c r="B118" s="8" t="s">
        <v>273</v>
      </c>
      <c r="C118" s="330"/>
      <c r="D118" s="330"/>
      <c r="E118" s="283">
        <f t="shared" si="7"/>
        <v>0</v>
      </c>
    </row>
    <row r="119" spans="1:5" ht="12.75">
      <c r="A119" s="78"/>
      <c r="B119" s="8" t="s">
        <v>273</v>
      </c>
      <c r="C119" s="330"/>
      <c r="D119" s="330"/>
      <c r="E119" s="283">
        <f t="shared" si="7"/>
        <v>0</v>
      </c>
    </row>
    <row r="120" spans="1:5" ht="12.75">
      <c r="A120" s="78"/>
      <c r="B120" s="8" t="s">
        <v>273</v>
      </c>
      <c r="C120" s="330"/>
      <c r="D120" s="330"/>
      <c r="E120" s="283">
        <f t="shared" si="7"/>
        <v>0</v>
      </c>
    </row>
    <row r="121" spans="1:5" ht="12.75">
      <c r="A121" s="78" t="s">
        <v>252</v>
      </c>
      <c r="B121" s="8" t="s">
        <v>275</v>
      </c>
      <c r="C121" s="283">
        <f>SUM(C100:C120)</f>
        <v>0</v>
      </c>
      <c r="D121" s="283">
        <f>SUM(D100:D120)</f>
        <v>0</v>
      </c>
      <c r="E121" s="283">
        <f>SUM(E100:E120)</f>
        <v>0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 </v>
      </c>
      <c r="B142" s="306"/>
      <c r="C142" s="283">
        <f t="shared" si="8"/>
        <v>0</v>
      </c>
      <c r="D142" s="283">
        <f t="shared" si="8"/>
        <v>0</v>
      </c>
      <c r="E142" s="283">
        <f t="shared" si="8"/>
        <v>0</v>
      </c>
    </row>
    <row r="143" spans="1:5" ht="12.75">
      <c r="A143" s="308" t="str">
        <f t="shared" si="9"/>
        <v> </v>
      </c>
      <c r="B143" s="306"/>
      <c r="C143" s="283">
        <f t="shared" si="8"/>
        <v>0</v>
      </c>
      <c r="D143" s="283">
        <f t="shared" si="8"/>
        <v>0</v>
      </c>
      <c r="E143" s="283">
        <f t="shared" si="8"/>
        <v>0</v>
      </c>
    </row>
    <row r="144" spans="1:5" ht="12.75">
      <c r="A144" s="308" t="str">
        <f t="shared" si="9"/>
        <v> </v>
      </c>
      <c r="B144" s="306"/>
      <c r="C144" s="283">
        <f aca="true" t="shared" si="10" ref="C144:E145">IF($E119&gt;$C$11,C119,)</f>
        <v>0</v>
      </c>
      <c r="D144" s="283">
        <f t="shared" si="10"/>
        <v>0</v>
      </c>
      <c r="E144" s="283">
        <f t="shared" si="10"/>
        <v>0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302</v>
      </c>
      <c r="B146" s="306"/>
      <c r="C146" s="283">
        <f>SUM(C125:C145)</f>
        <v>0</v>
      </c>
      <c r="D146" s="283">
        <f>SUM(D125:D145)</f>
        <v>0</v>
      </c>
      <c r="E146" s="283">
        <f>SUM(E125:E145)</f>
        <v>0</v>
      </c>
    </row>
    <row r="147" spans="1:5" ht="12.75">
      <c r="A147" s="312" t="s">
        <v>301</v>
      </c>
      <c r="B147" s="306"/>
      <c r="C147" s="283">
        <f>C121-C146</f>
        <v>0</v>
      </c>
      <c r="D147" s="283">
        <f>D121-D146</f>
        <v>0</v>
      </c>
      <c r="E147" s="283">
        <f>E121-E146</f>
        <v>0</v>
      </c>
    </row>
    <row r="148" spans="1:5" ht="12.75">
      <c r="A148" s="312" t="s">
        <v>252</v>
      </c>
      <c r="B148" s="306"/>
      <c r="C148" s="283">
        <f>C146+C147</f>
        <v>0</v>
      </c>
      <c r="D148" s="283">
        <f>D146+D147</f>
        <v>0</v>
      </c>
      <c r="E148" s="283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1">
      <selection activeCell="C58" sqref="C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186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418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32" t="str">
        <f>REGINFO!A3</f>
        <v>Utility Name:  Erie Thames Powerlines</v>
      </c>
      <c r="B4" s="531"/>
      <c r="C4" s="531"/>
      <c r="D4" s="531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32" t="str">
        <f>REGINFO!A4</f>
        <v>Reporting period:   2005</v>
      </c>
      <c r="B5" s="531"/>
      <c r="C5" s="531"/>
      <c r="D5" s="531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447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502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191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12.75">
      <c r="A10" s="368" t="s">
        <v>504</v>
      </c>
      <c r="B10" s="375"/>
      <c r="C10" s="375" t="s">
        <v>190</v>
      </c>
      <c r="D10" s="375"/>
      <c r="E10" s="375" t="s">
        <v>190</v>
      </c>
      <c r="F10" s="376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195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187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409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408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45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374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188</v>
      </c>
      <c r="B18" s="276"/>
      <c r="C18" s="385">
        <v>0.003</v>
      </c>
      <c r="D18" s="539" t="s">
        <v>569</v>
      </c>
      <c r="E18" s="540"/>
      <c r="F18" s="541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189</v>
      </c>
      <c r="B19" s="261"/>
      <c r="C19" s="386">
        <v>0.00175</v>
      </c>
      <c r="D19" s="539" t="s">
        <v>570</v>
      </c>
      <c r="E19" s="540"/>
      <c r="F19" s="541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192</v>
      </c>
      <c r="B20" s="261"/>
      <c r="C20" s="387">
        <v>0.0112</v>
      </c>
      <c r="D20" s="542" t="s">
        <v>571</v>
      </c>
      <c r="E20" s="540"/>
      <c r="F20" s="541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440</v>
      </c>
      <c r="B21" s="456" t="s">
        <v>503</v>
      </c>
      <c r="C21" s="410">
        <v>7500000</v>
      </c>
      <c r="D21" s="533" t="s">
        <v>572</v>
      </c>
      <c r="E21" s="534"/>
      <c r="F21" s="535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441</v>
      </c>
      <c r="B22" s="457" t="s">
        <v>421</v>
      </c>
      <c r="C22" s="411">
        <v>50000000</v>
      </c>
      <c r="D22" s="533" t="s">
        <v>573</v>
      </c>
      <c r="E22" s="534"/>
      <c r="F22" s="535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43" t="s">
        <v>505</v>
      </c>
      <c r="B23" s="544"/>
      <c r="C23" s="544"/>
      <c r="D23" s="544"/>
      <c r="E23" s="544"/>
      <c r="F23" s="544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498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191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12.75">
      <c r="A28" s="368" t="s">
        <v>499</v>
      </c>
      <c r="B28" s="375"/>
      <c r="C28" s="423" t="s">
        <v>190</v>
      </c>
      <c r="D28" s="423" t="s">
        <v>190</v>
      </c>
      <c r="E28" s="423" t="s">
        <v>190</v>
      </c>
      <c r="F28" s="424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195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187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194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408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45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374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188</v>
      </c>
      <c r="B36" s="276"/>
      <c r="C36" s="385">
        <v>0.003</v>
      </c>
      <c r="D36" s="539" t="s">
        <v>564</v>
      </c>
      <c r="E36" s="540"/>
      <c r="F36" s="541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189</v>
      </c>
      <c r="B37" s="261"/>
      <c r="C37" s="386">
        <v>0.00175</v>
      </c>
      <c r="D37" s="539" t="s">
        <v>565</v>
      </c>
      <c r="E37" s="540"/>
      <c r="F37" s="541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192</v>
      </c>
      <c r="B38" s="261"/>
      <c r="C38" s="387">
        <v>0.0112</v>
      </c>
      <c r="D38" s="542" t="s">
        <v>566</v>
      </c>
      <c r="E38" s="540"/>
      <c r="F38" s="541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444</v>
      </c>
      <c r="B39" s="458" t="s">
        <v>501</v>
      </c>
      <c r="C39" s="410">
        <v>7500000</v>
      </c>
      <c r="D39" s="533" t="s">
        <v>567</v>
      </c>
      <c r="E39" s="534"/>
      <c r="F39" s="535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445</v>
      </c>
      <c r="B40" s="457" t="s">
        <v>421</v>
      </c>
      <c r="C40" s="411">
        <v>50000000</v>
      </c>
      <c r="D40" s="533" t="s">
        <v>568</v>
      </c>
      <c r="E40" s="534"/>
      <c r="F40" s="535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36" t="s">
        <v>443</v>
      </c>
      <c r="B41" s="537"/>
      <c r="C41" s="537"/>
      <c r="D41" s="537"/>
      <c r="E41" s="537"/>
      <c r="F41" s="537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38"/>
      <c r="B42" s="538"/>
      <c r="C42" s="538"/>
      <c r="D42" s="538"/>
      <c r="E42" s="538"/>
      <c r="F42" s="538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500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191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12.75">
      <c r="A46" s="368"/>
      <c r="B46" s="375"/>
      <c r="C46" s="416" t="s">
        <v>190</v>
      </c>
      <c r="D46" s="416" t="s">
        <v>190</v>
      </c>
      <c r="E46" s="416" t="s">
        <v>190</v>
      </c>
      <c r="F46" s="417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195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187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194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408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45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374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188</v>
      </c>
      <c r="B54" s="276"/>
      <c r="C54" s="407">
        <v>0.003</v>
      </c>
      <c r="D54" s="539" t="s">
        <v>561</v>
      </c>
      <c r="E54" s="540"/>
      <c r="F54" s="541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189</v>
      </c>
      <c r="B55" s="261"/>
      <c r="C55" s="408">
        <v>0.00175</v>
      </c>
      <c r="D55" s="539" t="s">
        <v>562</v>
      </c>
      <c r="E55" s="540"/>
      <c r="F55" s="541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192</v>
      </c>
      <c r="B56" s="261"/>
      <c r="C56" s="409">
        <v>0.0112</v>
      </c>
      <c r="D56" s="542" t="s">
        <v>563</v>
      </c>
      <c r="E56" s="540"/>
      <c r="F56" s="541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456</v>
      </c>
      <c r="B57" s="458" t="s">
        <v>501</v>
      </c>
      <c r="C57" s="410">
        <v>5369797</v>
      </c>
      <c r="D57" s="533" t="s">
        <v>559</v>
      </c>
      <c r="E57" s="534"/>
      <c r="F57" s="535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457</v>
      </c>
      <c r="B58" s="457" t="s">
        <v>421</v>
      </c>
      <c r="C58" s="411">
        <v>50000000</v>
      </c>
      <c r="D58" s="533" t="s">
        <v>560</v>
      </c>
      <c r="E58" s="534"/>
      <c r="F58" s="535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43" t="s">
        <v>599</v>
      </c>
      <c r="B59" s="545"/>
      <c r="C59" s="545"/>
      <c r="D59" s="545"/>
      <c r="E59" s="545"/>
      <c r="F59" s="545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6"/>
      <c r="B60" s="546"/>
      <c r="C60" s="546"/>
      <c r="D60" s="546"/>
      <c r="E60" s="546"/>
      <c r="F60" s="546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</mergeCells>
  <printOptions gridLines="1" headings="1"/>
  <pageMargins left="0.75" right="0.25" top="0.18" bottom="0.25" header="0.5" footer="0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47" t="str">
        <f>REGINFO!A3</f>
        <v>Utility Name:  Erie Thames Powerlines</v>
      </c>
      <c r="B3" s="531"/>
      <c r="C3" s="531"/>
      <c r="O3" s="468" t="str">
        <f>REGINFO!E1</f>
        <v>Version 2005.1</v>
      </c>
    </row>
    <row r="4" spans="1:15" ht="12.75">
      <c r="A4" s="547" t="str">
        <f>REGINFO!A4</f>
        <v>Reporting period:   2005</v>
      </c>
      <c r="B4" s="531"/>
      <c r="C4" s="531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187860.1725</v>
      </c>
      <c r="F11" s="472"/>
      <c r="G11" s="446">
        <f>E21</f>
        <v>165097.3024044414</v>
      </c>
      <c r="H11" s="472"/>
      <c r="I11" s="446">
        <f>G21</f>
        <v>137527.2497177294</v>
      </c>
      <c r="J11" s="440"/>
      <c r="K11" s="446">
        <f>I21</f>
        <v>141769.09029900632</v>
      </c>
      <c r="L11" s="440"/>
      <c r="M11" s="446">
        <f>K21</f>
        <v>-45528.20174845186</v>
      </c>
      <c r="N11" s="440"/>
      <c r="O11" s="446">
        <f>C11</f>
        <v>0</v>
      </c>
    </row>
    <row r="12" spans="1:15" ht="27" customHeight="1">
      <c r="A12" s="92" t="s">
        <v>532</v>
      </c>
      <c r="B12" s="75" t="s">
        <v>278</v>
      </c>
      <c r="C12" s="445">
        <f>'[2]PILs Variance Analysis'!$C$13</f>
        <v>186732</v>
      </c>
      <c r="D12" s="441"/>
      <c r="E12" s="445">
        <f>'[2]PILs Variance Analysis'!$E$13</f>
        <v>659320</v>
      </c>
      <c r="F12" s="107"/>
      <c r="G12" s="471">
        <f>C12+E12</f>
        <v>846052</v>
      </c>
      <c r="H12" s="107"/>
      <c r="I12" s="471">
        <f>(E12/12*9)+(G12/12*3)</f>
        <v>706003</v>
      </c>
      <c r="J12" s="441"/>
      <c r="K12" s="471">
        <f>(E12/12*3)+(TAXCALC!C96/12*9)</f>
        <v>485999.00309267256</v>
      </c>
      <c r="L12" s="441"/>
      <c r="M12" s="471">
        <f>TAXCALC!C96/12*4</f>
        <v>142741.77915229893</v>
      </c>
      <c r="N12" s="441"/>
      <c r="O12" s="446">
        <f aca="true" t="shared" si="0" ref="O12:O19">SUM(C12:N12)</f>
        <v>3026847.7822449715</v>
      </c>
    </row>
    <row r="13" spans="1:15" ht="25.5">
      <c r="A13" s="92" t="s">
        <v>530</v>
      </c>
      <c r="B13" s="75" t="s">
        <v>278</v>
      </c>
      <c r="C13" s="445"/>
      <c r="D13" s="441"/>
      <c r="E13" s="445"/>
      <c r="F13" s="107"/>
      <c r="G13" s="445"/>
      <c r="H13" s="107"/>
      <c r="I13" s="445"/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535</v>
      </c>
      <c r="B14" s="75" t="s">
        <v>278</v>
      </c>
      <c r="C14" s="445"/>
      <c r="D14" s="441"/>
      <c r="E14" s="445"/>
      <c r="F14" s="107"/>
      <c r="G14" s="445"/>
      <c r="H14" s="107"/>
      <c r="I14" s="445"/>
      <c r="J14" s="441"/>
      <c r="K14" s="445">
        <v>-53106.64259927798</v>
      </c>
      <c r="L14" s="441"/>
      <c r="M14" s="471">
        <f>TAXCALC!I133</f>
        <v>-16352.5431292517</v>
      </c>
      <c r="N14" s="441"/>
      <c r="O14" s="446">
        <f t="shared" si="0"/>
        <v>-69459.18572852967</v>
      </c>
    </row>
    <row r="15" spans="1:15" ht="27" customHeight="1">
      <c r="A15" s="92" t="s">
        <v>534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536</v>
      </c>
      <c r="B16" s="75" t="s">
        <v>278</v>
      </c>
      <c r="C16" s="445"/>
      <c r="D16" s="441"/>
      <c r="E16" s="445"/>
      <c r="F16" s="107"/>
      <c r="G16" s="445"/>
      <c r="H16" s="107"/>
      <c r="I16" s="445"/>
      <c r="J16" s="441"/>
      <c r="K16" s="445">
        <v>-112447.30952075575</v>
      </c>
      <c r="L16" s="441"/>
      <c r="M16" s="471">
        <f>TAXCALC!I182</f>
        <v>63076.98392772106</v>
      </c>
      <c r="N16" s="441"/>
      <c r="O16" s="446">
        <f t="shared" si="0"/>
        <v>-49370.325593034686</v>
      </c>
    </row>
    <row r="17" spans="1:15" ht="25.5">
      <c r="A17" s="92" t="s">
        <v>531</v>
      </c>
      <c r="B17" s="75" t="s">
        <v>278</v>
      </c>
      <c r="C17" s="445"/>
      <c r="D17" s="441"/>
      <c r="E17" s="445"/>
      <c r="F17" s="107"/>
      <c r="G17" s="445"/>
      <c r="H17" s="107"/>
      <c r="I17" s="445"/>
      <c r="J17" s="441"/>
      <c r="K17" s="445"/>
      <c r="L17" s="441"/>
      <c r="M17" s="445"/>
      <c r="N17" s="441"/>
      <c r="O17" s="446">
        <f t="shared" si="0"/>
        <v>0</v>
      </c>
    </row>
    <row r="18" spans="1:15" ht="24" customHeight="1">
      <c r="A18" s="483" t="s">
        <v>545</v>
      </c>
      <c r="B18" s="75" t="s">
        <v>278</v>
      </c>
      <c r="C18" s="445">
        <v>1128.1725</v>
      </c>
      <c r="D18" s="441"/>
      <c r="E18" s="445">
        <v>16683.36463306636</v>
      </c>
      <c r="F18" s="107"/>
      <c r="G18" s="445">
        <v>8517.537597564187</v>
      </c>
      <c r="H18" s="107"/>
      <c r="I18" s="445">
        <v>6687.895364526711</v>
      </c>
      <c r="J18" s="441"/>
      <c r="K18" s="445">
        <v>1722.1169799030524</v>
      </c>
      <c r="L18" s="441"/>
      <c r="M18" s="445">
        <v>-1998.7440577661241</v>
      </c>
      <c r="N18" s="441"/>
      <c r="O18" s="446">
        <f t="shared" si="0"/>
        <v>32740.343017294188</v>
      </c>
    </row>
    <row r="19" spans="1:15" ht="24.75" customHeight="1">
      <c r="A19" s="92" t="s">
        <v>546</v>
      </c>
      <c r="B19" s="75" t="s">
        <v>273</v>
      </c>
      <c r="C19" s="471">
        <v>0</v>
      </c>
      <c r="D19" s="441"/>
      <c r="E19" s="445">
        <v>-698766.2347286249</v>
      </c>
      <c r="F19" s="107"/>
      <c r="G19" s="445">
        <v>-882139.5902842762</v>
      </c>
      <c r="H19" s="107"/>
      <c r="I19" s="445">
        <v>-708449.0547832497</v>
      </c>
      <c r="J19" s="441"/>
      <c r="K19" s="445">
        <v>-509464.46</v>
      </c>
      <c r="L19" s="441"/>
      <c r="M19" s="445">
        <v>-146672</v>
      </c>
      <c r="N19" s="441"/>
      <c r="O19" s="446">
        <f t="shared" si="0"/>
        <v>-2945491.339796151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187860.1725</v>
      </c>
      <c r="D21" s="472"/>
      <c r="E21" s="447">
        <f>SUM(E11:E19)</f>
        <v>165097.3024044414</v>
      </c>
      <c r="F21" s="472"/>
      <c r="G21" s="447">
        <f>SUM(G11:G19)</f>
        <v>137527.2497177294</v>
      </c>
      <c r="H21" s="472"/>
      <c r="I21" s="447">
        <f>SUM(I11:I19)</f>
        <v>141769.09029900632</v>
      </c>
      <c r="J21" s="440"/>
      <c r="K21" s="447">
        <f>SUM(K11:K19)</f>
        <v>-45528.20174845186</v>
      </c>
      <c r="L21" s="440"/>
      <c r="M21" s="447">
        <f>SUM(M11:M20)</f>
        <v>-4732.725855449709</v>
      </c>
      <c r="N21" s="440"/>
      <c r="O21" s="447">
        <f>SUM(O11:O19)</f>
        <v>-4732.72585544968</v>
      </c>
    </row>
    <row r="22" spans="1:15" ht="13.5" thickTop="1">
      <c r="A22" s="503"/>
      <c r="B22" s="504"/>
      <c r="C22" s="491"/>
      <c r="D22" s="491"/>
      <c r="E22" s="491"/>
      <c r="F22" s="491"/>
      <c r="G22" s="491"/>
      <c r="H22" s="491"/>
      <c r="I22" s="491"/>
      <c r="J22" s="504"/>
      <c r="K22" s="491"/>
      <c r="L22" s="214"/>
      <c r="M22" s="492"/>
      <c r="N22" s="214"/>
      <c r="O22" s="492"/>
    </row>
    <row r="23" spans="1:15" ht="9" customHeight="1">
      <c r="A23" s="484"/>
      <c r="B23" s="485"/>
      <c r="C23" s="485"/>
      <c r="D23" s="485"/>
      <c r="E23" s="485"/>
      <c r="F23" s="485"/>
      <c r="G23" s="485"/>
      <c r="H23" s="485"/>
      <c r="I23" s="485"/>
      <c r="J23" s="485"/>
      <c r="K23" s="486"/>
      <c r="L23" s="207"/>
      <c r="M23" s="207"/>
      <c r="N23" s="207"/>
      <c r="O23" s="207"/>
    </row>
    <row r="24" spans="1:15" ht="12.75">
      <c r="A24" s="484" t="s">
        <v>3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207"/>
      <c r="M24" s="207"/>
      <c r="N24" s="207"/>
      <c r="O24" s="207"/>
    </row>
    <row r="25" spans="1:15" ht="12.75">
      <c r="A25" s="487" t="s">
        <v>543</v>
      </c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207"/>
      <c r="M25" s="207"/>
      <c r="N25" s="207"/>
      <c r="O25" s="207"/>
    </row>
    <row r="26" spans="1:15" ht="9" customHeight="1">
      <c r="A26" s="207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207"/>
      <c r="M26" s="207"/>
      <c r="N26" s="207"/>
      <c r="O26" s="207"/>
    </row>
    <row r="27" spans="1:15" ht="12.75">
      <c r="A27" s="498" t="s">
        <v>4</v>
      </c>
      <c r="B27" s="91"/>
      <c r="C27" s="91"/>
      <c r="D27" s="91"/>
      <c r="E27" s="91"/>
      <c r="F27" s="91"/>
      <c r="G27" s="91"/>
      <c r="H27" s="91"/>
      <c r="I27" s="496"/>
      <c r="J27" s="496"/>
      <c r="K27" s="496" t="s">
        <v>642</v>
      </c>
      <c r="L27" s="496"/>
      <c r="M27" s="496"/>
      <c r="N27" s="496"/>
      <c r="O27" s="496"/>
    </row>
    <row r="28" spans="1:15" ht="9" customHeight="1">
      <c r="A28" s="497"/>
      <c r="B28" s="497"/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</row>
    <row r="29" spans="1:19" ht="12.75">
      <c r="A29" s="549" t="s">
        <v>533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473"/>
      <c r="Q29" s="473"/>
      <c r="R29" s="473"/>
      <c r="S29" s="473"/>
    </row>
    <row r="30" spans="1:19" ht="12.75">
      <c r="A30" s="548" t="s">
        <v>610</v>
      </c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473"/>
      <c r="Q30" s="473"/>
      <c r="R30" s="473"/>
      <c r="S30" s="473"/>
    </row>
    <row r="31" spans="1:19" ht="12.75">
      <c r="A31" s="548" t="s">
        <v>611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473"/>
      <c r="Q31" s="473"/>
      <c r="R31" s="473"/>
      <c r="S31" s="473"/>
    </row>
    <row r="32" spans="1:19" ht="12.75">
      <c r="A32" s="488" t="s">
        <v>488</v>
      </c>
      <c r="B32" s="489"/>
      <c r="C32" s="489"/>
      <c r="D32" s="489"/>
      <c r="E32" s="489"/>
      <c r="F32" s="489"/>
      <c r="G32" s="489"/>
      <c r="H32" s="489"/>
      <c r="I32" s="489"/>
      <c r="J32" s="489"/>
      <c r="K32" s="489"/>
      <c r="L32" s="489"/>
      <c r="M32" s="489"/>
      <c r="N32" s="489"/>
      <c r="O32" s="489"/>
      <c r="P32" s="473"/>
      <c r="Q32" s="473"/>
      <c r="R32" s="473"/>
      <c r="S32" s="473"/>
    </row>
    <row r="33" spans="1:19" ht="12.75">
      <c r="A33" s="488" t="s">
        <v>489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73"/>
      <c r="Q33" s="473"/>
      <c r="R33" s="473"/>
      <c r="S33" s="473"/>
    </row>
    <row r="34" spans="1:19" ht="12.75">
      <c r="A34" s="488" t="s">
        <v>544</v>
      </c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73"/>
      <c r="Q34" s="473"/>
      <c r="R34" s="473"/>
      <c r="S34" s="473"/>
    </row>
    <row r="35" spans="1:19" ht="12.75">
      <c r="A35" s="488" t="s">
        <v>609</v>
      </c>
      <c r="B35" s="489"/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73"/>
      <c r="Q35" s="473"/>
      <c r="R35" s="473"/>
      <c r="S35" s="473"/>
    </row>
    <row r="36" spans="2:19" ht="9" customHeight="1">
      <c r="B36" s="489"/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73"/>
      <c r="Q36" s="473"/>
      <c r="R36" s="473"/>
      <c r="S36" s="473"/>
    </row>
    <row r="37" spans="1:15" ht="12.75">
      <c r="A37" s="490" t="s">
        <v>612</v>
      </c>
      <c r="B37" s="485"/>
      <c r="C37" s="485"/>
      <c r="D37" s="485"/>
      <c r="E37" s="485"/>
      <c r="F37" s="485"/>
      <c r="G37" s="485"/>
      <c r="H37" s="485"/>
      <c r="I37" s="485"/>
      <c r="J37" s="485"/>
      <c r="K37" s="485"/>
      <c r="L37" s="207"/>
      <c r="M37" s="207"/>
      <c r="N37" s="207"/>
      <c r="O37" s="207"/>
    </row>
    <row r="38" spans="1:15" ht="12.75">
      <c r="A38" s="485" t="s">
        <v>0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207"/>
      <c r="M38" s="207"/>
      <c r="N38" s="207"/>
      <c r="O38" s="207"/>
    </row>
    <row r="39" spans="1:15" ht="9" customHeight="1">
      <c r="A39" s="485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207"/>
      <c r="M39" s="207"/>
      <c r="N39" s="207"/>
      <c r="O39" s="207"/>
    </row>
    <row r="40" spans="1:15" ht="12.75">
      <c r="A40" s="490" t="s">
        <v>613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207"/>
      <c r="M40" s="207"/>
      <c r="N40" s="207"/>
      <c r="O40" s="207"/>
    </row>
    <row r="41" spans="1:15" ht="12.75">
      <c r="A41" s="485" t="s">
        <v>538</v>
      </c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207"/>
      <c r="M41" s="207"/>
      <c r="N41" s="207"/>
      <c r="O41" s="207"/>
    </row>
    <row r="42" spans="1:15" ht="9" customHeight="1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207"/>
      <c r="M42" s="207"/>
      <c r="N42" s="207"/>
      <c r="O42" s="207"/>
    </row>
    <row r="43" spans="1:15" ht="12.75">
      <c r="A43" s="490" t="s">
        <v>614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207"/>
      <c r="M43" s="207"/>
      <c r="N43" s="207"/>
      <c r="O43" s="207"/>
    </row>
    <row r="44" spans="1:15" ht="12.75">
      <c r="A44" s="485" t="s">
        <v>1</v>
      </c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207"/>
      <c r="M44" s="207"/>
      <c r="N44" s="207"/>
      <c r="O44" s="207"/>
    </row>
    <row r="45" spans="1:15" ht="9" customHeight="1">
      <c r="A45" s="485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207"/>
      <c r="M45" s="207"/>
      <c r="N45" s="207"/>
      <c r="O45" s="207"/>
    </row>
    <row r="46" spans="1:15" ht="12.75">
      <c r="A46" s="490" t="s">
        <v>615</v>
      </c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207"/>
      <c r="M46" s="207"/>
      <c r="N46" s="207"/>
      <c r="O46" s="207"/>
    </row>
    <row r="47" spans="1:15" ht="12.75">
      <c r="A47" s="485" t="s">
        <v>538</v>
      </c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207"/>
      <c r="M47" s="207"/>
      <c r="N47" s="207"/>
      <c r="O47" s="207"/>
    </row>
    <row r="48" spans="1:15" ht="9" customHeight="1">
      <c r="A48" s="490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207"/>
      <c r="M48" s="207"/>
      <c r="N48" s="207"/>
      <c r="O48" s="207"/>
    </row>
    <row r="49" spans="1:15" ht="12.75">
      <c r="A49" s="485" t="s">
        <v>537</v>
      </c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207"/>
      <c r="M49" s="207"/>
      <c r="N49" s="207"/>
      <c r="O49" s="207"/>
    </row>
    <row r="50" spans="1:15" ht="9" customHeight="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207"/>
      <c r="M50" s="207"/>
      <c r="N50" s="207"/>
      <c r="O50" s="207"/>
    </row>
    <row r="51" spans="1:15" ht="12.75" customHeight="1">
      <c r="A51" s="490" t="s">
        <v>5</v>
      </c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207"/>
      <c r="M51" s="207"/>
      <c r="N51" s="207"/>
      <c r="O51" s="207"/>
    </row>
    <row r="52" spans="1:15" ht="9" customHeight="1">
      <c r="A52" s="48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207"/>
      <c r="M52" s="207"/>
      <c r="N52" s="207"/>
      <c r="O52" s="207"/>
    </row>
    <row r="53" spans="1:15" ht="12.75">
      <c r="A53" s="485" t="s">
        <v>6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207"/>
      <c r="M53" s="207"/>
      <c r="N53" s="207"/>
      <c r="O53" s="207"/>
    </row>
    <row r="54" spans="1:15" ht="12.75">
      <c r="A54" s="485" t="s">
        <v>7</v>
      </c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207"/>
      <c r="M54" s="207"/>
      <c r="N54" s="207"/>
      <c r="O54" s="207"/>
    </row>
    <row r="55" spans="1:15" ht="12.75">
      <c r="A55" s="485" t="s">
        <v>2</v>
      </c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207"/>
      <c r="M55" s="207"/>
      <c r="N55" s="207"/>
      <c r="O55" s="207"/>
    </row>
    <row r="56" spans="1:15" ht="12.75">
      <c r="A56" s="485" t="s">
        <v>600</v>
      </c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207"/>
      <c r="M56" s="207"/>
      <c r="N56" s="207"/>
      <c r="O56" s="207"/>
    </row>
    <row r="57" spans="1:15" ht="9" customHeight="1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207"/>
      <c r="M57" s="207"/>
      <c r="N57" s="207"/>
      <c r="O57" s="207"/>
    </row>
    <row r="58" spans="1:15" ht="12.75">
      <c r="A58" s="485" t="s">
        <v>525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207"/>
      <c r="M58" s="207"/>
      <c r="N58" s="207"/>
      <c r="O58" s="207"/>
    </row>
    <row r="59" spans="1:15" ht="12.75">
      <c r="A59" s="485" t="s">
        <v>8</v>
      </c>
      <c r="B59" s="485"/>
      <c r="C59" s="485"/>
      <c r="D59" s="485"/>
      <c r="E59" s="485"/>
      <c r="F59" s="485"/>
      <c r="G59" s="485"/>
      <c r="H59" s="485"/>
      <c r="I59" s="485"/>
      <c r="J59" s="485"/>
      <c r="K59" s="485"/>
      <c r="L59" s="207"/>
      <c r="M59" s="207"/>
      <c r="N59" s="207"/>
      <c r="O59" s="207"/>
    </row>
    <row r="60" spans="1:15" ht="12.75">
      <c r="A60" s="485" t="s">
        <v>521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207"/>
      <c r="M60" s="207"/>
      <c r="N60" s="207"/>
      <c r="O60" s="207"/>
    </row>
    <row r="61" spans="1:15" ht="3.75" customHeight="1">
      <c r="A61" s="485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207"/>
      <c r="M61" s="207"/>
      <c r="N61" s="207"/>
      <c r="O61" s="207"/>
    </row>
    <row r="62" spans="1:15" ht="12.75">
      <c r="A62" s="485" t="s">
        <v>522</v>
      </c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207"/>
      <c r="M62" s="207"/>
      <c r="N62" s="207"/>
      <c r="O62" s="207"/>
    </row>
    <row r="63" spans="1:15" ht="12.75">
      <c r="A63" s="485" t="s">
        <v>523</v>
      </c>
      <c r="B63" s="485"/>
      <c r="C63" s="485"/>
      <c r="D63" s="485"/>
      <c r="E63" s="485"/>
      <c r="F63" s="485"/>
      <c r="G63" s="485"/>
      <c r="H63" s="485"/>
      <c r="I63" s="485"/>
      <c r="J63" s="485"/>
      <c r="K63" s="485"/>
      <c r="L63" s="207"/>
      <c r="M63" s="207"/>
      <c r="N63" s="207"/>
      <c r="O63" s="207"/>
    </row>
    <row r="64" spans="1:15" ht="3.75" customHeight="1">
      <c r="A64" s="485"/>
      <c r="B64" s="485"/>
      <c r="C64" s="485"/>
      <c r="D64" s="485"/>
      <c r="E64" s="485"/>
      <c r="F64" s="485"/>
      <c r="G64" s="485"/>
      <c r="H64" s="485"/>
      <c r="I64" s="485"/>
      <c r="J64" s="485"/>
      <c r="K64" s="485"/>
      <c r="L64" s="207"/>
      <c r="M64" s="207"/>
      <c r="N64" s="207"/>
      <c r="O64" s="207"/>
    </row>
    <row r="65" spans="1:15" ht="12.75">
      <c r="A65" s="485" t="s">
        <v>526</v>
      </c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207"/>
      <c r="M65" s="207"/>
      <c r="N65" s="207"/>
      <c r="O65" s="207"/>
    </row>
    <row r="66" spans="1:15" ht="12.75">
      <c r="A66" s="485" t="s">
        <v>527</v>
      </c>
      <c r="B66" s="485"/>
      <c r="C66" s="485"/>
      <c r="D66" s="485"/>
      <c r="E66" s="485"/>
      <c r="F66" s="485"/>
      <c r="G66" s="485"/>
      <c r="H66" s="485"/>
      <c r="I66" s="485"/>
      <c r="J66" s="485"/>
      <c r="K66" s="485"/>
      <c r="L66" s="207"/>
      <c r="M66" s="207"/>
      <c r="N66" s="207"/>
      <c r="O66" s="207"/>
    </row>
    <row r="67" spans="1:15" ht="12.75">
      <c r="A67" s="485" t="s">
        <v>524</v>
      </c>
      <c r="B67" s="485"/>
      <c r="C67" s="485"/>
      <c r="D67" s="485"/>
      <c r="E67" s="485"/>
      <c r="F67" s="485"/>
      <c r="G67" s="485"/>
      <c r="H67" s="485"/>
      <c r="I67" s="485"/>
      <c r="J67" s="485"/>
      <c r="K67" s="485"/>
      <c r="L67" s="207"/>
      <c r="M67" s="207"/>
      <c r="N67" s="207"/>
      <c r="O67" s="207"/>
    </row>
    <row r="68" spans="1:15" ht="9" customHeight="1">
      <c r="A68" s="485"/>
      <c r="B68" s="485"/>
      <c r="C68" s="485"/>
      <c r="D68" s="485"/>
      <c r="E68" s="485"/>
      <c r="F68" s="485"/>
      <c r="G68" s="485"/>
      <c r="H68" s="485"/>
      <c r="I68" s="485"/>
      <c r="J68" s="485"/>
      <c r="K68" s="485"/>
      <c r="L68" s="207"/>
      <c r="M68" s="207"/>
      <c r="N68" s="207"/>
      <c r="O68" s="207"/>
    </row>
    <row r="69" spans="1:15" ht="12.75" customHeight="1">
      <c r="A69" s="548" t="s">
        <v>574</v>
      </c>
      <c r="B69" s="538"/>
      <c r="C69" s="538"/>
      <c r="D69" s="538"/>
      <c r="E69" s="538"/>
      <c r="F69" s="538"/>
      <c r="G69" s="538"/>
      <c r="H69" s="538"/>
      <c r="I69" s="538"/>
      <c r="J69" s="538"/>
      <c r="K69" s="538"/>
      <c r="L69" s="538"/>
      <c r="M69" s="538"/>
      <c r="N69" s="538"/>
      <c r="O69" s="538"/>
    </row>
    <row r="70" spans="1:15" ht="12.75">
      <c r="A70" s="550" t="s">
        <v>575</v>
      </c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550"/>
    </row>
    <row r="71" spans="1:15" ht="12.75">
      <c r="A71" s="550"/>
      <c r="B71" s="550"/>
      <c r="C71" s="550"/>
      <c r="D71" s="550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550"/>
    </row>
    <row r="72" spans="1:15" ht="12.75">
      <c r="A72" s="207"/>
      <c r="B72" s="485"/>
      <c r="C72" s="485"/>
      <c r="D72" s="485"/>
      <c r="E72" s="485"/>
      <c r="F72" s="485"/>
      <c r="G72" s="485"/>
      <c r="H72" s="485"/>
      <c r="I72" s="485"/>
      <c r="J72" s="485"/>
      <c r="K72" s="485"/>
      <c r="L72" s="207"/>
      <c r="M72" s="207"/>
      <c r="N72" s="207"/>
      <c r="O72" s="207"/>
    </row>
    <row r="73" spans="1:17" ht="12.75">
      <c r="A73" s="485"/>
      <c r="B73" s="485"/>
      <c r="C73" s="485"/>
      <c r="D73" s="485"/>
      <c r="E73" s="485"/>
      <c r="F73" s="485"/>
      <c r="G73" s="485"/>
      <c r="H73" s="485"/>
      <c r="I73" s="485"/>
      <c r="J73" s="485"/>
      <c r="K73" s="485"/>
      <c r="L73" s="485"/>
      <c r="M73" s="485"/>
      <c r="N73" s="207"/>
      <c r="O73" s="207"/>
      <c r="P73" s="207"/>
      <c r="Q73" s="207"/>
    </row>
    <row r="74" spans="1:17" ht="12.75">
      <c r="A74" s="207"/>
      <c r="B74" s="485"/>
      <c r="C74" s="485"/>
      <c r="D74" s="485"/>
      <c r="E74" s="485"/>
      <c r="F74" s="485"/>
      <c r="G74" s="485"/>
      <c r="H74" s="485"/>
      <c r="I74" s="485"/>
      <c r="J74" s="485"/>
      <c r="K74" s="485"/>
      <c r="L74" s="485"/>
      <c r="M74" s="485"/>
      <c r="N74" s="207"/>
      <c r="O74" s="207"/>
      <c r="P74" s="207"/>
      <c r="Q74" s="207"/>
    </row>
    <row r="75" spans="1:17" ht="12.75">
      <c r="A75" s="207"/>
      <c r="B75" s="485"/>
      <c r="C75" s="485"/>
      <c r="D75" s="485"/>
      <c r="E75" s="485"/>
      <c r="F75" s="485"/>
      <c r="G75" s="485"/>
      <c r="H75" s="485"/>
      <c r="I75" s="485"/>
      <c r="J75" s="485"/>
      <c r="K75" s="485"/>
      <c r="L75" s="485"/>
      <c r="M75" s="485"/>
      <c r="N75" s="207"/>
      <c r="O75" s="207"/>
      <c r="P75" s="207"/>
      <c r="Q75" s="207"/>
    </row>
    <row r="76" spans="1:17" ht="12.75">
      <c r="A76" s="485"/>
      <c r="B76" s="485"/>
      <c r="C76" s="485"/>
      <c r="D76" s="485"/>
      <c r="E76" s="485"/>
      <c r="F76" s="485"/>
      <c r="G76" s="485"/>
      <c r="H76" s="485"/>
      <c r="I76" s="485"/>
      <c r="J76" s="485"/>
      <c r="K76" s="485"/>
      <c r="L76" s="485"/>
      <c r="M76" s="485"/>
      <c r="N76" s="207"/>
      <c r="O76" s="207"/>
      <c r="P76" s="207"/>
      <c r="Q76" s="207"/>
    </row>
    <row r="77" spans="1:17" ht="12.75">
      <c r="A77" s="207"/>
      <c r="B77" s="207"/>
      <c r="C77" s="485"/>
      <c r="D77" s="485"/>
      <c r="E77" s="485"/>
      <c r="F77" s="485"/>
      <c r="G77" s="485"/>
      <c r="H77" s="485"/>
      <c r="I77" s="485"/>
      <c r="J77" s="485"/>
      <c r="K77" s="485"/>
      <c r="L77" s="485"/>
      <c r="M77" s="485"/>
      <c r="N77" s="207"/>
      <c r="O77" s="207"/>
      <c r="P77" s="207"/>
      <c r="Q77" s="207"/>
    </row>
    <row r="78" spans="1:17" ht="12.75">
      <c r="A78" s="207"/>
      <c r="B78" s="207"/>
      <c r="C78" s="485"/>
      <c r="D78" s="485"/>
      <c r="E78" s="485"/>
      <c r="F78" s="485"/>
      <c r="G78" s="485"/>
      <c r="H78" s="485"/>
      <c r="I78" s="485"/>
      <c r="J78" s="485"/>
      <c r="K78" s="485"/>
      <c r="L78" s="485"/>
      <c r="M78" s="485"/>
      <c r="N78" s="207"/>
      <c r="O78" s="207"/>
      <c r="P78" s="207"/>
      <c r="Q78" s="207"/>
    </row>
    <row r="79" spans="1:17" ht="12.75">
      <c r="A79" s="485"/>
      <c r="B79" s="485"/>
      <c r="C79" s="485"/>
      <c r="D79" s="485"/>
      <c r="E79" s="485"/>
      <c r="F79" s="485"/>
      <c r="G79" s="485"/>
      <c r="H79" s="485"/>
      <c r="I79" s="485"/>
      <c r="J79" s="485"/>
      <c r="K79" s="485"/>
      <c r="L79" s="485"/>
      <c r="M79" s="485"/>
      <c r="N79" s="207"/>
      <c r="O79" s="207"/>
      <c r="P79" s="207"/>
      <c r="Q79" s="207"/>
    </row>
    <row r="80" spans="1:17" ht="12.75">
      <c r="A80" s="207"/>
      <c r="B80" s="485"/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207"/>
      <c r="O80" s="207"/>
      <c r="P80" s="207"/>
      <c r="Q80" s="207"/>
    </row>
    <row r="81" spans="1:17" ht="12.75">
      <c r="A81" s="207"/>
      <c r="B81" s="485"/>
      <c r="C81" s="485"/>
      <c r="D81" s="485"/>
      <c r="E81" s="485"/>
      <c r="F81" s="485"/>
      <c r="G81" s="485"/>
      <c r="H81" s="485"/>
      <c r="I81" s="485"/>
      <c r="J81" s="485"/>
      <c r="K81" s="485"/>
      <c r="L81" s="485"/>
      <c r="M81" s="485"/>
      <c r="N81" s="207"/>
      <c r="O81" s="207"/>
      <c r="P81" s="207"/>
      <c r="Q81" s="207"/>
    </row>
    <row r="82" spans="1:17" ht="12.75">
      <c r="A82" s="207"/>
      <c r="B82" s="207"/>
      <c r="C82" s="485"/>
      <c r="D82" s="485"/>
      <c r="E82" s="485"/>
      <c r="F82" s="485"/>
      <c r="G82" s="485"/>
      <c r="H82" s="485"/>
      <c r="I82" s="485"/>
      <c r="J82" s="485"/>
      <c r="K82" s="485"/>
      <c r="L82" s="485"/>
      <c r="M82" s="485"/>
      <c r="N82" s="207"/>
      <c r="O82" s="207"/>
      <c r="P82" s="207"/>
      <c r="Q82" s="207"/>
    </row>
    <row r="83" spans="1:17" ht="12.75">
      <c r="A83" s="207"/>
      <c r="B83" s="207"/>
      <c r="C83" s="485"/>
      <c r="D83" s="485"/>
      <c r="E83" s="485"/>
      <c r="F83" s="485"/>
      <c r="G83" s="485"/>
      <c r="H83" s="485"/>
      <c r="I83" s="485"/>
      <c r="J83" s="485"/>
      <c r="K83" s="485"/>
      <c r="L83" s="485"/>
      <c r="M83" s="485"/>
      <c r="N83" s="207"/>
      <c r="O83" s="207"/>
      <c r="P83" s="207"/>
      <c r="Q83" s="207"/>
    </row>
    <row r="84" spans="1:17" ht="12.75">
      <c r="A84" s="207"/>
      <c r="B84" s="207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207"/>
      <c r="O84" s="207"/>
      <c r="P84" s="207"/>
      <c r="Q84" s="207"/>
    </row>
    <row r="85" spans="1:17" ht="12.75">
      <c r="A85" s="207"/>
      <c r="B85" s="207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207"/>
      <c r="O85" s="207"/>
      <c r="P85" s="207"/>
      <c r="Q85" s="207"/>
    </row>
    <row r="86" spans="1:17" ht="12.75">
      <c r="A86" s="207"/>
      <c r="B86" s="207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207"/>
      <c r="O86" s="207"/>
      <c r="P86" s="207"/>
      <c r="Q86" s="207"/>
    </row>
    <row r="87" spans="1:17" ht="12.75">
      <c r="A87" s="207"/>
      <c r="B87" s="207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</row>
    <row r="88" spans="1:17" ht="12.75">
      <c r="A88" s="207"/>
      <c r="B88" s="207"/>
      <c r="C88" s="485"/>
      <c r="D88" s="485"/>
      <c r="E88" s="485"/>
      <c r="F88" s="485"/>
      <c r="G88" s="485"/>
      <c r="H88" s="485"/>
      <c r="I88" s="485"/>
      <c r="J88" s="485"/>
      <c r="K88" s="485"/>
      <c r="L88" s="485"/>
      <c r="M88" s="485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1968503937007874" right="0.2362204724409449" top="0.1968503937007874" bottom="0.2362204724409449" header="0.5118110236220472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zoomScalePageLayoutView="0" workbookViewId="0" topLeftCell="A7">
      <selection activeCell="F30" sqref="F30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627</v>
      </c>
      <c r="C2" s="27" t="s">
        <v>581</v>
      </c>
      <c r="D2" s="8"/>
      <c r="E2" s="27" t="s">
        <v>497</v>
      </c>
    </row>
    <row r="3" spans="2:5" ht="12.75">
      <c r="B3" s="346" t="str">
        <f>REGINFO!A3</f>
        <v>Utility Name:  Erie Thames Powerlines</v>
      </c>
      <c r="C3" s="27" t="s">
        <v>582</v>
      </c>
      <c r="D3" s="8"/>
      <c r="E3" s="27" t="s">
        <v>458</v>
      </c>
    </row>
    <row r="4" spans="1:6" ht="13.5" thickBot="1">
      <c r="A4" s="262"/>
      <c r="B4" s="526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17" t="s">
        <v>601</v>
      </c>
      <c r="C6" s="551" t="s">
        <v>643</v>
      </c>
      <c r="D6" s="551"/>
      <c r="E6" s="551"/>
    </row>
    <row r="7" spans="1:6" ht="12.75">
      <c r="A7" s="262"/>
      <c r="B7" s="518" t="s">
        <v>602</v>
      </c>
      <c r="C7" s="552" t="s">
        <v>644</v>
      </c>
      <c r="D7" s="551"/>
      <c r="E7" s="551"/>
      <c r="F7" s="270"/>
    </row>
    <row r="8" spans="1:6" ht="12.75">
      <c r="A8" s="262"/>
      <c r="B8" s="518" t="s">
        <v>603</v>
      </c>
      <c r="C8" s="519" t="s">
        <v>645</v>
      </c>
      <c r="D8" s="520"/>
      <c r="E8" s="521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308</v>
      </c>
      <c r="C10" s="266"/>
      <c r="D10" s="262"/>
      <c r="E10" s="262"/>
      <c r="F10" s="262"/>
    </row>
    <row r="11" spans="1:6" ht="12.75">
      <c r="A11" s="266"/>
      <c r="B11" s="266" t="s">
        <v>621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586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309</v>
      </c>
      <c r="B15" s="266" t="s">
        <v>459</v>
      </c>
      <c r="C15" s="268">
        <v>2</v>
      </c>
      <c r="D15" s="269" t="s">
        <v>637</v>
      </c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310</v>
      </c>
      <c r="B17" s="266" t="s">
        <v>460</v>
      </c>
      <c r="C17" s="268">
        <v>2</v>
      </c>
      <c r="D17" s="269" t="s">
        <v>637</v>
      </c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311</v>
      </c>
      <c r="B19" s="266" t="s">
        <v>167</v>
      </c>
      <c r="C19" s="268">
        <v>2</v>
      </c>
      <c r="D19" s="269" t="s">
        <v>637</v>
      </c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312</v>
      </c>
      <c r="B21" s="266" t="s">
        <v>461</v>
      </c>
      <c r="C21" s="268">
        <v>2</v>
      </c>
      <c r="D21" s="269" t="s">
        <v>637</v>
      </c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313</v>
      </c>
      <c r="B23" s="266" t="s">
        <v>463</v>
      </c>
      <c r="C23" s="268">
        <v>2</v>
      </c>
      <c r="D23" s="269" t="s">
        <v>637</v>
      </c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315</v>
      </c>
      <c r="B25" s="266" t="s">
        <v>462</v>
      </c>
      <c r="C25" s="268">
        <v>2</v>
      </c>
      <c r="D25" s="269" t="s">
        <v>637</v>
      </c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338</v>
      </c>
      <c r="B27" s="266" t="s">
        <v>584</v>
      </c>
      <c r="C27" s="268">
        <v>2</v>
      </c>
      <c r="D27" s="269" t="s">
        <v>637</v>
      </c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464</v>
      </c>
      <c r="B29" s="266" t="s">
        <v>314</v>
      </c>
      <c r="C29" s="268">
        <v>2</v>
      </c>
      <c r="D29" s="269" t="s">
        <v>637</v>
      </c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339</v>
      </c>
      <c r="B32" s="506" t="s">
        <v>606</v>
      </c>
      <c r="C32" s="513">
        <v>2</v>
      </c>
      <c r="D32" s="269" t="s">
        <v>343</v>
      </c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316</v>
      </c>
      <c r="B34" s="266" t="s">
        <v>632</v>
      </c>
      <c r="C34" s="268">
        <v>1</v>
      </c>
      <c r="D34" s="269" t="s">
        <v>343</v>
      </c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465</v>
      </c>
      <c r="B36" s="92" t="s">
        <v>583</v>
      </c>
      <c r="C36" s="514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 t="s">
        <v>343</v>
      </c>
      <c r="E37" s="262"/>
      <c r="F37" s="262"/>
    </row>
    <row r="38" spans="1:6" ht="13.5" thickBot="1">
      <c r="A38" s="8"/>
      <c r="B38" s="104">
        <v>2002</v>
      </c>
      <c r="C38" s="27">
        <v>1</v>
      </c>
      <c r="D38" s="269" t="s">
        <v>343</v>
      </c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 t="s">
        <v>343</v>
      </c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 t="s">
        <v>343</v>
      </c>
      <c r="E40" s="262"/>
      <c r="F40" s="262"/>
    </row>
    <row r="41" spans="1:6" ht="13.5" thickBot="1">
      <c r="A41" s="267"/>
      <c r="B41" s="466">
        <v>2005</v>
      </c>
      <c r="C41" s="268">
        <v>1</v>
      </c>
      <c r="D41" s="269" t="s">
        <v>343</v>
      </c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466</v>
      </c>
      <c r="B43" s="266" t="s">
        <v>604</v>
      </c>
      <c r="C43" s="268">
        <v>1</v>
      </c>
      <c r="D43" s="469" t="s">
        <v>343</v>
      </c>
      <c r="E43" s="262"/>
      <c r="F43" s="262"/>
    </row>
    <row r="44" spans="1:6" ht="13.5" thickBot="1">
      <c r="A44" s="268"/>
      <c r="B44" s="266"/>
      <c r="C44" s="515"/>
      <c r="D44" s="516"/>
      <c r="E44" s="270"/>
      <c r="F44" s="262"/>
    </row>
    <row r="45" spans="1:6" ht="13.5" thickBot="1">
      <c r="A45" s="268" t="s">
        <v>467</v>
      </c>
      <c r="B45" s="266" t="s">
        <v>605</v>
      </c>
      <c r="C45" s="268">
        <v>1</v>
      </c>
      <c r="D45" s="469" t="s">
        <v>343</v>
      </c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5" t="s">
        <v>607</v>
      </c>
      <c r="C47" s="262"/>
      <c r="D47" s="262"/>
      <c r="E47" s="262"/>
      <c r="F47" s="262"/>
    </row>
    <row r="48" spans="1:6" ht="12.75">
      <c r="A48" s="267"/>
      <c r="B48" s="505" t="s">
        <v>608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hyperlinks>
    <hyperlink ref="C8" r:id="rId1" display="graigp@erie-thamespower.com"/>
  </hyperlinks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88" r:id="rId2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</cp:lastModifiedBy>
  <cp:lastPrinted>2006-08-10T13:19:53Z</cp:lastPrinted>
  <dcterms:created xsi:type="dcterms:W3CDTF">2001-11-07T16:15:53Z</dcterms:created>
  <dcterms:modified xsi:type="dcterms:W3CDTF">2012-05-10T19:06:13Z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