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320" windowHeight="11760" activeTab="1"/>
  </bookViews>
  <sheets>
    <sheet name="Updated Classes RC Calc" sheetId="1" r:id="rId1"/>
    <sheet name="Existing Classes RC Calc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'Updated Classes RC Calc'!$A$1:$K$60</definedName>
  </definedNames>
  <calcPr fullCalcOnLoad="1"/>
</workbook>
</file>

<file path=xl/sharedStrings.xml><?xml version="1.0" encoding="utf-8"?>
<sst xmlns="http://schemas.openxmlformats.org/spreadsheetml/2006/main" count="157" uniqueCount="54">
  <si>
    <t>Board Staff Min RC%</t>
  </si>
  <si>
    <t>Board Staff Max RC%</t>
  </si>
  <si>
    <t>Residential</t>
  </si>
  <si>
    <t>GS &lt; 50</t>
  </si>
  <si>
    <t>Street Light</t>
  </si>
  <si>
    <t>Unmetered</t>
  </si>
  <si>
    <t>Min Adjustment</t>
  </si>
  <si>
    <t>Minimum Adjustment</t>
  </si>
  <si>
    <t>100% DRR Adjustment</t>
  </si>
  <si>
    <t>New BRR%</t>
  </si>
  <si>
    <t>New BRR %</t>
  </si>
  <si>
    <t>Class Specific DRR %</t>
  </si>
  <si>
    <t>Rate Design - Revenue to Cost Ratios</t>
  </si>
  <si>
    <t>2006 Total Revenue</t>
  </si>
  <si>
    <t>Current RC%</t>
  </si>
  <si>
    <t>Min RC%</t>
  </si>
  <si>
    <t>Max RC%</t>
  </si>
  <si>
    <t>2006 Adjusted Total Revenue</t>
  </si>
  <si>
    <t>Allocation of Balance</t>
  </si>
  <si>
    <t>2006 Min Adjusted Total Revenue</t>
  </si>
  <si>
    <t>2006 Total Revenue %</t>
  </si>
  <si>
    <t>Applied for Rate Design (Street Light @ 70% RC, everyone else @ 100% RC plus subsidization)</t>
  </si>
  <si>
    <t>Subdization</t>
  </si>
  <si>
    <t>Alloction of Subsidization</t>
  </si>
  <si>
    <t>2006 Adjusted total Revenue</t>
  </si>
  <si>
    <t>2006 Adjusted Total Revenue %</t>
  </si>
  <si>
    <t>Verson 1</t>
  </si>
  <si>
    <t>less: 2009 Misc. Rev. Projection</t>
  </si>
  <si>
    <t>2009 Total Revenue</t>
  </si>
  <si>
    <t>2009 100% RC BRR</t>
  </si>
  <si>
    <t>2006 Total Revenue @ 100% RC</t>
  </si>
  <si>
    <t>Actual Applied for RC</t>
  </si>
  <si>
    <t>2009 Min Adustment BRR</t>
  </si>
  <si>
    <t>One Half of 100% DRR Adjustment</t>
  </si>
  <si>
    <t>Street Light @ 70% RC, everyone else @ 50% RC plus subsidization</t>
  </si>
  <si>
    <t>Erie Thames Powerlines</t>
  </si>
  <si>
    <t>2012 CA Revenue to Cost %</t>
  </si>
  <si>
    <t>Large Use</t>
  </si>
  <si>
    <t>Sentinel Lighting</t>
  </si>
  <si>
    <t>GS&gt;50 to 999 kW</t>
  </si>
  <si>
    <t>Embedded</t>
  </si>
  <si>
    <t>2012 Misc. Revenue</t>
  </si>
  <si>
    <t>2012 Total Revenue</t>
  </si>
  <si>
    <t>2012 DRR Current Rates</t>
  </si>
  <si>
    <t>2012 Total Revenue Current Rates</t>
  </si>
  <si>
    <t>2012 Total Revenue @ 100% RC</t>
  </si>
  <si>
    <t>2012 Current Rates Total Revenue %</t>
  </si>
  <si>
    <t>2012 100% RC BRR</t>
  </si>
  <si>
    <t>Actual Applied for RC Ratio</t>
  </si>
  <si>
    <t>Applied for Rate Design (Mitigate Residential Impacts across other classes)</t>
  </si>
  <si>
    <t>GS&gt;1000 to 4999 kW</t>
  </si>
  <si>
    <t>Rate Design - Revenue to Cost Ratios Existing Rate Classes</t>
  </si>
  <si>
    <t>GS&gt;1000 to 2999 kW</t>
  </si>
  <si>
    <t>GS&gt;3000 kW to 4999 kW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</si>
</sst>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0.000%"/>
    <numFmt numFmtId="178" formatCode="0.0000%"/>
    <numFmt numFmtId="179" formatCode="_(* #,##0.0000_);_(* \(#,##0.0000\);_(* &quot;-&quot;????_);_(@_)"/>
    <numFmt numFmtId="180" formatCode="_(* #,##0.00000000_);_(* \(#,##0.00000000\);_(* &quot;-&quot;????????_);_(@_)"/>
    <numFmt numFmtId="181" formatCode="0.0000000000000%"/>
    <numFmt numFmtId="182" formatCode="_(* #,##0.0000000000000_);_(* \(#,##0.0000000000000\);_(* &quot;-&quot;?????????????_);_(@_)"/>
    <numFmt numFmtId="183" formatCode="[$-1009]mmmm\ d\,\ yyyy"/>
    <numFmt numFmtId="184" formatCode="[$-F800]dddd\,\ mmmm\ dd\,\ yyyy"/>
    <numFmt numFmtId="185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horizontal="center"/>
    </xf>
    <xf numFmtId="10" fontId="0" fillId="0" borderId="0" xfId="59" applyNumberFormat="1" applyFont="1" applyAlignment="1">
      <alignment horizontal="center"/>
    </xf>
    <xf numFmtId="174" fontId="0" fillId="0" borderId="0" xfId="42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43" fontId="0" fillId="0" borderId="11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9" fontId="0" fillId="0" borderId="0" xfId="59" applyFont="1" applyBorder="1" applyAlignment="1">
      <alignment horizontal="center"/>
    </xf>
    <xf numFmtId="0" fontId="1" fillId="33" borderId="15" xfId="0" applyFont="1" applyFill="1" applyBorder="1" applyAlignment="1">
      <alignment/>
    </xf>
    <xf numFmtId="10" fontId="1" fillId="33" borderId="16" xfId="59" applyNumberFormat="1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0" fontId="0" fillId="0" borderId="11" xfId="59" applyNumberFormat="1" applyFont="1" applyBorder="1" applyAlignment="1">
      <alignment horizontal="center"/>
    </xf>
    <xf numFmtId="10" fontId="1" fillId="33" borderId="17" xfId="59" applyNumberFormat="1" applyFont="1" applyFill="1" applyBorder="1" applyAlignment="1">
      <alignment horizontal="center"/>
    </xf>
    <xf numFmtId="9" fontId="0" fillId="0" borderId="11" xfId="59" applyFont="1" applyBorder="1" applyAlignment="1">
      <alignment horizontal="center"/>
    </xf>
    <xf numFmtId="174" fontId="0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74" fontId="0" fillId="0" borderId="11" xfId="42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3" fontId="0" fillId="0" borderId="0" xfId="0" applyNumberFormat="1" applyAlignment="1">
      <alignment/>
    </xf>
    <xf numFmtId="9" fontId="0" fillId="0" borderId="0" xfId="59" applyFont="1" applyFill="1" applyBorder="1" applyAlignment="1">
      <alignment horizontal="center"/>
    </xf>
    <xf numFmtId="0" fontId="0" fillId="33" borderId="0" xfId="0" applyFill="1" applyAlignment="1">
      <alignment/>
    </xf>
    <xf numFmtId="174" fontId="0" fillId="33" borderId="0" xfId="42" applyNumberFormat="1" applyFont="1" applyFill="1" applyAlignment="1">
      <alignment horizontal="center"/>
    </xf>
    <xf numFmtId="10" fontId="0" fillId="0" borderId="0" xfId="59" applyNumberFormat="1" applyFont="1" applyFill="1" applyBorder="1" applyAlignment="1">
      <alignment horizontal="center"/>
    </xf>
    <xf numFmtId="10" fontId="0" fillId="0" borderId="11" xfId="59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174" fontId="0" fillId="0" borderId="0" xfId="59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left" wrapText="1"/>
    </xf>
    <xf numFmtId="174" fontId="0" fillId="0" borderId="11" xfId="59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43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10" fontId="1" fillId="0" borderId="0" xfId="59" applyNumberFormat="1" applyFont="1" applyAlignment="1">
      <alignment horizontal="center"/>
    </xf>
    <xf numFmtId="9" fontId="0" fillId="0" borderId="0" xfId="59" applyFont="1" applyBorder="1" applyAlignment="1">
      <alignment horizontal="right" wrapText="1"/>
    </xf>
    <xf numFmtId="0" fontId="0" fillId="0" borderId="0" xfId="0" applyFill="1" applyAlignment="1">
      <alignment/>
    </xf>
    <xf numFmtId="174" fontId="1" fillId="0" borderId="0" xfId="0" applyNumberFormat="1" applyFont="1" applyFill="1" applyAlignment="1">
      <alignment horizontal="center"/>
    </xf>
    <xf numFmtId="10" fontId="1" fillId="0" borderId="0" xfId="0" applyNumberFormat="1" applyFont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2%20Cost%20of%20Service\Written%20Exibits\Updated%20Models%20March%202012\ETPL%202012%20Revenue%20Requirement%20Model%20March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TPL%20Cost%20Allocation%20Model%20Updated%20Classes_EB-2012-0121_Ma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_Rev_Reqt_Work_Form%20ETPL_May%2030_EB-2012-01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TPL%20Cost%20Allocation%20Model%20Existing%20Classes_EB-2012-0121_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OM&amp;A TEST"/>
      <sheetName val="Capital Test"/>
      <sheetName val="Rate Base Summary"/>
      <sheetName val="Materiality Threshold"/>
      <sheetName val="Customer Count Forecast"/>
      <sheetName val="Customer-Load Forecast"/>
      <sheetName val="COP Projections"/>
      <sheetName val="Distribution Revenue Data"/>
      <sheetName val="Other Revenue"/>
      <sheetName val="Summary of Revenue"/>
      <sheetName val="Sheet1"/>
      <sheetName val="WCA by Account"/>
      <sheetName val="REV REQ"/>
      <sheetName val="Summary of Op Costs"/>
      <sheetName val="OM&amp;A Costs"/>
      <sheetName val="DepAmortDepletion"/>
      <sheetName val="Loss Factor"/>
      <sheetName val="Income Tax"/>
      <sheetName val="CCA"/>
      <sheetName val="Interest Expense"/>
      <sheetName val="Capital Structure"/>
      <sheetName val="Debt Details"/>
      <sheetName val="Return on Equity"/>
      <sheetName val="Rev Def or Suf"/>
      <sheetName val="Regulated Return"/>
      <sheetName val="2011 Proforma"/>
      <sheetName val="2012 Proforma"/>
    </sheetNames>
    <sheetDataSet>
      <sheetData sheetId="9">
        <row r="21">
          <cell r="S21">
            <v>933058.10875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13">
        <row r="75">
          <cell r="I75">
            <v>1.0738338173834518</v>
          </cell>
          <cell r="K75">
            <v>0.285537218826504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Data_Input_Sheet"/>
      <sheetName val="4. Rate_Base"/>
      <sheetName val="5. Utility Income"/>
      <sheetName val="6. Taxes_PILs"/>
      <sheetName val="7. Cost_of_Capital"/>
      <sheetName val="8. Rev_Def_Suff"/>
      <sheetName val="9. Rev_Reqt"/>
      <sheetName val="10A. Bill Impacts - Residential"/>
      <sheetName val="10B. Bill Impacts - GS_LT_50kW"/>
    </sheetNames>
    <sheetDataSet>
      <sheetData sheetId="8">
        <row r="22">
          <cell r="F22">
            <v>9853771.780641014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13">
        <row r="75">
          <cell r="D75">
            <v>1.0477545475158456</v>
          </cell>
          <cell r="E75">
            <v>0.9211011994172691</v>
          </cell>
          <cell r="F75">
            <v>0.868467767869334</v>
          </cell>
          <cell r="G75">
            <v>1.0658711368205758</v>
          </cell>
          <cell r="H75">
            <v>0.9519508526207934</v>
          </cell>
          <cell r="I75">
            <v>1.228166433575605</v>
          </cell>
          <cell r="K75">
            <v>0.7656690132974104</v>
          </cell>
          <cell r="L75">
            <v>0.28599097106196364</v>
          </cell>
          <cell r="M75">
            <v>0.7190833923628915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zoomScale="85" zoomScaleNormal="85" zoomScalePageLayoutView="0" workbookViewId="0" topLeftCell="B4">
      <selection activeCell="B7" sqref="B7:I7"/>
    </sheetView>
  </sheetViews>
  <sheetFormatPr defaultColWidth="9.140625" defaultRowHeight="12.75"/>
  <cols>
    <col min="1" max="1" width="30.7109375" style="0" customWidth="1"/>
    <col min="2" max="10" width="21.57421875" style="1" customWidth="1"/>
    <col min="11" max="11" width="17.7109375" style="1" customWidth="1"/>
    <col min="12" max="12" width="10.7109375" style="0" customWidth="1"/>
    <col min="13" max="13" width="12.28125" style="0" bestFit="1" customWidth="1"/>
    <col min="14" max="14" width="19.8515625" style="0" bestFit="1" customWidth="1"/>
  </cols>
  <sheetData>
    <row r="1" spans="1:10" ht="18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2">
        <v>41059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">
      <c r="A4" s="51" t="s">
        <v>26</v>
      </c>
      <c r="B4" s="54"/>
      <c r="C4" s="54"/>
      <c r="D4" s="54"/>
      <c r="E4" s="54"/>
      <c r="F4" s="54"/>
      <c r="G4" s="54"/>
      <c r="H4" s="54"/>
      <c r="I4" s="54"/>
      <c r="J4" s="54"/>
    </row>
    <row r="6" spans="2:10" ht="12.75">
      <c r="B6" s="1" t="s">
        <v>2</v>
      </c>
      <c r="C6" s="1" t="s">
        <v>3</v>
      </c>
      <c r="D6" s="1" t="s">
        <v>39</v>
      </c>
      <c r="E6" s="1" t="s">
        <v>50</v>
      </c>
      <c r="F6" s="1" t="s">
        <v>37</v>
      </c>
      <c r="G6" s="1" t="s">
        <v>38</v>
      </c>
      <c r="H6" s="1" t="s">
        <v>4</v>
      </c>
      <c r="I6" s="1" t="s">
        <v>40</v>
      </c>
      <c r="J6" s="1" t="s">
        <v>5</v>
      </c>
    </row>
    <row r="7" spans="1:10" ht="12.75">
      <c r="A7" t="s">
        <v>36</v>
      </c>
      <c r="B7" s="3">
        <v>1.0485355245827574</v>
      </c>
      <c r="C7" s="3">
        <v>0.9218059788980253</v>
      </c>
      <c r="D7" s="3">
        <v>0.8650506106877883</v>
      </c>
      <c r="E7" s="3">
        <v>1.0614891076149258</v>
      </c>
      <c r="F7" s="3">
        <v>1.2222855639290446</v>
      </c>
      <c r="G7" s="3">
        <v>0.7650900981765167</v>
      </c>
      <c r="H7" s="3">
        <v>1.0738338173834518</v>
      </c>
      <c r="I7" s="3">
        <v>0.7142071693610147</v>
      </c>
      <c r="J7" s="3">
        <f>'[2]O1 Revenue to cost|RR'!$K$75</f>
        <v>0.285537218826504</v>
      </c>
    </row>
    <row r="8" spans="1:10" ht="12.75">
      <c r="A8" t="s">
        <v>0</v>
      </c>
      <c r="B8" s="3">
        <v>0.85</v>
      </c>
      <c r="C8" s="3">
        <v>0.8</v>
      </c>
      <c r="D8" s="3">
        <v>0.8</v>
      </c>
      <c r="E8" s="3">
        <v>0.8</v>
      </c>
      <c r="F8" s="3">
        <v>0.8</v>
      </c>
      <c r="G8" s="3">
        <v>0.7</v>
      </c>
      <c r="H8" s="3">
        <v>0.7</v>
      </c>
      <c r="I8" s="3">
        <v>0.7</v>
      </c>
      <c r="J8" s="3">
        <v>0.8</v>
      </c>
    </row>
    <row r="9" spans="1:10" ht="12.75">
      <c r="A9" t="s">
        <v>1</v>
      </c>
      <c r="B9" s="3">
        <v>1.15</v>
      </c>
      <c r="C9" s="3">
        <v>1.2</v>
      </c>
      <c r="D9" s="3">
        <v>1.8</v>
      </c>
      <c r="E9" s="3">
        <v>1.8</v>
      </c>
      <c r="F9" s="3">
        <v>1.8</v>
      </c>
      <c r="G9" s="3">
        <v>1.2</v>
      </c>
      <c r="H9" s="3">
        <v>1.2</v>
      </c>
      <c r="I9" s="3">
        <v>1.8</v>
      </c>
      <c r="J9" s="3">
        <v>1.2</v>
      </c>
    </row>
    <row r="10" spans="1:11" ht="12.75">
      <c r="A10" t="s">
        <v>43</v>
      </c>
      <c r="B10" s="4">
        <v>4868699</v>
      </c>
      <c r="C10" s="4">
        <v>1016184</v>
      </c>
      <c r="D10" s="4">
        <v>926213</v>
      </c>
      <c r="E10" s="4">
        <v>444668</v>
      </c>
      <c r="F10" s="4">
        <v>349473</v>
      </c>
      <c r="G10" s="4">
        <v>20837</v>
      </c>
      <c r="H10" s="4">
        <v>385197</v>
      </c>
      <c r="I10" s="4">
        <v>114965</v>
      </c>
      <c r="J10" s="4">
        <v>13889</v>
      </c>
      <c r="K10" s="2">
        <f>SUM(B10:J10)</f>
        <v>8140125</v>
      </c>
    </row>
    <row r="11" spans="1:11" ht="12.75">
      <c r="A11" t="s">
        <v>41</v>
      </c>
      <c r="B11" s="4">
        <v>597067</v>
      </c>
      <c r="C11" s="4">
        <v>130812</v>
      </c>
      <c r="D11" s="4">
        <v>98451</v>
      </c>
      <c r="E11" s="4">
        <v>35404</v>
      </c>
      <c r="F11" s="4">
        <v>17262</v>
      </c>
      <c r="G11" s="4">
        <v>2742</v>
      </c>
      <c r="H11" s="4">
        <v>31623</v>
      </c>
      <c r="I11" s="4">
        <v>4399</v>
      </c>
      <c r="J11" s="4">
        <v>11941</v>
      </c>
      <c r="K11" s="2">
        <f>SUM(B11:J11)</f>
        <v>929701</v>
      </c>
    </row>
    <row r="12" spans="1:11" s="47" customFormat="1" ht="12.75">
      <c r="A12" s="33" t="s">
        <v>44</v>
      </c>
      <c r="B12" s="34">
        <f aca="true" t="shared" si="0" ref="B12:J12">B10+B11</f>
        <v>5465766</v>
      </c>
      <c r="C12" s="34">
        <f t="shared" si="0"/>
        <v>1146996</v>
      </c>
      <c r="D12" s="34">
        <f t="shared" si="0"/>
        <v>1024664</v>
      </c>
      <c r="E12" s="34">
        <f>E10+E11</f>
        <v>480072</v>
      </c>
      <c r="F12" s="34">
        <f t="shared" si="0"/>
        <v>366735</v>
      </c>
      <c r="G12" s="34">
        <f t="shared" si="0"/>
        <v>23579</v>
      </c>
      <c r="H12" s="34">
        <f t="shared" si="0"/>
        <v>416820</v>
      </c>
      <c r="I12" s="34">
        <f>I10+I11</f>
        <v>119364</v>
      </c>
      <c r="J12" s="34">
        <f t="shared" si="0"/>
        <v>25830</v>
      </c>
      <c r="K12" s="48">
        <f>SUM(B12:J12)</f>
        <v>9069826</v>
      </c>
    </row>
    <row r="13" spans="2:10" ht="13.5" thickBot="1">
      <c r="B13" s="49">
        <f>C13</f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f>J8-J7</f>
        <v>0.5144627811734961</v>
      </c>
    </row>
    <row r="14" spans="1:11" ht="12.75">
      <c r="A14" s="10" t="s">
        <v>7</v>
      </c>
      <c r="B14" s="11"/>
      <c r="C14" s="11"/>
      <c r="D14" s="11"/>
      <c r="E14" s="11"/>
      <c r="F14" s="11"/>
      <c r="G14" s="11"/>
      <c r="H14" s="11"/>
      <c r="I14" s="11"/>
      <c r="J14" s="12"/>
      <c r="K14" s="7"/>
    </row>
    <row r="15" spans="1:11" ht="12.75">
      <c r="A15" s="13"/>
      <c r="B15" s="7"/>
      <c r="C15" s="7"/>
      <c r="D15" s="7"/>
      <c r="E15" s="7"/>
      <c r="F15" s="7"/>
      <c r="G15" s="7"/>
      <c r="H15" s="7"/>
      <c r="I15" s="7"/>
      <c r="J15" s="8"/>
      <c r="K15" s="7"/>
    </row>
    <row r="16" spans="1:11" ht="12.75">
      <c r="A16" s="14" t="s">
        <v>14</v>
      </c>
      <c r="B16" s="35">
        <f aca="true" t="shared" si="1" ref="B16:J18">B7</f>
        <v>1.0485355245827574</v>
      </c>
      <c r="C16" s="35">
        <f t="shared" si="1"/>
        <v>0.9218059788980253</v>
      </c>
      <c r="D16" s="35">
        <f t="shared" si="1"/>
        <v>0.8650506106877883</v>
      </c>
      <c r="E16" s="35">
        <f>E7</f>
        <v>1.0614891076149258</v>
      </c>
      <c r="F16" s="35">
        <f t="shared" si="1"/>
        <v>1.2222855639290446</v>
      </c>
      <c r="G16" s="35">
        <f t="shared" si="1"/>
        <v>0.7650900981765167</v>
      </c>
      <c r="H16" s="35">
        <f t="shared" si="1"/>
        <v>1.0738338173834518</v>
      </c>
      <c r="I16" s="35">
        <f>I7</f>
        <v>0.7142071693610147</v>
      </c>
      <c r="J16" s="36">
        <f t="shared" si="1"/>
        <v>0.285537218826504</v>
      </c>
      <c r="K16" s="17"/>
    </row>
    <row r="17" spans="1:11" ht="12.75">
      <c r="A17" s="28" t="s">
        <v>15</v>
      </c>
      <c r="B17" s="35">
        <f t="shared" si="1"/>
        <v>0.85</v>
      </c>
      <c r="C17" s="35">
        <f t="shared" si="1"/>
        <v>0.8</v>
      </c>
      <c r="D17" s="35">
        <f t="shared" si="1"/>
        <v>0.8</v>
      </c>
      <c r="E17" s="35">
        <f>E8</f>
        <v>0.8</v>
      </c>
      <c r="F17" s="35">
        <f>F8</f>
        <v>0.8</v>
      </c>
      <c r="G17" s="35">
        <f>G8</f>
        <v>0.7</v>
      </c>
      <c r="H17" s="35">
        <f t="shared" si="1"/>
        <v>0.7</v>
      </c>
      <c r="I17" s="35">
        <f>I8</f>
        <v>0.7</v>
      </c>
      <c r="J17" s="36">
        <f t="shared" si="1"/>
        <v>0.8</v>
      </c>
      <c r="K17" s="17"/>
    </row>
    <row r="18" spans="1:11" ht="12.75">
      <c r="A18" s="28" t="s">
        <v>16</v>
      </c>
      <c r="B18" s="9">
        <f t="shared" si="1"/>
        <v>1.15</v>
      </c>
      <c r="C18" s="9">
        <f t="shared" si="1"/>
        <v>1.2</v>
      </c>
      <c r="D18" s="9">
        <f t="shared" si="1"/>
        <v>1.8</v>
      </c>
      <c r="E18" s="9">
        <f>E9</f>
        <v>1.8</v>
      </c>
      <c r="F18" s="9">
        <f>F9</f>
        <v>1.8</v>
      </c>
      <c r="G18" s="9">
        <f>G9</f>
        <v>1.2</v>
      </c>
      <c r="H18" s="9">
        <f t="shared" si="1"/>
        <v>1.2</v>
      </c>
      <c r="I18" s="9">
        <f>I9</f>
        <v>1.8</v>
      </c>
      <c r="J18" s="24">
        <f t="shared" si="1"/>
        <v>1.2</v>
      </c>
      <c r="K18" s="17"/>
    </row>
    <row r="19" spans="1:11" ht="12.75">
      <c r="A19" s="6"/>
      <c r="B19" s="9"/>
      <c r="C19" s="9"/>
      <c r="D19" s="9"/>
      <c r="E19" s="9"/>
      <c r="F19" s="9"/>
      <c r="G19" s="9"/>
      <c r="H19" s="9"/>
      <c r="I19" s="9"/>
      <c r="J19" s="24"/>
      <c r="K19" s="17"/>
    </row>
    <row r="20" spans="1:11" ht="12.75">
      <c r="A20" s="28" t="s">
        <v>13</v>
      </c>
      <c r="B20" s="27">
        <f aca="true" t="shared" si="2" ref="B20:J20">B12</f>
        <v>5465766</v>
      </c>
      <c r="C20" s="27">
        <f t="shared" si="2"/>
        <v>1146996</v>
      </c>
      <c r="D20" s="27">
        <f t="shared" si="2"/>
        <v>1024664</v>
      </c>
      <c r="E20" s="27">
        <f>E12</f>
        <v>480072</v>
      </c>
      <c r="F20" s="27">
        <f t="shared" si="2"/>
        <v>366735</v>
      </c>
      <c r="G20" s="27">
        <f t="shared" si="2"/>
        <v>23579</v>
      </c>
      <c r="H20" s="27">
        <f t="shared" si="2"/>
        <v>416820</v>
      </c>
      <c r="I20" s="27">
        <f>I12</f>
        <v>119364</v>
      </c>
      <c r="J20" s="29">
        <f t="shared" si="2"/>
        <v>25830</v>
      </c>
      <c r="K20" s="17">
        <f>SUM(B20:J20)</f>
        <v>9069826</v>
      </c>
    </row>
    <row r="21" spans="1:11" ht="12.75">
      <c r="A21" s="28" t="s">
        <v>6</v>
      </c>
      <c r="B21" s="27">
        <v>0</v>
      </c>
      <c r="C21" s="27">
        <v>0</v>
      </c>
      <c r="D21" s="27">
        <v>0</v>
      </c>
      <c r="E21" s="27">
        <v>0</v>
      </c>
      <c r="F21" s="27"/>
      <c r="G21" s="27"/>
      <c r="H21" s="27">
        <v>0</v>
      </c>
      <c r="I21" s="27">
        <v>0</v>
      </c>
      <c r="J21" s="29">
        <f>-J20+J20/J16*J18</f>
        <v>82723.27416645308</v>
      </c>
      <c r="K21" s="17"/>
    </row>
    <row r="22" spans="1:14" ht="12.75">
      <c r="A22" s="28" t="s">
        <v>19</v>
      </c>
      <c r="B22" s="27">
        <f aca="true" t="shared" si="3" ref="B22:J22">B20+B21</f>
        <v>5465766</v>
      </c>
      <c r="C22" s="27">
        <f t="shared" si="3"/>
        <v>1146996</v>
      </c>
      <c r="D22" s="27">
        <f t="shared" si="3"/>
        <v>1024664</v>
      </c>
      <c r="E22" s="27">
        <f>E20+E21</f>
        <v>480072</v>
      </c>
      <c r="F22" s="27">
        <f t="shared" si="3"/>
        <v>366735</v>
      </c>
      <c r="G22" s="27">
        <f t="shared" si="3"/>
        <v>23579</v>
      </c>
      <c r="H22" s="27">
        <f t="shared" si="3"/>
        <v>416820</v>
      </c>
      <c r="I22" s="27">
        <f>I20+I21</f>
        <v>119364</v>
      </c>
      <c r="J22" s="29">
        <f t="shared" si="3"/>
        <v>108553.27416645308</v>
      </c>
      <c r="K22" s="17">
        <f>SUM(B22:J22)</f>
        <v>9152549.274166454</v>
      </c>
      <c r="L22" s="17">
        <f>K20-K22</f>
        <v>-82723.27416645363</v>
      </c>
      <c r="N22" s="44"/>
    </row>
    <row r="23" spans="1:14" ht="12.75">
      <c r="A23" s="6" t="s">
        <v>18</v>
      </c>
      <c r="B23" s="27">
        <f aca="true" t="shared" si="4" ref="B23:I23">B22/($B$22+$C$22+$D$22+$F$22+$E$22+$G$22+$H$22+$I$22)*$L$22</f>
        <v>-49994.05786420965</v>
      </c>
      <c r="C23" s="27">
        <f t="shared" si="4"/>
        <v>-10491.298821430888</v>
      </c>
      <c r="D23" s="27">
        <f t="shared" si="4"/>
        <v>-9372.357197028286</v>
      </c>
      <c r="E23" s="27">
        <f t="shared" si="4"/>
        <v>-4391.1040734248145</v>
      </c>
      <c r="F23" s="27">
        <f t="shared" si="4"/>
        <v>-3354.4375684635834</v>
      </c>
      <c r="G23" s="27">
        <f t="shared" si="4"/>
        <v>-215.67148875019515</v>
      </c>
      <c r="H23" s="27">
        <f t="shared" si="4"/>
        <v>-3812.5531167927543</v>
      </c>
      <c r="I23" s="27">
        <f t="shared" si="4"/>
        <v>-1091.7940363534626</v>
      </c>
      <c r="J23" s="29"/>
      <c r="K23" s="2">
        <f>SUM(B23:J23)</f>
        <v>-82723.27416645363</v>
      </c>
      <c r="N23" s="31"/>
    </row>
    <row r="24" spans="1:11" ht="12.75">
      <c r="A24" s="6" t="s">
        <v>17</v>
      </c>
      <c r="B24" s="17">
        <f aca="true" t="shared" si="5" ref="B24:J24">B22+B23</f>
        <v>5415771.94213579</v>
      </c>
      <c r="C24" s="17">
        <f t="shared" si="5"/>
        <v>1136504.701178569</v>
      </c>
      <c r="D24" s="17">
        <f t="shared" si="5"/>
        <v>1015291.6428029718</v>
      </c>
      <c r="E24" s="17">
        <f>E22+E23</f>
        <v>475680.8959265752</v>
      </c>
      <c r="F24" s="17">
        <f t="shared" si="5"/>
        <v>363380.56243153644</v>
      </c>
      <c r="G24" s="17">
        <f t="shared" si="5"/>
        <v>23363.328511249805</v>
      </c>
      <c r="H24" s="17">
        <f t="shared" si="5"/>
        <v>413007.44688320725</v>
      </c>
      <c r="I24" s="17">
        <f>I22+I23</f>
        <v>118272.20596364654</v>
      </c>
      <c r="J24" s="19">
        <f t="shared" si="5"/>
        <v>108553.27416645308</v>
      </c>
      <c r="K24" s="17">
        <f>SUM(B24:J24)</f>
        <v>9069826</v>
      </c>
    </row>
    <row r="25" spans="1:11" ht="12.75">
      <c r="A25" s="6"/>
      <c r="B25" s="17"/>
      <c r="C25" s="17"/>
      <c r="D25" s="17"/>
      <c r="E25" s="17"/>
      <c r="F25" s="17"/>
      <c r="G25" s="17"/>
      <c r="H25" s="17"/>
      <c r="I25" s="17"/>
      <c r="J25" s="19"/>
      <c r="K25" s="17"/>
    </row>
    <row r="26" spans="1:11" ht="12.75">
      <c r="A26" s="6" t="s">
        <v>20</v>
      </c>
      <c r="B26" s="9">
        <f aca="true" t="shared" si="6" ref="B26:J26">B24/$K24</f>
        <v>0.5971197178574088</v>
      </c>
      <c r="C26" s="9">
        <f t="shared" si="6"/>
        <v>0.12530611956376772</v>
      </c>
      <c r="D26" s="9">
        <f t="shared" si="6"/>
        <v>0.1119416891573192</v>
      </c>
      <c r="E26" s="9">
        <f t="shared" si="6"/>
        <v>0.05244652939610696</v>
      </c>
      <c r="F26" s="9">
        <f t="shared" si="6"/>
        <v>0.04006477769601494</v>
      </c>
      <c r="G26" s="9">
        <f t="shared" si="6"/>
        <v>0.002575940101965551</v>
      </c>
      <c r="H26" s="9">
        <f t="shared" si="6"/>
        <v>0.045536424500669276</v>
      </c>
      <c r="I26" s="9">
        <f t="shared" si="6"/>
        <v>0.013040184669876416</v>
      </c>
      <c r="J26" s="24">
        <f t="shared" si="6"/>
        <v>0.011968617056871111</v>
      </c>
      <c r="K26" s="17"/>
    </row>
    <row r="27" spans="1:11" ht="12.75">
      <c r="A27" s="6"/>
      <c r="B27" s="17"/>
      <c r="C27" s="17"/>
      <c r="D27" s="17"/>
      <c r="E27" s="17"/>
      <c r="F27" s="17"/>
      <c r="G27" s="17"/>
      <c r="H27" s="17"/>
      <c r="I27" s="17"/>
      <c r="J27" s="19"/>
      <c r="K27" s="17"/>
    </row>
    <row r="28" spans="1:11" ht="12.75">
      <c r="A28" s="6" t="s">
        <v>42</v>
      </c>
      <c r="B28" s="17">
        <f aca="true" t="shared" si="7" ref="B28:J28">B26*$K28</f>
        <v>5883881.425487659</v>
      </c>
      <c r="C28" s="17">
        <f t="shared" si="7"/>
        <v>1234737.9048990833</v>
      </c>
      <c r="D28" s="17">
        <f t="shared" si="7"/>
        <v>1103047.85769568</v>
      </c>
      <c r="E28" s="17">
        <f t="shared" si="7"/>
        <v>516796.1313559181</v>
      </c>
      <c r="F28" s="17">
        <f t="shared" si="7"/>
        <v>394789.17585864756</v>
      </c>
      <c r="G28" s="17">
        <f t="shared" si="7"/>
        <v>25382.725885369684</v>
      </c>
      <c r="H28" s="17">
        <f t="shared" si="7"/>
        <v>448705.534735985</v>
      </c>
      <c r="I28" s="17">
        <f t="shared" si="7"/>
        <v>128495.00371437578</v>
      </c>
      <c r="J28" s="19">
        <f t="shared" si="7"/>
        <v>117936.02100829525</v>
      </c>
      <c r="K28" s="17">
        <f>'[3]9. Rev_Reqt'!$F$22</f>
        <v>9853771.780641014</v>
      </c>
    </row>
    <row r="29" spans="1:11" ht="12.75">
      <c r="A29" s="6" t="s">
        <v>27</v>
      </c>
      <c r="B29" s="17">
        <f aca="true" t="shared" si="8" ref="B29:J29">B26*$K$29</f>
        <v>557147.3946413675</v>
      </c>
      <c r="C29" s="17">
        <f t="shared" si="8"/>
        <v>116917.89093497049</v>
      </c>
      <c r="D29" s="17">
        <f t="shared" si="8"/>
        <v>104448.10077540863</v>
      </c>
      <c r="E29" s="17">
        <f t="shared" si="8"/>
        <v>48935.65952883284</v>
      </c>
      <c r="F29" s="17">
        <f t="shared" si="8"/>
        <v>37382.76570453289</v>
      </c>
      <c r="G29" s="17">
        <f t="shared" si="8"/>
        <v>2403.501799793259</v>
      </c>
      <c r="H29" s="17">
        <f t="shared" si="8"/>
        <v>42488.13012383164</v>
      </c>
      <c r="I29" s="17">
        <f t="shared" si="8"/>
        <v>12167.250045825633</v>
      </c>
      <c r="J29" s="19">
        <f t="shared" si="8"/>
        <v>11167.41519543715</v>
      </c>
      <c r="K29" s="17">
        <f>'[1]Other Revenue'!$S$21</f>
        <v>933058.10875</v>
      </c>
    </row>
    <row r="30" spans="1:11" ht="12.75">
      <c r="A30" s="6" t="s">
        <v>32</v>
      </c>
      <c r="B30" s="17">
        <f>B28-B29</f>
        <v>5326734.030846291</v>
      </c>
      <c r="C30" s="17">
        <f aca="true" t="shared" si="9" ref="C30:J30">C28-C29</f>
        <v>1117820.0139641128</v>
      </c>
      <c r="D30" s="17">
        <f t="shared" si="9"/>
        <v>998599.7569202714</v>
      </c>
      <c r="E30" s="17">
        <f>E28-E29</f>
        <v>467860.4718270853</v>
      </c>
      <c r="F30" s="17">
        <f t="shared" si="9"/>
        <v>357406.41015411465</v>
      </c>
      <c r="G30" s="17">
        <f t="shared" si="9"/>
        <v>22979.224085576425</v>
      </c>
      <c r="H30" s="17">
        <f t="shared" si="9"/>
        <v>406217.40461215336</v>
      </c>
      <c r="I30" s="17">
        <f>I28-I29</f>
        <v>116327.75366855014</v>
      </c>
      <c r="J30" s="19">
        <f t="shared" si="9"/>
        <v>106768.6058128581</v>
      </c>
      <c r="K30" s="17">
        <f>SUM(B30:J30)</f>
        <v>8920713.671891015</v>
      </c>
    </row>
    <row r="31" spans="1:11" ht="13.5" thickBot="1">
      <c r="A31" s="21" t="s">
        <v>9</v>
      </c>
      <c r="B31" s="22">
        <f aca="true" t="shared" si="10" ref="B31:J31">B30/$K30</f>
        <v>0.5971197178574087</v>
      </c>
      <c r="C31" s="22">
        <f t="shared" si="10"/>
        <v>0.12530611956376772</v>
      </c>
      <c r="D31" s="22">
        <f t="shared" si="10"/>
        <v>0.11194168915731918</v>
      </c>
      <c r="E31" s="22">
        <f t="shared" si="10"/>
        <v>0.05244652939610695</v>
      </c>
      <c r="F31" s="22">
        <f t="shared" si="10"/>
        <v>0.040064777696014936</v>
      </c>
      <c r="G31" s="22">
        <f t="shared" si="10"/>
        <v>0.0025759401019655507</v>
      </c>
      <c r="H31" s="22">
        <f t="shared" si="10"/>
        <v>0.04553642450066927</v>
      </c>
      <c r="I31" s="22">
        <f t="shared" si="10"/>
        <v>0.013040184669876413</v>
      </c>
      <c r="J31" s="25">
        <f t="shared" si="10"/>
        <v>0.01196861705687111</v>
      </c>
      <c r="K31" s="20"/>
    </row>
    <row r="32" spans="2:10" ht="13.5" thickBot="1">
      <c r="B32" s="49"/>
      <c r="C32" s="49"/>
      <c r="D32" s="49"/>
      <c r="E32" s="49"/>
      <c r="F32" s="49"/>
      <c r="G32" s="49"/>
      <c r="H32" s="49"/>
      <c r="I32" s="49"/>
      <c r="J32" s="49"/>
    </row>
    <row r="33" spans="1:11" ht="12.75">
      <c r="A33" s="10" t="s">
        <v>8</v>
      </c>
      <c r="B33" s="15"/>
      <c r="C33" s="11"/>
      <c r="D33" s="11"/>
      <c r="E33" s="11"/>
      <c r="F33" s="11"/>
      <c r="G33" s="11"/>
      <c r="H33" s="11"/>
      <c r="I33" s="11"/>
      <c r="J33" s="12"/>
      <c r="K33" s="7"/>
    </row>
    <row r="34" spans="1:11" ht="12.75">
      <c r="A34" s="6"/>
      <c r="B34" s="7"/>
      <c r="C34" s="7"/>
      <c r="D34" s="7"/>
      <c r="E34" s="7"/>
      <c r="F34" s="7"/>
      <c r="G34" s="7"/>
      <c r="H34" s="7"/>
      <c r="I34" s="7"/>
      <c r="J34" s="8"/>
      <c r="K34" s="7"/>
    </row>
    <row r="35" spans="1:11" ht="12.75">
      <c r="A35" s="6" t="s">
        <v>44</v>
      </c>
      <c r="B35" s="16">
        <f>B20</f>
        <v>5465766</v>
      </c>
      <c r="C35" s="16">
        <f aca="true" t="shared" si="11" ref="C35:J35">C20</f>
        <v>1146996</v>
      </c>
      <c r="D35" s="16">
        <f t="shared" si="11"/>
        <v>1024664</v>
      </c>
      <c r="E35" s="16">
        <f>E20</f>
        <v>480072</v>
      </c>
      <c r="F35" s="16">
        <f t="shared" si="11"/>
        <v>366735</v>
      </c>
      <c r="G35" s="16">
        <f t="shared" si="11"/>
        <v>23579</v>
      </c>
      <c r="H35" s="16">
        <f t="shared" si="11"/>
        <v>416820</v>
      </c>
      <c r="I35" s="16">
        <f>I20</f>
        <v>119364</v>
      </c>
      <c r="J35" s="18">
        <f t="shared" si="11"/>
        <v>25830</v>
      </c>
      <c r="K35" s="16">
        <f>SUM(B35:J35)</f>
        <v>9069826</v>
      </c>
    </row>
    <row r="36" spans="1:11" ht="12.75">
      <c r="A36" s="37" t="s">
        <v>45</v>
      </c>
      <c r="B36" s="16">
        <f>B35/B16</f>
        <v>5212761.8682018295</v>
      </c>
      <c r="C36" s="16">
        <f aca="true" t="shared" si="12" ref="C36:J36">C35/C16</f>
        <v>1244292.2114382233</v>
      </c>
      <c r="D36" s="16">
        <f t="shared" si="12"/>
        <v>1184513.3537161548</v>
      </c>
      <c r="E36" s="16">
        <f>E35/E16</f>
        <v>452262.7661047604</v>
      </c>
      <c r="F36" s="16">
        <f t="shared" si="12"/>
        <v>300040.35948942084</v>
      </c>
      <c r="G36" s="16">
        <f t="shared" si="12"/>
        <v>30818.59255033778</v>
      </c>
      <c r="H36" s="16">
        <f t="shared" si="12"/>
        <v>388160.6196903362</v>
      </c>
      <c r="I36" s="16">
        <f>I35/I16</f>
        <v>167127.97787621248</v>
      </c>
      <c r="J36" s="18">
        <f t="shared" si="12"/>
        <v>90461.06180537757</v>
      </c>
      <c r="K36" s="16">
        <f>SUM(B36:J36)</f>
        <v>9070438.810872652</v>
      </c>
    </row>
    <row r="37" spans="1:11" ht="12.75">
      <c r="A37" s="6"/>
      <c r="B37" s="16"/>
      <c r="C37" s="16"/>
      <c r="D37" s="16"/>
      <c r="E37" s="16"/>
      <c r="F37" s="16"/>
      <c r="G37" s="16"/>
      <c r="H37" s="16"/>
      <c r="I37" s="16"/>
      <c r="J37" s="18"/>
      <c r="K37" s="16">
        <f>SUM(B37:J37)</f>
        <v>0</v>
      </c>
    </row>
    <row r="38" spans="1:11" ht="12.75">
      <c r="A38" s="6" t="s">
        <v>46</v>
      </c>
      <c r="B38" s="9">
        <f aca="true" t="shared" si="13" ref="B38:J38">B36/$K36</f>
        <v>0.5746978703999789</v>
      </c>
      <c r="C38" s="9">
        <f t="shared" si="13"/>
        <v>0.13718103802725637</v>
      </c>
      <c r="D38" s="9">
        <f t="shared" si="13"/>
        <v>0.13059052361350915</v>
      </c>
      <c r="E38" s="9">
        <f t="shared" si="13"/>
        <v>0.049861178222451286</v>
      </c>
      <c r="F38" s="9">
        <f t="shared" si="13"/>
        <v>0.03307892437681904</v>
      </c>
      <c r="G38" s="9">
        <f t="shared" si="13"/>
        <v>0.0033976958770060624</v>
      </c>
      <c r="H38" s="9">
        <f t="shared" si="13"/>
        <v>0.04279402879881088</v>
      </c>
      <c r="I38" s="9">
        <f t="shared" si="13"/>
        <v>0.01842556698314063</v>
      </c>
      <c r="J38" s="24">
        <f t="shared" si="13"/>
        <v>0.009973173701027863</v>
      </c>
      <c r="K38" s="17"/>
    </row>
    <row r="39" spans="1:11" ht="12.75">
      <c r="A39" s="6"/>
      <c r="B39" s="16"/>
      <c r="C39" s="16"/>
      <c r="D39" s="16"/>
      <c r="E39" s="16"/>
      <c r="F39" s="16"/>
      <c r="G39" s="16"/>
      <c r="H39" s="16"/>
      <c r="I39" s="16"/>
      <c r="J39" s="19"/>
      <c r="K39" s="23"/>
    </row>
    <row r="40" spans="1:13" ht="12.75">
      <c r="A40" s="6" t="s">
        <v>42</v>
      </c>
      <c r="B40" s="17">
        <f aca="true" t="shared" si="14" ref="B40:J40">B38*$K40</f>
        <v>5662941.657741798</v>
      </c>
      <c r="C40" s="17">
        <f t="shared" si="14"/>
        <v>1351750.6413520207</v>
      </c>
      <c r="D40" s="17">
        <f t="shared" si="14"/>
        <v>1286809.2164019304</v>
      </c>
      <c r="E40" s="17">
        <f t="shared" si="14"/>
        <v>491320.6709179027</v>
      </c>
      <c r="F40" s="17">
        <f t="shared" si="14"/>
        <v>325952.17155825754</v>
      </c>
      <c r="G40" s="17">
        <f t="shared" si="14"/>
        <v>33480.11975204266</v>
      </c>
      <c r="H40" s="17">
        <f t="shared" si="14"/>
        <v>421682.59335766156</v>
      </c>
      <c r="I40" s="17">
        <f t="shared" si="14"/>
        <v>181561.3319807819</v>
      </c>
      <c r="J40" s="19">
        <f t="shared" si="14"/>
        <v>98273.37757861945</v>
      </c>
      <c r="K40" s="17">
        <f>K28</f>
        <v>9853771.780641014</v>
      </c>
      <c r="M40" s="31"/>
    </row>
    <row r="41" spans="1:13" ht="12.75">
      <c r="A41" s="6" t="s">
        <v>27</v>
      </c>
      <c r="B41" s="38">
        <f>B29</f>
        <v>557147.3946413675</v>
      </c>
      <c r="C41" s="38">
        <f aca="true" t="shared" si="15" ref="C41:J41">C29</f>
        <v>116917.89093497049</v>
      </c>
      <c r="D41" s="38">
        <f t="shared" si="15"/>
        <v>104448.10077540863</v>
      </c>
      <c r="E41" s="38">
        <f>E29</f>
        <v>48935.65952883284</v>
      </c>
      <c r="F41" s="38">
        <f t="shared" si="15"/>
        <v>37382.76570453289</v>
      </c>
      <c r="G41" s="38">
        <f t="shared" si="15"/>
        <v>2403.501799793259</v>
      </c>
      <c r="H41" s="38">
        <f t="shared" si="15"/>
        <v>42488.13012383164</v>
      </c>
      <c r="I41" s="38">
        <f>I29</f>
        <v>12167.250045825633</v>
      </c>
      <c r="J41" s="40">
        <f t="shared" si="15"/>
        <v>11167.41519543715</v>
      </c>
      <c r="K41" s="39">
        <f>SUM(B41:J41)</f>
        <v>933058.10875</v>
      </c>
      <c r="L41" s="30"/>
      <c r="M41" s="32"/>
    </row>
    <row r="42" spans="1:12" ht="12.75">
      <c r="A42" s="6" t="s">
        <v>47</v>
      </c>
      <c r="B42" s="17">
        <f aca="true" t="shared" si="16" ref="B42:J42">B40-B41</f>
        <v>5105794.26310043</v>
      </c>
      <c r="C42" s="17">
        <f t="shared" si="16"/>
        <v>1234832.7504170502</v>
      </c>
      <c r="D42" s="17">
        <f t="shared" si="16"/>
        <v>1182361.1156265219</v>
      </c>
      <c r="E42" s="17">
        <f>E40-E41</f>
        <v>442385.0113890699</v>
      </c>
      <c r="F42" s="17">
        <f t="shared" si="16"/>
        <v>288569.40585372463</v>
      </c>
      <c r="G42" s="17">
        <f t="shared" si="16"/>
        <v>31076.6179522494</v>
      </c>
      <c r="H42" s="17">
        <f t="shared" si="16"/>
        <v>379194.46323382994</v>
      </c>
      <c r="I42" s="17">
        <f>I40-I41</f>
        <v>169394.08193495625</v>
      </c>
      <c r="J42" s="19">
        <f t="shared" si="16"/>
        <v>87105.9623831823</v>
      </c>
      <c r="K42" s="39">
        <f>SUM(B42:J42)</f>
        <v>8920713.671891015</v>
      </c>
      <c r="L42" s="30"/>
    </row>
    <row r="43" spans="1:11" ht="13.5" thickBot="1">
      <c r="A43" s="21" t="s">
        <v>10</v>
      </c>
      <c r="B43" s="22">
        <f aca="true" t="shared" si="17" ref="B43:J43">B42/$K$42</f>
        <v>0.5723526671625705</v>
      </c>
      <c r="C43" s="22">
        <f t="shared" si="17"/>
        <v>0.13842308988214505</v>
      </c>
      <c r="D43" s="22">
        <f t="shared" si="17"/>
        <v>0.1325410902215276</v>
      </c>
      <c r="E43" s="22">
        <f t="shared" si="17"/>
        <v>0.04959076455766268</v>
      </c>
      <c r="F43" s="22">
        <f t="shared" si="17"/>
        <v>0.03234824213257745</v>
      </c>
      <c r="G43" s="22">
        <f t="shared" si="17"/>
        <v>0.0034836470595588313</v>
      </c>
      <c r="H43" s="22">
        <f t="shared" si="17"/>
        <v>0.04250718913091717</v>
      </c>
      <c r="I43" s="22">
        <f t="shared" si="17"/>
        <v>0.0189888486689931</v>
      </c>
      <c r="J43" s="25">
        <f t="shared" si="17"/>
        <v>0.009764461184047571</v>
      </c>
      <c r="K43" s="20"/>
    </row>
    <row r="44" ht="12.75">
      <c r="B44" s="49"/>
    </row>
    <row r="45" spans="1:10" ht="12.75" hidden="1">
      <c r="A45" s="10" t="s">
        <v>21</v>
      </c>
      <c r="B45" s="11"/>
      <c r="C45" s="11"/>
      <c r="D45" s="11"/>
      <c r="E45" s="11"/>
      <c r="F45" s="11"/>
      <c r="G45" s="11"/>
      <c r="H45" s="11"/>
      <c r="I45" s="11"/>
      <c r="J45" s="12"/>
    </row>
    <row r="46" spans="1:10" ht="12.75" hidden="1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 hidden="1">
      <c r="A47" s="6" t="s">
        <v>11</v>
      </c>
      <c r="B47" s="20">
        <v>1</v>
      </c>
      <c r="C47" s="20">
        <v>1</v>
      </c>
      <c r="D47" s="20">
        <v>1</v>
      </c>
      <c r="E47" s="20">
        <v>1</v>
      </c>
      <c r="F47" s="20">
        <f>D47</f>
        <v>1</v>
      </c>
      <c r="G47" s="20">
        <f>F47</f>
        <v>1</v>
      </c>
      <c r="H47" s="32">
        <v>0.7</v>
      </c>
      <c r="I47" s="32">
        <v>0.7</v>
      </c>
      <c r="J47" s="26">
        <v>1</v>
      </c>
    </row>
    <row r="48" spans="1:10" ht="12.75" hidden="1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1" ht="12.75" hidden="1">
      <c r="A49" s="37" t="str">
        <f aca="true" t="shared" si="18" ref="A49:J49">A36</f>
        <v>2012 Total Revenue @ 100% RC</v>
      </c>
      <c r="B49" s="17">
        <f t="shared" si="18"/>
        <v>5212761.8682018295</v>
      </c>
      <c r="C49" s="17">
        <f t="shared" si="18"/>
        <v>1244292.2114382233</v>
      </c>
      <c r="D49" s="17">
        <f t="shared" si="18"/>
        <v>1184513.3537161548</v>
      </c>
      <c r="E49" s="17">
        <f t="shared" si="18"/>
        <v>452262.7661047604</v>
      </c>
      <c r="F49" s="17">
        <f t="shared" si="18"/>
        <v>300040.35948942084</v>
      </c>
      <c r="G49" s="17">
        <f t="shared" si="18"/>
        <v>30818.59255033778</v>
      </c>
      <c r="H49" s="17">
        <f t="shared" si="18"/>
        <v>388160.6196903362</v>
      </c>
      <c r="I49" s="17">
        <f t="shared" si="18"/>
        <v>167127.97787621248</v>
      </c>
      <c r="J49" s="19">
        <f t="shared" si="18"/>
        <v>90461.06180537757</v>
      </c>
      <c r="K49" s="5">
        <f>SUM(B49:J49)</f>
        <v>9070438.810872652</v>
      </c>
    </row>
    <row r="50" spans="1:11" ht="12.75" hidden="1">
      <c r="A50" s="6" t="s">
        <v>22</v>
      </c>
      <c r="B50" s="17"/>
      <c r="C50" s="17"/>
      <c r="D50" s="17"/>
      <c r="E50" s="17"/>
      <c r="F50" s="17"/>
      <c r="G50" s="17"/>
      <c r="H50" s="17">
        <f>H49*H47-H49</f>
        <v>-116448.18590710091</v>
      </c>
      <c r="I50" s="17">
        <f>I49*I47-I49</f>
        <v>-50138.393362863746</v>
      </c>
      <c r="J50" s="19"/>
      <c r="K50" s="5">
        <f>SUM(B50:J50)</f>
        <v>-166586.57926996466</v>
      </c>
    </row>
    <row r="51" spans="1:11" ht="12.75" hidden="1">
      <c r="A51" s="6" t="s">
        <v>23</v>
      </c>
      <c r="B51" s="17">
        <f aca="true" t="shared" si="19" ref="B51:G51">-$H50*B49/($K49-$H49)</f>
        <v>69914.44523561762</v>
      </c>
      <c r="C51" s="17">
        <f t="shared" si="19"/>
        <v>16688.65792707164</v>
      </c>
      <c r="D51" s="17">
        <f t="shared" si="19"/>
        <v>15886.893760564823</v>
      </c>
      <c r="E51" s="17">
        <f t="shared" si="19"/>
        <v>6065.824833822229</v>
      </c>
      <c r="F51" s="17">
        <f t="shared" si="19"/>
        <v>4024.192129312503</v>
      </c>
      <c r="G51" s="17">
        <f t="shared" si="19"/>
        <v>413.34418405778194</v>
      </c>
      <c r="H51" s="17">
        <v>0</v>
      </c>
      <c r="I51" s="17">
        <v>0</v>
      </c>
      <c r="J51" s="19">
        <f>-$H50*J49/($K49-$H49)</f>
        <v>1213.2790853401432</v>
      </c>
      <c r="K51" s="5">
        <f>SUM(B51:J51)</f>
        <v>114206.63715578674</v>
      </c>
    </row>
    <row r="52" spans="1:11" ht="12.75" hidden="1">
      <c r="A52" s="6"/>
      <c r="B52" s="17"/>
      <c r="C52" s="17"/>
      <c r="D52" s="17"/>
      <c r="E52" s="17"/>
      <c r="F52" s="17"/>
      <c r="G52" s="17"/>
      <c r="H52" s="17"/>
      <c r="I52" s="17"/>
      <c r="J52" s="19"/>
      <c r="K52" s="43">
        <f>SUM(B52:J52)</f>
        <v>0</v>
      </c>
    </row>
    <row r="53" spans="1:11" ht="12.75" hidden="1">
      <c r="A53" s="6" t="s">
        <v>24</v>
      </c>
      <c r="B53" s="17">
        <f aca="true" t="shared" si="20" ref="B53:J53">B49+B50+B51</f>
        <v>5282676.313437447</v>
      </c>
      <c r="C53" s="17">
        <f t="shared" si="20"/>
        <v>1260980.869365295</v>
      </c>
      <c r="D53" s="17">
        <f t="shared" si="20"/>
        <v>1200400.2474767196</v>
      </c>
      <c r="E53" s="17">
        <f>E49+E50+E51</f>
        <v>458328.5909385826</v>
      </c>
      <c r="F53" s="17">
        <f t="shared" si="20"/>
        <v>304064.5516187333</v>
      </c>
      <c r="G53" s="17">
        <f t="shared" si="20"/>
        <v>31231.936734395564</v>
      </c>
      <c r="H53" s="17">
        <f t="shared" si="20"/>
        <v>271712.4337832353</v>
      </c>
      <c r="I53" s="17">
        <f>I49+I50+I51</f>
        <v>116989.58451334873</v>
      </c>
      <c r="J53" s="19">
        <f t="shared" si="20"/>
        <v>91674.3408907177</v>
      </c>
      <c r="K53" s="5">
        <f>SUM(B53:J53)</f>
        <v>9018058.868758475</v>
      </c>
    </row>
    <row r="54" spans="1:12" ht="12.75" customHeight="1" hidden="1">
      <c r="A54" s="6"/>
      <c r="B54" s="20"/>
      <c r="C54" s="20"/>
      <c r="D54" s="20"/>
      <c r="E54" s="20"/>
      <c r="F54" s="20"/>
      <c r="G54" s="20"/>
      <c r="H54" s="32"/>
      <c r="I54" s="32"/>
      <c r="J54" s="26"/>
      <c r="K54" s="30"/>
      <c r="L54" s="30"/>
    </row>
    <row r="55" spans="1:12" ht="12.75" hidden="1">
      <c r="A55" s="6" t="s">
        <v>25</v>
      </c>
      <c r="B55" s="9">
        <f aca="true" t="shared" si="21" ref="B55:J55">B53/$K53</f>
        <v>0.5857886259468074</v>
      </c>
      <c r="C55" s="9">
        <f t="shared" si="21"/>
        <v>0.1398284140430429</v>
      </c>
      <c r="D55" s="9">
        <f t="shared" si="21"/>
        <v>0.13311071317523787</v>
      </c>
      <c r="E55" s="9">
        <f t="shared" si="21"/>
        <v>0.05082341971911314</v>
      </c>
      <c r="F55" s="9">
        <f t="shared" si="21"/>
        <v>0.03371729504584551</v>
      </c>
      <c r="G55" s="9">
        <f t="shared" si="21"/>
        <v>0.003463266007565472</v>
      </c>
      <c r="H55" s="9">
        <f t="shared" si="21"/>
        <v>0.030129813714627283</v>
      </c>
      <c r="I55" s="9">
        <f t="shared" si="21"/>
        <v>0.012972812244399863</v>
      </c>
      <c r="J55" s="24">
        <f t="shared" si="21"/>
        <v>0.01016564010336058</v>
      </c>
      <c r="K55" s="46">
        <f>SUM(B55:J55)</f>
        <v>1</v>
      </c>
      <c r="L55" s="30"/>
    </row>
    <row r="56" spans="1:12" ht="12.75" hidden="1">
      <c r="A56" s="6"/>
      <c r="B56" s="9"/>
      <c r="C56" s="9"/>
      <c r="D56" s="9"/>
      <c r="E56" s="9"/>
      <c r="F56" s="9"/>
      <c r="G56" s="9"/>
      <c r="H56" s="9"/>
      <c r="I56" s="9"/>
      <c r="J56" s="24"/>
      <c r="K56" s="30"/>
      <c r="L56" s="30"/>
    </row>
    <row r="57" spans="1:12" ht="12.75" hidden="1">
      <c r="A57" s="6" t="s">
        <v>28</v>
      </c>
      <c r="B57" s="17">
        <f aca="true" t="shared" si="22" ref="B57:J57">B55*$K57</f>
        <v>5772227.431775125</v>
      </c>
      <c r="C57" s="17">
        <f t="shared" si="22"/>
        <v>1377837.2804291237</v>
      </c>
      <c r="D57" s="17">
        <f t="shared" si="22"/>
        <v>1311642.589187159</v>
      </c>
      <c r="E57" s="17">
        <f t="shared" si="22"/>
        <v>500802.3790238711</v>
      </c>
      <c r="F57" s="17">
        <f t="shared" si="22"/>
        <v>332242.53044229955</v>
      </c>
      <c r="G57" s="17">
        <f t="shared" si="22"/>
        <v>34126.23285420192</v>
      </c>
      <c r="H57" s="17">
        <f t="shared" si="22"/>
        <v>296892.3081371649</v>
      </c>
      <c r="I57" s="17">
        <f t="shared" si="22"/>
        <v>127831.13120942158</v>
      </c>
      <c r="J57" s="19">
        <f t="shared" si="22"/>
        <v>100169.89758264709</v>
      </c>
      <c r="K57" s="39">
        <f>K40</f>
        <v>9853771.780641014</v>
      </c>
      <c r="L57" s="30"/>
    </row>
    <row r="58" spans="1:12" ht="12.75" hidden="1">
      <c r="A58" s="6" t="s">
        <v>27</v>
      </c>
      <c r="B58" s="38">
        <f aca="true" t="shared" si="23" ref="B58:J58">B41</f>
        <v>557147.3946413675</v>
      </c>
      <c r="C58" s="38">
        <f t="shared" si="23"/>
        <v>116917.89093497049</v>
      </c>
      <c r="D58" s="38">
        <f t="shared" si="23"/>
        <v>104448.10077540863</v>
      </c>
      <c r="E58" s="38">
        <f>E41</f>
        <v>48935.65952883284</v>
      </c>
      <c r="F58" s="38">
        <f t="shared" si="23"/>
        <v>37382.76570453289</v>
      </c>
      <c r="G58" s="38">
        <f t="shared" si="23"/>
        <v>2403.501799793259</v>
      </c>
      <c r="H58" s="38">
        <f t="shared" si="23"/>
        <v>42488.13012383164</v>
      </c>
      <c r="I58" s="38">
        <f>I41</f>
        <v>12167.250045825633</v>
      </c>
      <c r="J58" s="40">
        <f t="shared" si="23"/>
        <v>11167.41519543715</v>
      </c>
      <c r="K58" s="39">
        <f>SUM(B58:J58)</f>
        <v>933058.10875</v>
      </c>
      <c r="L58" s="30"/>
    </row>
    <row r="59" spans="1:12" ht="12.75" hidden="1">
      <c r="A59" s="6" t="s">
        <v>29</v>
      </c>
      <c r="B59" s="38">
        <f aca="true" t="shared" si="24" ref="B59:J59">B57-B58</f>
        <v>5215080.037133757</v>
      </c>
      <c r="C59" s="38">
        <f t="shared" si="24"/>
        <v>1260919.3894941532</v>
      </c>
      <c r="D59" s="38">
        <f t="shared" si="24"/>
        <v>1207194.4884117504</v>
      </c>
      <c r="E59" s="38">
        <f>E57-E58</f>
        <v>451866.71949503827</v>
      </c>
      <c r="F59" s="38">
        <f t="shared" si="24"/>
        <v>294859.76473776664</v>
      </c>
      <c r="G59" s="38">
        <f t="shared" si="24"/>
        <v>31722.731054408658</v>
      </c>
      <c r="H59" s="38">
        <f t="shared" si="24"/>
        <v>254404.1780133333</v>
      </c>
      <c r="I59" s="38">
        <f>I57-I58</f>
        <v>115663.88116359594</v>
      </c>
      <c r="J59" s="40">
        <f t="shared" si="24"/>
        <v>89002.48238720994</v>
      </c>
      <c r="K59" s="39">
        <f>SUM(B59:J59)</f>
        <v>8920713.671891013</v>
      </c>
      <c r="L59" s="30"/>
    </row>
    <row r="60" spans="1:12" s="42" customFormat="1" ht="13.5" hidden="1" thickBot="1">
      <c r="A60" s="21" t="str">
        <f>A43</f>
        <v>New BRR %</v>
      </c>
      <c r="B60" s="22">
        <f aca="true" t="shared" si="25" ref="B60:J60">B59/$K59</f>
        <v>0.5846034553901632</v>
      </c>
      <c r="C60" s="22">
        <f t="shared" si="25"/>
        <v>0.14134736702370398</v>
      </c>
      <c r="D60" s="22">
        <f t="shared" si="25"/>
        <v>0.13532487789800896</v>
      </c>
      <c r="E60" s="22">
        <f t="shared" si="25"/>
        <v>0.05065365127891741</v>
      </c>
      <c r="F60" s="22">
        <f t="shared" si="25"/>
        <v>0.033053382899942606</v>
      </c>
      <c r="G60" s="22">
        <f t="shared" si="25"/>
        <v>0.003556075468980283</v>
      </c>
      <c r="H60" s="22">
        <f t="shared" si="25"/>
        <v>0.028518366060212835</v>
      </c>
      <c r="I60" s="22">
        <f t="shared" si="25"/>
        <v>0.012965765455296529</v>
      </c>
      <c r="J60" s="25">
        <f t="shared" si="25"/>
        <v>0.009977058524774195</v>
      </c>
      <c r="K60" s="41"/>
      <c r="L60" s="41"/>
    </row>
    <row r="61" ht="12.75" hidden="1"/>
    <row r="62" spans="1:10" ht="12.75" hidden="1">
      <c r="A62" t="s">
        <v>31</v>
      </c>
      <c r="B62" s="45">
        <f>B57/B40</f>
        <v>1.0192984107268566</v>
      </c>
      <c r="C62" s="45">
        <f aca="true" t="shared" si="26" ref="C62:J62">C57/C40</f>
        <v>1.0192984107268566</v>
      </c>
      <c r="D62" s="45">
        <f t="shared" si="26"/>
        <v>1.0192984107268563</v>
      </c>
      <c r="E62" s="45">
        <f>E57/E40</f>
        <v>1.0192984107268566</v>
      </c>
      <c r="F62" s="45">
        <f t="shared" si="26"/>
        <v>1.0192984107268563</v>
      </c>
      <c r="G62" s="45">
        <f t="shared" si="26"/>
        <v>1.0192984107268566</v>
      </c>
      <c r="H62" s="45">
        <f t="shared" si="26"/>
        <v>0.7040658372287794</v>
      </c>
      <c r="I62" s="45">
        <f>I57/I40</f>
        <v>0.7040658372287795</v>
      </c>
      <c r="J62" s="45">
        <f t="shared" si="26"/>
        <v>1.0192984107268563</v>
      </c>
    </row>
    <row r="63" ht="12.75" hidden="1"/>
    <row r="64" spans="1:11" ht="12.75" hidden="1">
      <c r="A64" s="10" t="s">
        <v>33</v>
      </c>
      <c r="B64" s="15"/>
      <c r="C64" s="11"/>
      <c r="D64" s="11"/>
      <c r="E64" s="11"/>
      <c r="F64" s="11"/>
      <c r="G64" s="11"/>
      <c r="H64" s="11"/>
      <c r="I64" s="11"/>
      <c r="J64" s="12"/>
      <c r="K64" s="7"/>
    </row>
    <row r="65" spans="1:11" ht="12.75" hidden="1">
      <c r="A65" s="6"/>
      <c r="B65" s="7"/>
      <c r="C65" s="7"/>
      <c r="D65" s="7"/>
      <c r="E65" s="7"/>
      <c r="F65" s="7"/>
      <c r="G65" s="7"/>
      <c r="H65" s="7"/>
      <c r="I65" s="7"/>
      <c r="J65" s="8"/>
      <c r="K65" s="7"/>
    </row>
    <row r="66" spans="1:11" ht="12.75" hidden="1">
      <c r="A66" s="6" t="s">
        <v>13</v>
      </c>
      <c r="B66" s="16">
        <f>B35</f>
        <v>5465766</v>
      </c>
      <c r="C66" s="16">
        <f aca="true" t="shared" si="27" ref="C66:J66">C35</f>
        <v>1146996</v>
      </c>
      <c r="D66" s="16">
        <f t="shared" si="27"/>
        <v>1024664</v>
      </c>
      <c r="E66" s="16">
        <f>E35</f>
        <v>480072</v>
      </c>
      <c r="F66" s="16">
        <f t="shared" si="27"/>
        <v>366735</v>
      </c>
      <c r="G66" s="16">
        <f t="shared" si="27"/>
        <v>23579</v>
      </c>
      <c r="H66" s="16">
        <f t="shared" si="27"/>
        <v>416820</v>
      </c>
      <c r="I66" s="16">
        <f>I35</f>
        <v>119364</v>
      </c>
      <c r="J66" s="18">
        <f t="shared" si="27"/>
        <v>25830</v>
      </c>
      <c r="K66" s="16">
        <f>SUM(B66:J66)</f>
        <v>9069826</v>
      </c>
    </row>
    <row r="67" spans="1:11" ht="12.75" hidden="1">
      <c r="A67" s="37" t="s">
        <v>30</v>
      </c>
      <c r="B67" s="16">
        <f>B35+((B36-B35)/2)</f>
        <v>5339263.934100915</v>
      </c>
      <c r="C67" s="16">
        <f aca="true" t="shared" si="28" ref="C67:J67">C35+((C36-C35)/2)</f>
        <v>1195644.1057191116</v>
      </c>
      <c r="D67" s="16">
        <f t="shared" si="28"/>
        <v>1104588.6768580773</v>
      </c>
      <c r="E67" s="16">
        <f>E35+((E36-E35)/2)</f>
        <v>466167.3830523802</v>
      </c>
      <c r="F67" s="16">
        <f t="shared" si="28"/>
        <v>333387.67974471045</v>
      </c>
      <c r="G67" s="16">
        <f t="shared" si="28"/>
        <v>27198.79627516889</v>
      </c>
      <c r="H67" s="16">
        <f t="shared" si="28"/>
        <v>402490.30984516814</v>
      </c>
      <c r="I67" s="16">
        <f>I35+((I36-I35)/2)</f>
        <v>143245.98893810622</v>
      </c>
      <c r="J67" s="18">
        <f t="shared" si="28"/>
        <v>58145.530902688784</v>
      </c>
      <c r="K67" s="16">
        <f>SUM(B67:J67)</f>
        <v>9070132.405436326</v>
      </c>
    </row>
    <row r="68" spans="1:11" ht="12.75" hidden="1">
      <c r="A68" s="6"/>
      <c r="B68" s="16"/>
      <c r="C68" s="16"/>
      <c r="D68" s="16"/>
      <c r="E68" s="16"/>
      <c r="F68" s="16"/>
      <c r="G68" s="16"/>
      <c r="H68" s="16"/>
      <c r="I68" s="16"/>
      <c r="J68" s="18"/>
      <c r="K68" s="16">
        <f>SUM(B68:J68)</f>
        <v>0</v>
      </c>
    </row>
    <row r="69" spans="1:11" ht="12.75" hidden="1">
      <c r="A69" s="6" t="s">
        <v>20</v>
      </c>
      <c r="B69" s="9">
        <f>B38-0.02</f>
        <v>0.5546978703999789</v>
      </c>
      <c r="C69" s="9">
        <f aca="true" t="shared" si="29" ref="C69:J69">C67/$K67</f>
        <v>0.13182212257480205</v>
      </c>
      <c r="D69" s="9">
        <f t="shared" si="29"/>
        <v>0.12178308182094727</v>
      </c>
      <c r="E69" s="9">
        <f t="shared" si="29"/>
        <v>0.051395874085914714</v>
      </c>
      <c r="F69" s="9">
        <f t="shared" si="29"/>
        <v>0.03675664972044833</v>
      </c>
      <c r="G69" s="9">
        <f t="shared" si="29"/>
        <v>0.0029987209733417855</v>
      </c>
      <c r="H69" s="9">
        <f t="shared" si="29"/>
        <v>0.04437535108130607</v>
      </c>
      <c r="I69" s="9">
        <f t="shared" si="29"/>
        <v>0.015793153014199604</v>
      </c>
      <c r="J69" s="24">
        <f t="shared" si="29"/>
        <v>0.006410659547575992</v>
      </c>
      <c r="K69" s="17"/>
    </row>
    <row r="70" spans="1:11" ht="12.75" hidden="1">
      <c r="A70" s="6"/>
      <c r="B70" s="16"/>
      <c r="C70" s="16"/>
      <c r="D70" s="16"/>
      <c r="E70" s="16"/>
      <c r="F70" s="16"/>
      <c r="G70" s="16"/>
      <c r="H70" s="16"/>
      <c r="I70" s="16"/>
      <c r="J70" s="19"/>
      <c r="K70" s="23"/>
    </row>
    <row r="71" spans="1:13" ht="12.75" hidden="1">
      <c r="A71" s="6" t="s">
        <v>28</v>
      </c>
      <c r="B71" s="17">
        <f aca="true" t="shared" si="30" ref="B71:J71">B69*$K$28</f>
        <v>5465866.222128978</v>
      </c>
      <c r="C71" s="17">
        <f t="shared" si="30"/>
        <v>1298945.1114917852</v>
      </c>
      <c r="D71" s="17">
        <f t="shared" si="30"/>
        <v>1200022.6950067459</v>
      </c>
      <c r="E71" s="17">
        <f t="shared" si="30"/>
        <v>506443.21370916517</v>
      </c>
      <c r="F71" s="17">
        <f t="shared" si="30"/>
        <v>362191.63776626013</v>
      </c>
      <c r="G71" s="17">
        <f t="shared" si="30"/>
        <v>29548.71210513164</v>
      </c>
      <c r="H71" s="17">
        <f t="shared" si="30"/>
        <v>437264.5822410115</v>
      </c>
      <c r="I71" s="17">
        <f t="shared" si="30"/>
        <v>155622.1254986656</v>
      </c>
      <c r="J71" s="19">
        <f t="shared" si="30"/>
        <v>63169.1761452012</v>
      </c>
      <c r="K71" s="17">
        <f>SUM(B71:J71)</f>
        <v>9519073.476092944</v>
      </c>
      <c r="M71" s="31"/>
    </row>
    <row r="72" spans="1:13" ht="12.75" hidden="1">
      <c r="A72" s="6" t="s">
        <v>27</v>
      </c>
      <c r="B72" s="38">
        <f>B58</f>
        <v>557147.3946413675</v>
      </c>
      <c r="C72" s="38">
        <f aca="true" t="shared" si="31" ref="C72:L72">C58</f>
        <v>116917.89093497049</v>
      </c>
      <c r="D72" s="38">
        <f t="shared" si="31"/>
        <v>104448.10077540863</v>
      </c>
      <c r="E72" s="38">
        <f>E58</f>
        <v>48935.65952883284</v>
      </c>
      <c r="F72" s="38">
        <f t="shared" si="31"/>
        <v>37382.76570453289</v>
      </c>
      <c r="G72" s="38">
        <f t="shared" si="31"/>
        <v>2403.501799793259</v>
      </c>
      <c r="H72" s="38">
        <f t="shared" si="31"/>
        <v>42488.13012383164</v>
      </c>
      <c r="I72" s="38">
        <f>I58</f>
        <v>12167.250045825633</v>
      </c>
      <c r="J72" s="40">
        <f t="shared" si="31"/>
        <v>11167.41519543715</v>
      </c>
      <c r="K72" s="38">
        <f t="shared" si="31"/>
        <v>933058.10875</v>
      </c>
      <c r="L72" s="38">
        <f t="shared" si="31"/>
        <v>0</v>
      </c>
      <c r="M72" s="32"/>
    </row>
    <row r="73" spans="1:12" ht="12.75" hidden="1">
      <c r="A73" s="6" t="s">
        <v>29</v>
      </c>
      <c r="B73" s="17">
        <f aca="true" t="shared" si="32" ref="B73:J73">B71-B72</f>
        <v>4908718.82748761</v>
      </c>
      <c r="C73" s="17">
        <f t="shared" si="32"/>
        <v>1182027.2205568147</v>
      </c>
      <c r="D73" s="17">
        <f t="shared" si="32"/>
        <v>1095574.5942313373</v>
      </c>
      <c r="E73" s="17">
        <f>E71-E72</f>
        <v>457507.55418033234</v>
      </c>
      <c r="F73" s="17">
        <f t="shared" si="32"/>
        <v>324808.8720617272</v>
      </c>
      <c r="G73" s="17">
        <f t="shared" si="32"/>
        <v>27145.21030533838</v>
      </c>
      <c r="H73" s="17">
        <f t="shared" si="32"/>
        <v>394776.45211717987</v>
      </c>
      <c r="I73" s="17">
        <f>I71-I72</f>
        <v>143454.87545283997</v>
      </c>
      <c r="J73" s="19">
        <f t="shared" si="32"/>
        <v>52001.76094976405</v>
      </c>
      <c r="K73" s="39">
        <f>SUM(B73:J73)</f>
        <v>8586015.367342945</v>
      </c>
      <c r="L73" s="30"/>
    </row>
    <row r="74" spans="1:11" ht="13.5" hidden="1" thickBot="1">
      <c r="A74" s="21" t="s">
        <v>10</v>
      </c>
      <c r="B74" s="22">
        <f aca="true" t="shared" si="33" ref="B74:J74">B71/$K$40</f>
        <v>0.5546978703999789</v>
      </c>
      <c r="C74" s="22">
        <f t="shared" si="33"/>
        <v>0.13182212257480205</v>
      </c>
      <c r="D74" s="22">
        <f t="shared" si="33"/>
        <v>0.12178308182094727</v>
      </c>
      <c r="E74" s="22">
        <f t="shared" si="33"/>
        <v>0.051395874085914714</v>
      </c>
      <c r="F74" s="22">
        <f t="shared" si="33"/>
        <v>0.03675664972044833</v>
      </c>
      <c r="G74" s="22">
        <f t="shared" si="33"/>
        <v>0.0029987209733417855</v>
      </c>
      <c r="H74" s="22">
        <f t="shared" si="33"/>
        <v>0.04437535108130607</v>
      </c>
      <c r="I74" s="22">
        <f t="shared" si="33"/>
        <v>0.015793153014199604</v>
      </c>
      <c r="J74" s="25">
        <f t="shared" si="33"/>
        <v>0.006410659547575992</v>
      </c>
      <c r="K74" s="20"/>
    </row>
    <row r="75" ht="12.75" hidden="1"/>
    <row r="76" spans="2:10" ht="12.75" hidden="1">
      <c r="B76" s="45">
        <f>B73/B42</f>
        <v>0.9614016105119856</v>
      </c>
      <c r="C76" s="45">
        <f aca="true" t="shared" si="34" ref="C76:J76">C73/C42</f>
        <v>0.9572366947326258</v>
      </c>
      <c r="D76" s="45">
        <f t="shared" si="34"/>
        <v>0.9265989719653481</v>
      </c>
      <c r="E76" s="45">
        <f>E73/E42</f>
        <v>1.0341841210753915</v>
      </c>
      <c r="F76" s="45">
        <f t="shared" si="34"/>
        <v>1.125583188906631</v>
      </c>
      <c r="G76" s="45">
        <f t="shared" si="34"/>
        <v>0.8734930662998206</v>
      </c>
      <c r="H76" s="45">
        <f t="shared" si="34"/>
        <v>1.0410923428323935</v>
      </c>
      <c r="I76" s="45">
        <f>I73/I42</f>
        <v>0.8468706451499505</v>
      </c>
      <c r="J76" s="45">
        <f t="shared" si="34"/>
        <v>0.5969942760175981</v>
      </c>
    </row>
    <row r="77" ht="12.75" hidden="1"/>
    <row r="78" spans="1:10" ht="12.75" hidden="1">
      <c r="A78" s="10" t="s">
        <v>34</v>
      </c>
      <c r="B78" s="11"/>
      <c r="C78" s="11"/>
      <c r="D78" s="11"/>
      <c r="E78" s="11"/>
      <c r="F78" s="11"/>
      <c r="G78" s="11"/>
      <c r="H78" s="11"/>
      <c r="I78" s="11"/>
      <c r="J78" s="12"/>
    </row>
    <row r="79" spans="1:10" ht="12.75" hidden="1">
      <c r="A79" s="6"/>
      <c r="B79" s="7"/>
      <c r="C79" s="7"/>
      <c r="D79" s="7"/>
      <c r="E79" s="7"/>
      <c r="F79" s="7"/>
      <c r="G79" s="7"/>
      <c r="H79" s="7"/>
      <c r="I79" s="7"/>
      <c r="J79" s="8"/>
    </row>
    <row r="80" spans="1:10" ht="12.75" hidden="1">
      <c r="A80" s="6" t="s">
        <v>11</v>
      </c>
      <c r="B80" s="20">
        <f>B76</f>
        <v>0.9614016105119856</v>
      </c>
      <c r="C80" s="20">
        <f aca="true" t="shared" si="35" ref="C80:J80">C76</f>
        <v>0.9572366947326258</v>
      </c>
      <c r="D80" s="20">
        <f t="shared" si="35"/>
        <v>0.9265989719653481</v>
      </c>
      <c r="E80" s="20">
        <f>E76</f>
        <v>1.0341841210753915</v>
      </c>
      <c r="F80" s="20">
        <f t="shared" si="35"/>
        <v>1.125583188906631</v>
      </c>
      <c r="G80" s="20">
        <f t="shared" si="35"/>
        <v>0.8734930662998206</v>
      </c>
      <c r="H80" s="20">
        <f t="shared" si="35"/>
        <v>1.0410923428323935</v>
      </c>
      <c r="I80" s="20">
        <f>I76</f>
        <v>0.8468706451499505</v>
      </c>
      <c r="J80" s="26">
        <f t="shared" si="35"/>
        <v>0.5969942760175981</v>
      </c>
    </row>
    <row r="81" spans="1:10" ht="12.75" hidden="1">
      <c r="A81" s="6"/>
      <c r="B81" s="7"/>
      <c r="C81" s="7"/>
      <c r="D81" s="7"/>
      <c r="E81" s="7"/>
      <c r="F81" s="7"/>
      <c r="G81" s="7"/>
      <c r="H81" s="7"/>
      <c r="I81" s="7"/>
      <c r="J81" s="8"/>
    </row>
    <row r="82" spans="1:11" ht="12.75" hidden="1">
      <c r="A82" s="37" t="str">
        <f>A69</f>
        <v>2006 Total Revenue %</v>
      </c>
      <c r="B82" s="17">
        <f>B67</f>
        <v>5339263.934100915</v>
      </c>
      <c r="C82" s="17">
        <f aca="true" t="shared" si="36" ref="C82:J82">C67</f>
        <v>1195644.1057191116</v>
      </c>
      <c r="D82" s="17">
        <f t="shared" si="36"/>
        <v>1104588.6768580773</v>
      </c>
      <c r="E82" s="17">
        <f>E67</f>
        <v>466167.3830523802</v>
      </c>
      <c r="F82" s="17">
        <f t="shared" si="36"/>
        <v>333387.67974471045</v>
      </c>
      <c r="G82" s="17">
        <f t="shared" si="36"/>
        <v>27198.79627516889</v>
      </c>
      <c r="H82" s="17">
        <f t="shared" si="36"/>
        <v>402490.30984516814</v>
      </c>
      <c r="I82" s="17">
        <f>I67</f>
        <v>143245.98893810622</v>
      </c>
      <c r="J82" s="19">
        <f t="shared" si="36"/>
        <v>58145.530902688784</v>
      </c>
      <c r="K82" s="5">
        <f>SUM(B82:J82)</f>
        <v>9070132.405436326</v>
      </c>
    </row>
    <row r="83" spans="1:11" ht="12.75" hidden="1">
      <c r="A83" s="6" t="s">
        <v>22</v>
      </c>
      <c r="B83" s="17"/>
      <c r="C83" s="17"/>
      <c r="D83" s="17"/>
      <c r="E83" s="17"/>
      <c r="F83" s="17"/>
      <c r="G83" s="17"/>
      <c r="H83" s="17">
        <f>H82*((0.7-0.6303)*1.529)</f>
        <v>42893.915557602355</v>
      </c>
      <c r="I83" s="17">
        <f>I82*((0.7-0.6303)*1.529)</f>
        <v>15265.911260919594</v>
      </c>
      <c r="J83" s="19"/>
      <c r="K83" s="5">
        <f>SUM(B83:J83)</f>
        <v>58159.82681852195</v>
      </c>
    </row>
    <row r="84" spans="1:11" ht="12.75" hidden="1">
      <c r="A84" s="6" t="s">
        <v>23</v>
      </c>
      <c r="B84" s="17">
        <f aca="true" t="shared" si="37" ref="B84:G84">-$H83*B82/($K82-$H82)</f>
        <v>-26422.634183934475</v>
      </c>
      <c r="C84" s="17">
        <f t="shared" si="37"/>
        <v>-5916.932972318664</v>
      </c>
      <c r="D84" s="17">
        <f t="shared" si="37"/>
        <v>-5466.323240911647</v>
      </c>
      <c r="E84" s="17">
        <f t="shared" si="37"/>
        <v>-2306.941627703826</v>
      </c>
      <c r="F84" s="17">
        <f t="shared" si="37"/>
        <v>-1649.849269871043</v>
      </c>
      <c r="G84" s="17">
        <f t="shared" si="37"/>
        <v>-134.5997974799805</v>
      </c>
      <c r="H84" s="17">
        <v>0</v>
      </c>
      <c r="I84" s="17">
        <v>0</v>
      </c>
      <c r="J84" s="19">
        <f>-$H83*J82/($K82-$H82)</f>
        <v>-287.74717103980595</v>
      </c>
      <c r="K84" s="5">
        <f>SUM(B84:J84)</f>
        <v>-42185.028263259446</v>
      </c>
    </row>
    <row r="85" spans="1:11" ht="12.75" hidden="1">
      <c r="A85" s="6"/>
      <c r="B85" s="17"/>
      <c r="C85" s="17"/>
      <c r="D85" s="17"/>
      <c r="E85" s="17"/>
      <c r="F85" s="17"/>
      <c r="G85" s="17"/>
      <c r="H85" s="17"/>
      <c r="I85" s="17"/>
      <c r="J85" s="19"/>
      <c r="K85" s="43">
        <f>SUM(B85:J85)</f>
        <v>0</v>
      </c>
    </row>
    <row r="86" spans="1:11" ht="12.75" hidden="1">
      <c r="A86" s="6" t="s">
        <v>24</v>
      </c>
      <c r="B86" s="17">
        <f aca="true" t="shared" si="38" ref="B86:J86">B82+B83+B84</f>
        <v>5312841.29991698</v>
      </c>
      <c r="C86" s="17">
        <f t="shared" si="38"/>
        <v>1189727.172746793</v>
      </c>
      <c r="D86" s="17">
        <f t="shared" si="38"/>
        <v>1099122.3536171657</v>
      </c>
      <c r="E86" s="17">
        <f>E82+E83+E84</f>
        <v>463860.44142467633</v>
      </c>
      <c r="F86" s="17">
        <f t="shared" si="38"/>
        <v>331737.83047483943</v>
      </c>
      <c r="G86" s="17">
        <f t="shared" si="38"/>
        <v>27064.19647768891</v>
      </c>
      <c r="H86" s="17">
        <f t="shared" si="38"/>
        <v>445384.2254027705</v>
      </c>
      <c r="I86" s="17">
        <f>I82+I83+I84</f>
        <v>158511.9001990258</v>
      </c>
      <c r="J86" s="19">
        <f t="shared" si="38"/>
        <v>57857.783731648975</v>
      </c>
      <c r="K86" s="5">
        <f>SUM(B86:J86)</f>
        <v>9086107.203991588</v>
      </c>
    </row>
    <row r="87" spans="1:12" ht="12.75" customHeight="1" hidden="1">
      <c r="A87" s="6"/>
      <c r="B87" s="20"/>
      <c r="C87" s="20"/>
      <c r="D87" s="20"/>
      <c r="E87" s="20"/>
      <c r="F87" s="20"/>
      <c r="G87" s="20"/>
      <c r="H87" s="32"/>
      <c r="I87" s="32"/>
      <c r="J87" s="26"/>
      <c r="K87" s="30"/>
      <c r="L87" s="30"/>
    </row>
    <row r="88" spans="1:12" ht="12.75" hidden="1">
      <c r="A88" s="6" t="s">
        <v>25</v>
      </c>
      <c r="B88" s="9">
        <f aca="true" t="shared" si="39" ref="B88:J88">B86/$K86</f>
        <v>0.5847213972539321</v>
      </c>
      <c r="C88" s="9">
        <f t="shared" si="39"/>
        <v>0.13093915205228238</v>
      </c>
      <c r="D88" s="9">
        <f t="shared" si="39"/>
        <v>0.12096735476930251</v>
      </c>
      <c r="E88" s="9">
        <f t="shared" si="39"/>
        <v>0.051051614405440794</v>
      </c>
      <c r="F88" s="9">
        <f t="shared" si="39"/>
        <v>0.036510446446097924</v>
      </c>
      <c r="G88" s="9">
        <f t="shared" si="39"/>
        <v>0.0029786349500476317</v>
      </c>
      <c r="H88" s="9">
        <f t="shared" si="39"/>
        <v>0.04901815655521984</v>
      </c>
      <c r="I88" s="9">
        <f t="shared" si="39"/>
        <v>0.0174455238795103</v>
      </c>
      <c r="J88" s="24">
        <f t="shared" si="39"/>
        <v>0.00636771968816653</v>
      </c>
      <c r="K88" s="46">
        <f>SUM(B88:J88)</f>
        <v>0.9999999999999999</v>
      </c>
      <c r="L88" s="30"/>
    </row>
    <row r="89" spans="1:12" ht="12.75" hidden="1">
      <c r="A89" s="6"/>
      <c r="B89" s="9"/>
      <c r="C89" s="9"/>
      <c r="D89" s="9"/>
      <c r="E89" s="9"/>
      <c r="F89" s="9"/>
      <c r="G89" s="9"/>
      <c r="H89" s="9"/>
      <c r="I89" s="9"/>
      <c r="J89" s="24"/>
      <c r="K89" s="30"/>
      <c r="L89" s="30"/>
    </row>
    <row r="90" spans="1:12" ht="12.75" hidden="1">
      <c r="A90" s="6" t="s">
        <v>28</v>
      </c>
      <c r="B90" s="17">
        <f aca="true" t="shared" si="40" ref="B90:J90">B88*$K$28</f>
        <v>5761711.20379778</v>
      </c>
      <c r="C90" s="17">
        <f t="shared" si="40"/>
        <v>1290244.521473843</v>
      </c>
      <c r="D90" s="17">
        <f t="shared" si="40"/>
        <v>1191984.7068045433</v>
      </c>
      <c r="E90" s="17">
        <f t="shared" si="40"/>
        <v>503050.9573844988</v>
      </c>
      <c r="F90" s="17">
        <f t="shared" si="40"/>
        <v>359765.6068891647</v>
      </c>
      <c r="G90" s="17">
        <f t="shared" si="40"/>
        <v>29350.789015610408</v>
      </c>
      <c r="H90" s="17">
        <f t="shared" si="40"/>
        <v>483013.7278028686</v>
      </c>
      <c r="I90" s="17">
        <f t="shared" si="40"/>
        <v>171904.21090241752</v>
      </c>
      <c r="J90" s="19">
        <f t="shared" si="40"/>
        <v>62746.05657028755</v>
      </c>
      <c r="K90" s="39">
        <f>SUM(B90:J90)</f>
        <v>9853771.780641012</v>
      </c>
      <c r="L90" s="30"/>
    </row>
    <row r="91" spans="1:12" ht="12.75" hidden="1">
      <c r="A91" s="6" t="s">
        <v>27</v>
      </c>
      <c r="B91" s="38">
        <f>B72</f>
        <v>557147.3946413675</v>
      </c>
      <c r="C91" s="38">
        <f aca="true" t="shared" si="41" ref="C91:J91">C72</f>
        <v>116917.89093497049</v>
      </c>
      <c r="D91" s="38">
        <f t="shared" si="41"/>
        <v>104448.10077540863</v>
      </c>
      <c r="E91" s="38">
        <f>E72</f>
        <v>48935.65952883284</v>
      </c>
      <c r="F91" s="38">
        <f t="shared" si="41"/>
        <v>37382.76570453289</v>
      </c>
      <c r="G91" s="38">
        <f t="shared" si="41"/>
        <v>2403.501799793259</v>
      </c>
      <c r="H91" s="38">
        <f t="shared" si="41"/>
        <v>42488.13012383164</v>
      </c>
      <c r="I91" s="38">
        <f>I72</f>
        <v>12167.250045825633</v>
      </c>
      <c r="J91" s="40">
        <f t="shared" si="41"/>
        <v>11167.41519543715</v>
      </c>
      <c r="K91" s="39">
        <f>SUM(B91:J91)</f>
        <v>933058.10875</v>
      </c>
      <c r="L91" s="30"/>
    </row>
    <row r="92" spans="1:12" ht="12.75" hidden="1">
      <c r="A92" s="6" t="s">
        <v>29</v>
      </c>
      <c r="B92" s="38">
        <f aca="true" t="shared" si="42" ref="B92:J92">B90-B91</f>
        <v>5204563.809156412</v>
      </c>
      <c r="C92" s="38">
        <f t="shared" si="42"/>
        <v>1173326.6305388724</v>
      </c>
      <c r="D92" s="38">
        <f t="shared" si="42"/>
        <v>1087536.6060291347</v>
      </c>
      <c r="E92" s="38">
        <f>E90-E91</f>
        <v>454115.29785566597</v>
      </c>
      <c r="F92" s="38">
        <f t="shared" si="42"/>
        <v>322382.8411846318</v>
      </c>
      <c r="G92" s="38">
        <f t="shared" si="42"/>
        <v>26947.28721581715</v>
      </c>
      <c r="H92" s="38">
        <f t="shared" si="42"/>
        <v>440525.59767903696</v>
      </c>
      <c r="I92" s="38">
        <f>I90-I91</f>
        <v>159736.96085659188</v>
      </c>
      <c r="J92" s="40">
        <f t="shared" si="42"/>
        <v>51578.6413748504</v>
      </c>
      <c r="K92" s="39">
        <f>SUM(B92:J92)</f>
        <v>8920713.671891015</v>
      </c>
      <c r="L92" s="30"/>
    </row>
    <row r="93" spans="1:12" s="42" customFormat="1" ht="13.5" hidden="1" thickBot="1">
      <c r="A93" s="21">
        <f>A76</f>
        <v>0</v>
      </c>
      <c r="B93" s="22">
        <f aca="true" t="shared" si="43" ref="B93:J93">B92/$K92</f>
        <v>0.5834246003832503</v>
      </c>
      <c r="C93" s="22">
        <f t="shared" si="43"/>
        <v>0.13152833659889795</v>
      </c>
      <c r="D93" s="22">
        <f t="shared" si="43"/>
        <v>0.12191139027989881</v>
      </c>
      <c r="E93" s="22">
        <f t="shared" si="43"/>
        <v>0.050905713887732316</v>
      </c>
      <c r="F93" s="22">
        <f t="shared" si="43"/>
        <v>0.036138682737957784</v>
      </c>
      <c r="G93" s="22">
        <f t="shared" si="43"/>
        <v>0.0030207546399261187</v>
      </c>
      <c r="H93" s="22">
        <f t="shared" si="43"/>
        <v>0.04938232678256719</v>
      </c>
      <c r="I93" s="22">
        <f t="shared" si="43"/>
        <v>0.017906298389546986</v>
      </c>
      <c r="J93" s="25">
        <f t="shared" si="43"/>
        <v>0.00578189630022244</v>
      </c>
      <c r="K93" s="41"/>
      <c r="L93" s="41"/>
    </row>
    <row r="94" ht="12.75" hidden="1"/>
    <row r="95" spans="1:10" ht="12.75" hidden="1">
      <c r="A95" t="s">
        <v>31</v>
      </c>
      <c r="B95" s="45">
        <f>B92/B42</f>
        <v>1.019344599677623</v>
      </c>
      <c r="C95" s="45">
        <f aca="true" t="shared" si="44" ref="C95:J95">C92/C42</f>
        <v>0.9501907283740209</v>
      </c>
      <c r="D95" s="45">
        <f t="shared" si="44"/>
        <v>0.9198007204870395</v>
      </c>
      <c r="E95" s="45">
        <f>E92/E42</f>
        <v>1.0265160124430153</v>
      </c>
      <c r="F95" s="45">
        <f t="shared" si="44"/>
        <v>1.1171760922848735</v>
      </c>
      <c r="G95" s="45">
        <f t="shared" si="44"/>
        <v>0.8671241914812883</v>
      </c>
      <c r="H95" s="45">
        <f t="shared" si="44"/>
        <v>1.1617405853507603</v>
      </c>
      <c r="I95" s="45">
        <f>I92/I42</f>
        <v>0.9429902097638069</v>
      </c>
      <c r="J95" s="45">
        <f t="shared" si="44"/>
        <v>0.5921367488938826</v>
      </c>
    </row>
    <row r="96" ht="12.75" hidden="1"/>
    <row r="97" spans="1:10" ht="12.75" hidden="1">
      <c r="A97" s="10" t="s">
        <v>49</v>
      </c>
      <c r="B97" s="11"/>
      <c r="C97" s="11"/>
      <c r="D97" s="11"/>
      <c r="E97" s="11"/>
      <c r="F97" s="11"/>
      <c r="G97" s="11"/>
      <c r="H97" s="11"/>
      <c r="I97" s="11"/>
      <c r="J97" s="12"/>
    </row>
    <row r="98" spans="1:10" ht="12.75" hidden="1">
      <c r="A98" s="6"/>
      <c r="B98" s="7"/>
      <c r="C98" s="7"/>
      <c r="D98" s="7"/>
      <c r="E98" s="7"/>
      <c r="F98" s="7"/>
      <c r="G98" s="7"/>
      <c r="H98" s="7"/>
      <c r="I98" s="7"/>
      <c r="J98" s="8"/>
    </row>
    <row r="99" spans="1:10" ht="12.75" hidden="1">
      <c r="A99" s="6" t="s">
        <v>11</v>
      </c>
      <c r="B99" s="20">
        <f>B114</f>
        <v>1</v>
      </c>
      <c r="C99" s="20">
        <f aca="true" t="shared" si="45" ref="C99:J99">C114</f>
        <v>1</v>
      </c>
      <c r="D99" s="20">
        <f t="shared" si="45"/>
        <v>1</v>
      </c>
      <c r="E99" s="20">
        <f t="shared" si="45"/>
        <v>1</v>
      </c>
      <c r="F99" s="20">
        <f t="shared" si="45"/>
        <v>1</v>
      </c>
      <c r="G99" s="20">
        <f t="shared" si="45"/>
        <v>1</v>
      </c>
      <c r="H99" s="20">
        <f t="shared" si="45"/>
        <v>1</v>
      </c>
      <c r="I99" s="20">
        <f t="shared" si="45"/>
        <v>1</v>
      </c>
      <c r="J99" s="26">
        <f t="shared" si="45"/>
        <v>1</v>
      </c>
    </row>
    <row r="100" spans="1:10" ht="12.75" hidden="1">
      <c r="A100" s="6"/>
      <c r="B100" s="7"/>
      <c r="C100" s="7"/>
      <c r="D100" s="7"/>
      <c r="E100" s="7"/>
      <c r="F100" s="7"/>
      <c r="G100" s="7"/>
      <c r="H100" s="7"/>
      <c r="I100" s="7"/>
      <c r="J100" s="8"/>
    </row>
    <row r="101" spans="1:11" ht="12.75" hidden="1">
      <c r="A101" s="37" t="str">
        <f>A88</f>
        <v>2006 Adjusted Total Revenue %</v>
      </c>
      <c r="B101" s="17">
        <f>B40</f>
        <v>5662941.657741798</v>
      </c>
      <c r="C101" s="17">
        <f aca="true" t="shared" si="46" ref="C101:J101">C40</f>
        <v>1351750.6413520207</v>
      </c>
      <c r="D101" s="17">
        <f t="shared" si="46"/>
        <v>1286809.2164019304</v>
      </c>
      <c r="E101" s="17">
        <f t="shared" si="46"/>
        <v>491320.6709179027</v>
      </c>
      <c r="F101" s="17">
        <f t="shared" si="46"/>
        <v>325952.17155825754</v>
      </c>
      <c r="G101" s="17">
        <f t="shared" si="46"/>
        <v>33480.11975204266</v>
      </c>
      <c r="H101" s="17">
        <f t="shared" si="46"/>
        <v>421682.59335766156</v>
      </c>
      <c r="I101" s="17">
        <f t="shared" si="46"/>
        <v>181561.3319807819</v>
      </c>
      <c r="J101" s="17">
        <f t="shared" si="46"/>
        <v>98273.37757861945</v>
      </c>
      <c r="K101" s="5">
        <f>SUM(B101:J101)</f>
        <v>9853771.780641014</v>
      </c>
    </row>
    <row r="102" spans="1:11" ht="12.75" hidden="1">
      <c r="A102" s="6" t="s">
        <v>22</v>
      </c>
      <c r="B102" s="17">
        <f>B71-B101</f>
        <v>-197075.4356128201</v>
      </c>
      <c r="C102" s="17"/>
      <c r="D102" s="17"/>
      <c r="E102" s="17"/>
      <c r="F102" s="17"/>
      <c r="G102" s="17"/>
      <c r="H102" s="17"/>
      <c r="I102" s="17"/>
      <c r="J102" s="19"/>
      <c r="K102" s="5"/>
    </row>
    <row r="103" spans="1:11" ht="12.75" hidden="1">
      <c r="A103" s="6" t="s">
        <v>23</v>
      </c>
      <c r="B103" s="17" t="e">
        <f>-#REF!*B101/($K$101-#REF!)</f>
        <v>#REF!</v>
      </c>
      <c r="C103" s="16">
        <f aca="true" t="shared" si="47" ref="C103:J103">-$B$102*C101/($K$101-$B$101)</f>
        <v>63566.60582082127</v>
      </c>
      <c r="D103" s="16">
        <f t="shared" si="47"/>
        <v>60512.70975821914</v>
      </c>
      <c r="E103" s="16">
        <f t="shared" si="47"/>
        <v>23104.547883640684</v>
      </c>
      <c r="F103" s="16">
        <f t="shared" si="47"/>
        <v>15328.029129071212</v>
      </c>
      <c r="G103" s="16">
        <f t="shared" si="47"/>
        <v>1574.415805701668</v>
      </c>
      <c r="H103" s="16">
        <f t="shared" si="47"/>
        <v>19829.789883922564</v>
      </c>
      <c r="I103" s="16">
        <f t="shared" si="47"/>
        <v>8537.993080426499</v>
      </c>
      <c r="J103" s="16">
        <f t="shared" si="47"/>
        <v>4621.344251017099</v>
      </c>
      <c r="K103" s="5"/>
    </row>
    <row r="104" spans="1:11" ht="12.75" hidden="1">
      <c r="A104" s="6"/>
      <c r="B104" s="17" t="e">
        <f>B103</f>
        <v>#REF!</v>
      </c>
      <c r="C104" s="17">
        <f aca="true" t="shared" si="48" ref="C104:J104">C103</f>
        <v>63566.60582082127</v>
      </c>
      <c r="D104" s="17">
        <f t="shared" si="48"/>
        <v>60512.70975821914</v>
      </c>
      <c r="E104" s="17">
        <f t="shared" si="48"/>
        <v>23104.547883640684</v>
      </c>
      <c r="F104" s="17">
        <f t="shared" si="48"/>
        <v>15328.029129071212</v>
      </c>
      <c r="G104" s="17">
        <f t="shared" si="48"/>
        <v>1574.415805701668</v>
      </c>
      <c r="H104" s="17">
        <f t="shared" si="48"/>
        <v>19829.789883922564</v>
      </c>
      <c r="I104" s="17">
        <f t="shared" si="48"/>
        <v>8537.993080426499</v>
      </c>
      <c r="J104" s="19">
        <f t="shared" si="48"/>
        <v>4621.344251017099</v>
      </c>
      <c r="K104" s="43"/>
    </row>
    <row r="105" spans="1:11" ht="12.75" hidden="1">
      <c r="A105" s="6" t="s">
        <v>24</v>
      </c>
      <c r="B105" s="17" t="e">
        <f>B101+B103+B102</f>
        <v>#REF!</v>
      </c>
      <c r="C105" s="17">
        <f aca="true" t="shared" si="49" ref="C105:J105">C101+C103</f>
        <v>1415317.247172842</v>
      </c>
      <c r="D105" s="17">
        <f t="shared" si="49"/>
        <v>1347321.9261601495</v>
      </c>
      <c r="E105" s="17">
        <f>E101+E103</f>
        <v>514425.2188015434</v>
      </c>
      <c r="F105" s="17">
        <f t="shared" si="49"/>
        <v>341280.20068732876</v>
      </c>
      <c r="G105" s="17">
        <f t="shared" si="49"/>
        <v>35054.535557744326</v>
      </c>
      <c r="H105" s="17">
        <f t="shared" si="49"/>
        <v>441512.3832415841</v>
      </c>
      <c r="I105" s="17">
        <f>I101+I103</f>
        <v>190099.3250612084</v>
      </c>
      <c r="J105" s="19">
        <f t="shared" si="49"/>
        <v>102894.72182963655</v>
      </c>
      <c r="K105" s="5" t="e">
        <f>SUM(B105:J105)</f>
        <v>#REF!</v>
      </c>
    </row>
    <row r="106" spans="1:12" ht="12.75" customHeight="1" hidden="1">
      <c r="A106" s="6"/>
      <c r="B106" s="20"/>
      <c r="C106" s="20"/>
      <c r="D106" s="20"/>
      <c r="E106" s="20"/>
      <c r="F106" s="20"/>
      <c r="G106" s="20"/>
      <c r="H106" s="32"/>
      <c r="I106" s="32"/>
      <c r="J106" s="26"/>
      <c r="K106" s="30"/>
      <c r="L106" s="30"/>
    </row>
    <row r="107" spans="1:12" ht="12.75" hidden="1">
      <c r="A107" s="6" t="s">
        <v>25</v>
      </c>
      <c r="B107" s="9" t="e">
        <f aca="true" t="shared" si="50" ref="B107:J107">B105/$K$105</f>
        <v>#REF!</v>
      </c>
      <c r="C107" s="9" t="e">
        <f t="shared" si="50"/>
        <v>#REF!</v>
      </c>
      <c r="D107" s="9" t="e">
        <f t="shared" si="50"/>
        <v>#REF!</v>
      </c>
      <c r="E107" s="9" t="e">
        <f t="shared" si="50"/>
        <v>#REF!</v>
      </c>
      <c r="F107" s="9" t="e">
        <f t="shared" si="50"/>
        <v>#REF!</v>
      </c>
      <c r="G107" s="9" t="e">
        <f t="shared" si="50"/>
        <v>#REF!</v>
      </c>
      <c r="H107" s="9" t="e">
        <f t="shared" si="50"/>
        <v>#REF!</v>
      </c>
      <c r="I107" s="9" t="e">
        <f t="shared" si="50"/>
        <v>#REF!</v>
      </c>
      <c r="J107" s="24" t="e">
        <f t="shared" si="50"/>
        <v>#REF!</v>
      </c>
      <c r="K107" s="46"/>
      <c r="L107" s="30"/>
    </row>
    <row r="108" spans="1:12" ht="12.75" hidden="1">
      <c r="A108" s="6"/>
      <c r="B108" s="9"/>
      <c r="C108" s="9"/>
      <c r="D108" s="9"/>
      <c r="E108" s="9"/>
      <c r="F108" s="9"/>
      <c r="G108" s="9"/>
      <c r="H108" s="9"/>
      <c r="I108" s="9"/>
      <c r="J108" s="24"/>
      <c r="K108" s="30"/>
      <c r="L108" s="30"/>
    </row>
    <row r="109" spans="1:12" ht="12.75" hidden="1">
      <c r="A109" s="6" t="s">
        <v>28</v>
      </c>
      <c r="B109" s="17" t="e">
        <f>B105</f>
        <v>#REF!</v>
      </c>
      <c r="C109" s="17">
        <f aca="true" t="shared" si="51" ref="C109:J109">C105</f>
        <v>1415317.247172842</v>
      </c>
      <c r="D109" s="17">
        <f t="shared" si="51"/>
        <v>1347321.9261601495</v>
      </c>
      <c r="E109" s="17">
        <f t="shared" si="51"/>
        <v>514425.2188015434</v>
      </c>
      <c r="F109" s="17">
        <f t="shared" si="51"/>
        <v>341280.20068732876</v>
      </c>
      <c r="G109" s="17">
        <f t="shared" si="51"/>
        <v>35054.535557744326</v>
      </c>
      <c r="H109" s="17">
        <f t="shared" si="51"/>
        <v>441512.3832415841</v>
      </c>
      <c r="I109" s="17">
        <f t="shared" si="51"/>
        <v>190099.3250612084</v>
      </c>
      <c r="J109" s="17">
        <f t="shared" si="51"/>
        <v>102894.72182963655</v>
      </c>
      <c r="K109" s="39" t="e">
        <f>SUM(B109:J109)</f>
        <v>#REF!</v>
      </c>
      <c r="L109" s="30"/>
    </row>
    <row r="110" spans="1:12" ht="12.75" hidden="1">
      <c r="A110" s="6" t="s">
        <v>27</v>
      </c>
      <c r="B110" s="38">
        <v>554090.750701108</v>
      </c>
      <c r="C110" s="38">
        <v>116276.45140519518</v>
      </c>
      <c r="D110" s="38">
        <v>103875.07349864596</v>
      </c>
      <c r="E110" s="38">
        <v>48667.18678966175</v>
      </c>
      <c r="F110" s="38">
        <v>37177.67490565291</v>
      </c>
      <c r="G110" s="38">
        <v>2390.3156137275955</v>
      </c>
      <c r="H110" s="38">
        <v>42255.030073961425</v>
      </c>
      <c r="I110" s="38">
        <v>12100.497600279092</v>
      </c>
      <c r="J110" s="40">
        <v>11473.118486153386</v>
      </c>
      <c r="K110" s="39">
        <f>SUM(B110:J110)</f>
        <v>928306.0990743852</v>
      </c>
      <c r="L110" s="30"/>
    </row>
    <row r="111" spans="1:12" ht="12.75" hidden="1">
      <c r="A111" s="6" t="s">
        <v>29</v>
      </c>
      <c r="B111" s="38">
        <v>5382567.494025061</v>
      </c>
      <c r="C111" s="38">
        <v>1292820.289064341</v>
      </c>
      <c r="D111" s="38">
        <v>1276659.4114562708</v>
      </c>
      <c r="E111" s="38">
        <v>499594.7519954636</v>
      </c>
      <c r="F111" s="38">
        <v>296024.70279420307</v>
      </c>
      <c r="G111" s="38">
        <v>33285.22042818033</v>
      </c>
      <c r="H111" s="38">
        <v>406053.1547661122</v>
      </c>
      <c r="I111" s="38">
        <v>74447.2530511892</v>
      </c>
      <c r="J111" s="40">
        <v>94477.61637691381</v>
      </c>
      <c r="K111" s="39">
        <f>SUM(B111:J111)</f>
        <v>9355929.893957736</v>
      </c>
      <c r="L111" s="30"/>
    </row>
    <row r="112" spans="1:12" s="42" customFormat="1" ht="13.5" hidden="1" thickBot="1">
      <c r="A112" s="21" t="str">
        <f>A95</f>
        <v>Actual Applied for RC</v>
      </c>
      <c r="B112" s="22">
        <f aca="true" t="shared" si="52" ref="B112:J112">B111/$K$111</f>
        <v>0.5753107980748381</v>
      </c>
      <c r="C112" s="22">
        <f t="shared" si="52"/>
        <v>0.13818191283148376</v>
      </c>
      <c r="D112" s="22">
        <f t="shared" si="52"/>
        <v>0.136454572225981</v>
      </c>
      <c r="E112" s="22">
        <f t="shared" si="52"/>
        <v>0.05339872761531837</v>
      </c>
      <c r="F112" s="22">
        <f t="shared" si="52"/>
        <v>0.03164032930445346</v>
      </c>
      <c r="G112" s="22">
        <f t="shared" si="52"/>
        <v>0.003557660308001736</v>
      </c>
      <c r="H112" s="22">
        <f t="shared" si="52"/>
        <v>0.04340061964640738</v>
      </c>
      <c r="I112" s="22">
        <f t="shared" si="52"/>
        <v>0.007957226475079602</v>
      </c>
      <c r="J112" s="25">
        <f t="shared" si="52"/>
        <v>0.01009815351843642</v>
      </c>
      <c r="K112" s="41"/>
      <c r="L112" s="41"/>
    </row>
    <row r="114" spans="1:10" ht="12.75">
      <c r="A114" s="42" t="s">
        <v>48</v>
      </c>
      <c r="B114" s="45">
        <f>B40/B40</f>
        <v>1</v>
      </c>
      <c r="C114" s="45">
        <f aca="true" t="shared" si="53" ref="C114:J114">C40/C40</f>
        <v>1</v>
      </c>
      <c r="D114" s="45">
        <f t="shared" si="53"/>
        <v>1</v>
      </c>
      <c r="E114" s="45">
        <f t="shared" si="53"/>
        <v>1</v>
      </c>
      <c r="F114" s="45">
        <f t="shared" si="53"/>
        <v>1</v>
      </c>
      <c r="G114" s="45">
        <f t="shared" si="53"/>
        <v>1</v>
      </c>
      <c r="H114" s="45">
        <f t="shared" si="53"/>
        <v>1</v>
      </c>
      <c r="I114" s="45">
        <f t="shared" si="53"/>
        <v>1</v>
      </c>
      <c r="J114" s="45">
        <f t="shared" si="53"/>
        <v>1</v>
      </c>
    </row>
    <row r="116" spans="2:6" ht="12.75">
      <c r="B116" s="2"/>
      <c r="F116" s="2"/>
    </row>
  </sheetData>
  <sheetProtection/>
  <mergeCells count="4">
    <mergeCell ref="A2:J2"/>
    <mergeCell ref="A3:J3"/>
    <mergeCell ref="A4:J4"/>
    <mergeCell ref="A1:J1"/>
  </mergeCells>
  <printOptions/>
  <pageMargins left="0.75" right="0.75" top="1" bottom="1" header="0.5" footer="0.5"/>
  <pageSetup fitToHeight="1" fitToWidth="1" horizontalDpi="600" verticalDpi="6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selection activeCell="A1" sqref="A1:K114"/>
    </sheetView>
  </sheetViews>
  <sheetFormatPr defaultColWidth="9.140625" defaultRowHeight="12.75"/>
  <cols>
    <col min="1" max="1" width="30.7109375" style="0" customWidth="1"/>
    <col min="2" max="11" width="21.57421875" style="1" customWidth="1"/>
    <col min="12" max="12" width="17.7109375" style="1" customWidth="1"/>
    <col min="13" max="13" width="10.7109375" style="0" customWidth="1"/>
    <col min="14" max="14" width="12.28125" style="0" bestFit="1" customWidth="1"/>
    <col min="15" max="15" width="19.8515625" style="0" bestFit="1" customWidth="1"/>
  </cols>
  <sheetData>
    <row r="1" spans="1:11" ht="18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8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8">
      <c r="A3" s="52">
        <v>41059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8">
      <c r="A4" s="51" t="s">
        <v>26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6" spans="2:11" ht="12.75">
      <c r="B6" s="1" t="s">
        <v>2</v>
      </c>
      <c r="C6" s="1" t="s">
        <v>3</v>
      </c>
      <c r="D6" s="1" t="s">
        <v>39</v>
      </c>
      <c r="E6" s="1" t="s">
        <v>52</v>
      </c>
      <c r="F6" s="1" t="s">
        <v>53</v>
      </c>
      <c r="G6" s="1" t="s">
        <v>37</v>
      </c>
      <c r="H6" s="1" t="s">
        <v>38</v>
      </c>
      <c r="I6" s="1" t="s">
        <v>4</v>
      </c>
      <c r="J6" s="1" t="s">
        <v>40</v>
      </c>
      <c r="K6" s="1" t="s">
        <v>5</v>
      </c>
    </row>
    <row r="7" spans="1:11" ht="12.75">
      <c r="A7" t="s">
        <v>36</v>
      </c>
      <c r="B7" s="3">
        <f>'[4]O1 Revenue to cost|RR'!$D$75</f>
        <v>1.0477545475158456</v>
      </c>
      <c r="C7" s="3">
        <f>'[4]O1 Revenue to cost|RR'!$E$75</f>
        <v>0.9211011994172691</v>
      </c>
      <c r="D7" s="3">
        <f>'[4]O1 Revenue to cost|RR'!$F$75</f>
        <v>0.868467767869334</v>
      </c>
      <c r="E7" s="3">
        <f>'[4]O1 Revenue to cost|RR'!$G$75</f>
        <v>1.0658711368205758</v>
      </c>
      <c r="F7" s="3">
        <f>'[4]O1 Revenue to cost|RR'!$H$75</f>
        <v>0.9519508526207934</v>
      </c>
      <c r="G7" s="3">
        <f>'[4]O1 Revenue to cost|RR'!$I$75</f>
        <v>1.228166433575605</v>
      </c>
      <c r="H7" s="3">
        <f>'[4]O1 Revenue to cost|RR'!$K$75</f>
        <v>0.7656690132974104</v>
      </c>
      <c r="I7" s="3">
        <f>'[2]O1 Revenue to cost|RR'!$I$75</f>
        <v>1.0738338173834518</v>
      </c>
      <c r="J7" s="3">
        <f>'[4]O1 Revenue to cost|RR'!$M$75</f>
        <v>0.7190833923628915</v>
      </c>
      <c r="K7" s="3">
        <f>'[4]O1 Revenue to cost|RR'!$L$75</f>
        <v>0.28599097106196364</v>
      </c>
    </row>
    <row r="8" spans="1:11" ht="12.75">
      <c r="A8" t="s">
        <v>0</v>
      </c>
      <c r="B8" s="3">
        <v>0.85</v>
      </c>
      <c r="C8" s="3">
        <v>0.8</v>
      </c>
      <c r="D8" s="3">
        <v>0.8</v>
      </c>
      <c r="E8" s="3">
        <v>0.8</v>
      </c>
      <c r="F8" s="3">
        <v>0.8</v>
      </c>
      <c r="G8" s="3">
        <v>0.8</v>
      </c>
      <c r="H8" s="3">
        <v>0.7</v>
      </c>
      <c r="I8" s="3">
        <v>0.7</v>
      </c>
      <c r="J8" s="3">
        <v>0.7</v>
      </c>
      <c r="K8" s="3">
        <v>0.8</v>
      </c>
    </row>
    <row r="9" spans="1:11" ht="12.75">
      <c r="A9" t="s">
        <v>1</v>
      </c>
      <c r="B9" s="3">
        <v>1.15</v>
      </c>
      <c r="C9" s="3">
        <v>1.2</v>
      </c>
      <c r="D9" s="3">
        <v>1.8</v>
      </c>
      <c r="E9" s="3">
        <v>1.8</v>
      </c>
      <c r="F9" s="3">
        <v>1.8</v>
      </c>
      <c r="G9" s="3">
        <v>1.8</v>
      </c>
      <c r="H9" s="3">
        <v>1.2</v>
      </c>
      <c r="I9" s="3">
        <v>1.2</v>
      </c>
      <c r="J9" s="3">
        <v>1.8</v>
      </c>
      <c r="K9" s="3">
        <v>1.2</v>
      </c>
    </row>
    <row r="10" spans="1:12" ht="12.75">
      <c r="A10" t="s">
        <v>43</v>
      </c>
      <c r="B10" s="4">
        <v>4868699</v>
      </c>
      <c r="C10" s="4">
        <v>1016184</v>
      </c>
      <c r="D10" s="4">
        <v>926213</v>
      </c>
      <c r="E10" s="4">
        <v>444668</v>
      </c>
      <c r="F10" s="4">
        <v>43490</v>
      </c>
      <c r="G10" s="4">
        <v>349473</v>
      </c>
      <c r="H10" s="4">
        <v>20837</v>
      </c>
      <c r="I10" s="4">
        <v>385197</v>
      </c>
      <c r="J10" s="4">
        <v>114965</v>
      </c>
      <c r="K10" s="4">
        <v>13889</v>
      </c>
      <c r="L10" s="2">
        <f>SUM(B10:K10)</f>
        <v>8183615</v>
      </c>
    </row>
    <row r="11" spans="1:12" ht="12.75">
      <c r="A11" t="s">
        <v>41</v>
      </c>
      <c r="B11" s="4">
        <v>597067</v>
      </c>
      <c r="C11" s="4">
        <v>130812</v>
      </c>
      <c r="D11" s="4">
        <v>98451</v>
      </c>
      <c r="E11" s="4">
        <v>35404</v>
      </c>
      <c r="F11" s="4">
        <v>3355</v>
      </c>
      <c r="G11" s="4">
        <v>17262</v>
      </c>
      <c r="H11" s="4">
        <v>2742</v>
      </c>
      <c r="I11" s="4">
        <v>31623</v>
      </c>
      <c r="J11" s="4">
        <v>4399</v>
      </c>
      <c r="K11" s="4">
        <v>11941</v>
      </c>
      <c r="L11" s="2">
        <f>SUM(B11:K11)</f>
        <v>933056</v>
      </c>
    </row>
    <row r="12" spans="1:12" s="47" customFormat="1" ht="12.75">
      <c r="A12" s="33" t="s">
        <v>44</v>
      </c>
      <c r="B12" s="34">
        <f aca="true" t="shared" si="0" ref="B12:K12">B10+B11</f>
        <v>5465766</v>
      </c>
      <c r="C12" s="34">
        <f t="shared" si="0"/>
        <v>1146996</v>
      </c>
      <c r="D12" s="34">
        <f t="shared" si="0"/>
        <v>1024664</v>
      </c>
      <c r="E12" s="34">
        <f>E10+E11</f>
        <v>480072</v>
      </c>
      <c r="F12" s="34">
        <f t="shared" si="0"/>
        <v>46845</v>
      </c>
      <c r="G12" s="34">
        <f t="shared" si="0"/>
        <v>366735</v>
      </c>
      <c r="H12" s="34">
        <f t="shared" si="0"/>
        <v>23579</v>
      </c>
      <c r="I12" s="34">
        <f t="shared" si="0"/>
        <v>416820</v>
      </c>
      <c r="J12" s="34">
        <f>J10+J11</f>
        <v>119364</v>
      </c>
      <c r="K12" s="34">
        <f t="shared" si="0"/>
        <v>25830</v>
      </c>
      <c r="L12" s="48">
        <f>SUM(B12:K12)</f>
        <v>9116671</v>
      </c>
    </row>
    <row r="13" spans="2:11" ht="13.5" thickBot="1">
      <c r="B13" s="49">
        <f>C13</f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f>K8-K7</f>
        <v>0.5140090289380363</v>
      </c>
    </row>
    <row r="14" spans="1:12" ht="12.75">
      <c r="A14" s="10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7"/>
    </row>
    <row r="15" spans="1:12" ht="12.75">
      <c r="A15" s="13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</row>
    <row r="16" spans="1:12" ht="12.75">
      <c r="A16" s="14" t="s">
        <v>14</v>
      </c>
      <c r="B16" s="35">
        <f aca="true" t="shared" si="1" ref="B16:K18">B7</f>
        <v>1.0477545475158456</v>
      </c>
      <c r="C16" s="35">
        <f t="shared" si="1"/>
        <v>0.9211011994172691</v>
      </c>
      <c r="D16" s="35">
        <f t="shared" si="1"/>
        <v>0.868467767869334</v>
      </c>
      <c r="E16" s="35">
        <f>E7</f>
        <v>1.0658711368205758</v>
      </c>
      <c r="F16" s="35">
        <f t="shared" si="1"/>
        <v>0.9519508526207934</v>
      </c>
      <c r="G16" s="35">
        <f t="shared" si="1"/>
        <v>1.228166433575605</v>
      </c>
      <c r="H16" s="35">
        <f t="shared" si="1"/>
        <v>0.7656690132974104</v>
      </c>
      <c r="I16" s="35">
        <f t="shared" si="1"/>
        <v>1.0738338173834518</v>
      </c>
      <c r="J16" s="35">
        <f>J7</f>
        <v>0.7190833923628915</v>
      </c>
      <c r="K16" s="36">
        <f t="shared" si="1"/>
        <v>0.28599097106196364</v>
      </c>
      <c r="L16" s="17"/>
    </row>
    <row r="17" spans="1:12" ht="12.75">
      <c r="A17" s="28" t="s">
        <v>15</v>
      </c>
      <c r="B17" s="35">
        <f t="shared" si="1"/>
        <v>0.85</v>
      </c>
      <c r="C17" s="35">
        <f t="shared" si="1"/>
        <v>0.8</v>
      </c>
      <c r="D17" s="35">
        <f t="shared" si="1"/>
        <v>0.8</v>
      </c>
      <c r="E17" s="35">
        <f>E8</f>
        <v>0.8</v>
      </c>
      <c r="F17" s="35">
        <f t="shared" si="1"/>
        <v>0.8</v>
      </c>
      <c r="G17" s="35">
        <f t="shared" si="1"/>
        <v>0.8</v>
      </c>
      <c r="H17" s="35">
        <f t="shared" si="1"/>
        <v>0.7</v>
      </c>
      <c r="I17" s="35">
        <f t="shared" si="1"/>
        <v>0.7</v>
      </c>
      <c r="J17" s="35">
        <f>J8</f>
        <v>0.7</v>
      </c>
      <c r="K17" s="36">
        <f t="shared" si="1"/>
        <v>0.8</v>
      </c>
      <c r="L17" s="17"/>
    </row>
    <row r="18" spans="1:12" ht="12.75">
      <c r="A18" s="28" t="s">
        <v>16</v>
      </c>
      <c r="B18" s="9">
        <f t="shared" si="1"/>
        <v>1.15</v>
      </c>
      <c r="C18" s="9">
        <f t="shared" si="1"/>
        <v>1.2</v>
      </c>
      <c r="D18" s="9">
        <f t="shared" si="1"/>
        <v>1.8</v>
      </c>
      <c r="E18" s="9">
        <f>E9</f>
        <v>1.8</v>
      </c>
      <c r="F18" s="9">
        <f t="shared" si="1"/>
        <v>1.8</v>
      </c>
      <c r="G18" s="9">
        <f t="shared" si="1"/>
        <v>1.8</v>
      </c>
      <c r="H18" s="9">
        <f t="shared" si="1"/>
        <v>1.2</v>
      </c>
      <c r="I18" s="9">
        <f t="shared" si="1"/>
        <v>1.2</v>
      </c>
      <c r="J18" s="9">
        <f>J9</f>
        <v>1.8</v>
      </c>
      <c r="K18" s="24">
        <f t="shared" si="1"/>
        <v>1.2</v>
      </c>
      <c r="L18" s="17"/>
    </row>
    <row r="19" spans="1:12" ht="12.75">
      <c r="A19" s="6"/>
      <c r="B19" s="9"/>
      <c r="C19" s="9"/>
      <c r="D19" s="9"/>
      <c r="E19" s="9"/>
      <c r="F19" s="9"/>
      <c r="G19" s="9"/>
      <c r="H19" s="9"/>
      <c r="I19" s="9"/>
      <c r="J19" s="9"/>
      <c r="K19" s="24"/>
      <c r="L19" s="17"/>
    </row>
    <row r="20" spans="1:12" ht="12.75">
      <c r="A20" s="28" t="s">
        <v>13</v>
      </c>
      <c r="B20" s="27">
        <f aca="true" t="shared" si="2" ref="B20:K20">B12</f>
        <v>5465766</v>
      </c>
      <c r="C20" s="27">
        <f t="shared" si="2"/>
        <v>1146996</v>
      </c>
      <c r="D20" s="27">
        <f t="shared" si="2"/>
        <v>1024664</v>
      </c>
      <c r="E20" s="27">
        <f>E12</f>
        <v>480072</v>
      </c>
      <c r="F20" s="27">
        <f t="shared" si="2"/>
        <v>46845</v>
      </c>
      <c r="G20" s="27">
        <f t="shared" si="2"/>
        <v>366735</v>
      </c>
      <c r="H20" s="27">
        <f t="shared" si="2"/>
        <v>23579</v>
      </c>
      <c r="I20" s="27">
        <f t="shared" si="2"/>
        <v>416820</v>
      </c>
      <c r="J20" s="27">
        <f>J12</f>
        <v>119364</v>
      </c>
      <c r="K20" s="29">
        <f t="shared" si="2"/>
        <v>25830</v>
      </c>
      <c r="L20" s="17">
        <f>SUM(B20:K20)</f>
        <v>9116671</v>
      </c>
    </row>
    <row r="21" spans="1:12" ht="12.75">
      <c r="A21" s="28" t="s">
        <v>6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/>
      <c r="H21" s="27"/>
      <c r="I21" s="27">
        <v>0</v>
      </c>
      <c r="J21" s="27">
        <v>0</v>
      </c>
      <c r="K21" s="29">
        <f>-K20+K20/K16*K18</f>
        <v>82551.04393611893</v>
      </c>
      <c r="L21" s="17"/>
    </row>
    <row r="22" spans="1:15" ht="12.75">
      <c r="A22" s="28" t="s">
        <v>19</v>
      </c>
      <c r="B22" s="27">
        <f aca="true" t="shared" si="3" ref="B22:K22">B20+B21</f>
        <v>5465766</v>
      </c>
      <c r="C22" s="27">
        <f t="shared" si="3"/>
        <v>1146996</v>
      </c>
      <c r="D22" s="27">
        <f t="shared" si="3"/>
        <v>1024664</v>
      </c>
      <c r="E22" s="27">
        <f>E20+E21</f>
        <v>480072</v>
      </c>
      <c r="F22" s="27">
        <f t="shared" si="3"/>
        <v>46845</v>
      </c>
      <c r="G22" s="27">
        <f t="shared" si="3"/>
        <v>366735</v>
      </c>
      <c r="H22" s="27">
        <f t="shared" si="3"/>
        <v>23579</v>
      </c>
      <c r="I22" s="27">
        <f t="shared" si="3"/>
        <v>416820</v>
      </c>
      <c r="J22" s="27">
        <f>J20+J21</f>
        <v>119364</v>
      </c>
      <c r="K22" s="29">
        <f t="shared" si="3"/>
        <v>108381.04393611893</v>
      </c>
      <c r="L22" s="17">
        <f>SUM(B22:K22)</f>
        <v>9199222.043936118</v>
      </c>
      <c r="M22" s="17">
        <f>L20-L22</f>
        <v>-82551.04393611848</v>
      </c>
      <c r="O22" s="44"/>
    </row>
    <row r="23" spans="1:15" ht="12.75">
      <c r="A23" s="6" t="s">
        <v>18</v>
      </c>
      <c r="B23" s="27">
        <f>B22/($B$22+$C$22+$D$22+$F$22+$G$22+$E$22+$H$22+$I$22+$J$22)*$M$22</f>
        <v>-49632.88756348753</v>
      </c>
      <c r="C23" s="27">
        <f aca="true" t="shared" si="4" ref="C23:J23">C22/($B$22+$C$22+$D$22+$F$22+$G$22+$E$22+$H$22+$I$22+$J$22)*$M$22</f>
        <v>-10415.506903107442</v>
      </c>
      <c r="D23" s="27">
        <f t="shared" si="4"/>
        <v>-9304.648809033059</v>
      </c>
      <c r="E23" s="27">
        <f t="shared" si="4"/>
        <v>-4359.3815758630335</v>
      </c>
      <c r="F23" s="27">
        <f t="shared" si="4"/>
        <v>-425.3845879811857</v>
      </c>
      <c r="G23" s="27">
        <f t="shared" si="4"/>
        <v>-3330.204224000003</v>
      </c>
      <c r="H23" s="27">
        <f t="shared" si="4"/>
        <v>-214.1134208561934</v>
      </c>
      <c r="I23" s="27">
        <f t="shared" si="4"/>
        <v>-3785.0102244064005</v>
      </c>
      <c r="J23" s="27">
        <f t="shared" si="4"/>
        <v>-1083.9066273836322</v>
      </c>
      <c r="K23" s="29"/>
      <c r="L23" s="2">
        <f>SUM(B23:K23)</f>
        <v>-82551.04393611848</v>
      </c>
      <c r="O23" s="31"/>
    </row>
    <row r="24" spans="1:12" ht="12.75">
      <c r="A24" s="6" t="s">
        <v>17</v>
      </c>
      <c r="B24" s="17">
        <f aca="true" t="shared" si="5" ref="B24:K24">B22+B23</f>
        <v>5416133.1124365125</v>
      </c>
      <c r="C24" s="17">
        <f t="shared" si="5"/>
        <v>1136580.4930968925</v>
      </c>
      <c r="D24" s="17">
        <f t="shared" si="5"/>
        <v>1015359.3511909669</v>
      </c>
      <c r="E24" s="17">
        <f>E22+E23</f>
        <v>475712.61842413695</v>
      </c>
      <c r="F24" s="17">
        <f t="shared" si="5"/>
        <v>46419.615412018815</v>
      </c>
      <c r="G24" s="17">
        <f t="shared" si="5"/>
        <v>363404.795776</v>
      </c>
      <c r="H24" s="17">
        <f t="shared" si="5"/>
        <v>23364.886579143807</v>
      </c>
      <c r="I24" s="17">
        <f t="shared" si="5"/>
        <v>413034.9897755936</v>
      </c>
      <c r="J24" s="17">
        <f>J22+J23</f>
        <v>118280.09337261636</v>
      </c>
      <c r="K24" s="19">
        <f t="shared" si="5"/>
        <v>108381.04393611893</v>
      </c>
      <c r="L24" s="17">
        <f>SUM(B24:K24)</f>
        <v>9116671</v>
      </c>
    </row>
    <row r="25" spans="1:12" ht="12.75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9"/>
      <c r="L25" s="17"/>
    </row>
    <row r="26" spans="1:12" ht="12.75">
      <c r="A26" s="6" t="s">
        <v>20</v>
      </c>
      <c r="B26" s="9">
        <f>B24/$L24</f>
        <v>0.5940911010649076</v>
      </c>
      <c r="C26" s="9">
        <f aca="true" t="shared" si="6" ref="C26:K26">C24/$L24</f>
        <v>0.12467056155661342</v>
      </c>
      <c r="D26" s="9">
        <f t="shared" si="6"/>
        <v>0.11137391611378396</v>
      </c>
      <c r="E26" s="9">
        <f t="shared" si="6"/>
        <v>0.05218051835194414</v>
      </c>
      <c r="F26" s="9">
        <f t="shared" si="6"/>
        <v>0.005091728703604508</v>
      </c>
      <c r="G26" s="9">
        <f t="shared" si="6"/>
        <v>0.03986156742696978</v>
      </c>
      <c r="H26" s="9">
        <f t="shared" si="6"/>
        <v>0.0025628748234025125</v>
      </c>
      <c r="I26" s="9">
        <f t="shared" si="6"/>
        <v>0.04530546180459881</v>
      </c>
      <c r="J26" s="9">
        <f t="shared" si="6"/>
        <v>0.012974044294525531</v>
      </c>
      <c r="K26" s="24">
        <f t="shared" si="6"/>
        <v>0.01188822585964975</v>
      </c>
      <c r="L26" s="17"/>
    </row>
    <row r="27" spans="1:12" ht="12.75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19"/>
      <c r="L27" s="17"/>
    </row>
    <row r="28" spans="1:13" ht="12.75">
      <c r="A28" s="6" t="s">
        <v>42</v>
      </c>
      <c r="B28" s="17">
        <f>B26*$L28</f>
        <v>5854038.126803335</v>
      </c>
      <c r="C28" s="17">
        <f aca="true" t="shared" si="7" ref="C28:K28">C26*$L28</f>
        <v>1228475.2613432258</v>
      </c>
      <c r="D28" s="17">
        <f t="shared" si="7"/>
        <v>1097453.1517014839</v>
      </c>
      <c r="E28" s="17">
        <f t="shared" si="7"/>
        <v>514174.9192356077</v>
      </c>
      <c r="F28" s="17">
        <f t="shared" si="7"/>
        <v>50172.732614257955</v>
      </c>
      <c r="G28" s="17">
        <f t="shared" si="7"/>
        <v>392786.7882439938</v>
      </c>
      <c r="H28" s="17">
        <f t="shared" si="7"/>
        <v>25253.983612159</v>
      </c>
      <c r="I28" s="17">
        <f t="shared" si="7"/>
        <v>446429.68103906506</v>
      </c>
      <c r="J28" s="17">
        <f t="shared" si="7"/>
        <v>127843.27155018222</v>
      </c>
      <c r="K28" s="19">
        <f t="shared" si="7"/>
        <v>117143.86449770346</v>
      </c>
      <c r="L28" s="17">
        <f>'Updated Classes RC Calc'!K28</f>
        <v>9853771.780641014</v>
      </c>
      <c r="M28" s="50"/>
    </row>
    <row r="29" spans="1:12" ht="12.75">
      <c r="A29" s="6" t="s">
        <v>27</v>
      </c>
      <c r="B29" s="17">
        <f aca="true" t="shared" si="8" ref="B29:K29">B26*$L$29</f>
        <v>554319.6723041174</v>
      </c>
      <c r="C29" s="17">
        <f t="shared" si="8"/>
        <v>116324.49081320594</v>
      </c>
      <c r="D29" s="17">
        <f t="shared" si="8"/>
        <v>103917.9892995467</v>
      </c>
      <c r="E29" s="17">
        <f t="shared" si="8"/>
        <v>48687.29355087324</v>
      </c>
      <c r="F29" s="17">
        <f t="shared" si="8"/>
        <v>4750.8629255417045</v>
      </c>
      <c r="G29" s="17">
        <f t="shared" si="8"/>
        <v>37193.034795571286</v>
      </c>
      <c r="H29" s="17">
        <f t="shared" si="8"/>
        <v>2391.303168349831</v>
      </c>
      <c r="I29" s="17">
        <f t="shared" si="8"/>
        <v>42272.487664089946</v>
      </c>
      <c r="J29" s="17">
        <f t="shared" si="8"/>
        <v>12105.49689922852</v>
      </c>
      <c r="K29" s="19">
        <f t="shared" si="8"/>
        <v>11092.368579475497</v>
      </c>
      <c r="L29" s="17">
        <v>933055</v>
      </c>
    </row>
    <row r="30" spans="1:12" ht="12.75">
      <c r="A30" s="6" t="s">
        <v>32</v>
      </c>
      <c r="B30" s="17">
        <f>B28-B29</f>
        <v>5299718.454499218</v>
      </c>
      <c r="C30" s="17">
        <f aca="true" t="shared" si="9" ref="C30:K30">C28-C29</f>
        <v>1112150.77053002</v>
      </c>
      <c r="D30" s="17">
        <f t="shared" si="9"/>
        <v>993535.1624019372</v>
      </c>
      <c r="E30" s="17">
        <f>E28-E29</f>
        <v>465487.6256847345</v>
      </c>
      <c r="F30" s="17">
        <f t="shared" si="9"/>
        <v>45421.86968871625</v>
      </c>
      <c r="G30" s="17">
        <f t="shared" si="9"/>
        <v>355593.75344842253</v>
      </c>
      <c r="H30" s="17">
        <f t="shared" si="9"/>
        <v>22862.68044380917</v>
      </c>
      <c r="I30" s="17">
        <f t="shared" si="9"/>
        <v>404157.1933749751</v>
      </c>
      <c r="J30" s="17">
        <f>J28-J29</f>
        <v>115737.77465095371</v>
      </c>
      <c r="K30" s="19">
        <f t="shared" si="9"/>
        <v>106051.49591822796</v>
      </c>
      <c r="L30" s="17">
        <f>SUM(B30:K30)</f>
        <v>8920716.780641014</v>
      </c>
    </row>
    <row r="31" spans="1:12" ht="13.5" thickBot="1">
      <c r="A31" s="21" t="s">
        <v>9</v>
      </c>
      <c r="B31" s="22">
        <f aca="true" t="shared" si="10" ref="B31:K31">B30/$L30</f>
        <v>0.5940911010649076</v>
      </c>
      <c r="C31" s="22">
        <f t="shared" si="10"/>
        <v>0.12467056155661344</v>
      </c>
      <c r="D31" s="22">
        <f t="shared" si="10"/>
        <v>0.11137391611378396</v>
      </c>
      <c r="E31" s="22">
        <f t="shared" si="10"/>
        <v>0.05218051835194414</v>
      </c>
      <c r="F31" s="22">
        <f t="shared" si="10"/>
        <v>0.005091728703604508</v>
      </c>
      <c r="G31" s="22">
        <f t="shared" si="10"/>
        <v>0.03986156742696978</v>
      </c>
      <c r="H31" s="22">
        <f t="shared" si="10"/>
        <v>0.002562874823402513</v>
      </c>
      <c r="I31" s="22">
        <f t="shared" si="10"/>
        <v>0.04530546180459881</v>
      </c>
      <c r="J31" s="22">
        <f t="shared" si="10"/>
        <v>0.012974044294525531</v>
      </c>
      <c r="K31" s="25">
        <f t="shared" si="10"/>
        <v>0.01188822585964975</v>
      </c>
      <c r="L31" s="20"/>
    </row>
    <row r="32" spans="2:11" ht="13.5" thickBot="1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2" ht="12.75">
      <c r="A33" s="10" t="s">
        <v>8</v>
      </c>
      <c r="B33" s="15"/>
      <c r="C33" s="11"/>
      <c r="D33" s="11"/>
      <c r="E33" s="11"/>
      <c r="F33" s="11"/>
      <c r="G33" s="11"/>
      <c r="H33" s="11"/>
      <c r="I33" s="11"/>
      <c r="J33" s="11"/>
      <c r="K33" s="12"/>
      <c r="L33" s="7"/>
    </row>
    <row r="34" spans="1:12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8"/>
      <c r="L34" s="7"/>
    </row>
    <row r="35" spans="1:12" ht="12.75">
      <c r="A35" s="6" t="s">
        <v>44</v>
      </c>
      <c r="B35" s="16">
        <f>B20</f>
        <v>5465766</v>
      </c>
      <c r="C35" s="16">
        <f aca="true" t="shared" si="11" ref="C35:K35">C20</f>
        <v>1146996</v>
      </c>
      <c r="D35" s="16">
        <f t="shared" si="11"/>
        <v>1024664</v>
      </c>
      <c r="E35" s="16">
        <f>E20</f>
        <v>480072</v>
      </c>
      <c r="F35" s="16">
        <f t="shared" si="11"/>
        <v>46845</v>
      </c>
      <c r="G35" s="16">
        <f t="shared" si="11"/>
        <v>366735</v>
      </c>
      <c r="H35" s="16">
        <f t="shared" si="11"/>
        <v>23579</v>
      </c>
      <c r="I35" s="16">
        <f t="shared" si="11"/>
        <v>416820</v>
      </c>
      <c r="J35" s="16">
        <f>J20</f>
        <v>119364</v>
      </c>
      <c r="K35" s="18">
        <f t="shared" si="11"/>
        <v>25830</v>
      </c>
      <c r="L35" s="16">
        <f>SUM(B35:K35)</f>
        <v>9116671</v>
      </c>
    </row>
    <row r="36" spans="1:12" ht="12.75">
      <c r="A36" s="37" t="s">
        <v>45</v>
      </c>
      <c r="B36" s="16">
        <f>B35/B16</f>
        <v>5216647.365510326</v>
      </c>
      <c r="C36" s="16">
        <f aca="true" t="shared" si="12" ref="C36:K36">C35/C16</f>
        <v>1245244.2801351713</v>
      </c>
      <c r="D36" s="16">
        <f t="shared" si="12"/>
        <v>1179852.6530395849</v>
      </c>
      <c r="E36" s="16">
        <f>E35/E16</f>
        <v>450403.4150244687</v>
      </c>
      <c r="F36" s="16">
        <f t="shared" si="12"/>
        <v>49209.473231766264</v>
      </c>
      <c r="G36" s="16">
        <f t="shared" si="12"/>
        <v>298603.66638771526</v>
      </c>
      <c r="H36" s="16">
        <f t="shared" si="12"/>
        <v>30795.290903121815</v>
      </c>
      <c r="I36" s="16">
        <f t="shared" si="12"/>
        <v>388160.6196903362</v>
      </c>
      <c r="J36" s="16">
        <f>J35/J16</f>
        <v>165994.6555124471</v>
      </c>
      <c r="K36" s="18">
        <f t="shared" si="12"/>
        <v>90317.53661343244</v>
      </c>
      <c r="L36" s="16">
        <f>SUM(B36:K36)</f>
        <v>9115228.95604837</v>
      </c>
    </row>
    <row r="37" spans="1:12" ht="12.75">
      <c r="A37" s="6"/>
      <c r="B37" s="16"/>
      <c r="C37" s="16"/>
      <c r="D37" s="16"/>
      <c r="E37" s="16"/>
      <c r="F37" s="16"/>
      <c r="G37" s="16"/>
      <c r="H37" s="16"/>
      <c r="I37" s="16"/>
      <c r="J37" s="16"/>
      <c r="K37" s="18"/>
      <c r="L37" s="16">
        <f>SUM(B37:K37)</f>
        <v>0</v>
      </c>
    </row>
    <row r="38" spans="1:12" ht="12.75">
      <c r="A38" s="6" t="s">
        <v>46</v>
      </c>
      <c r="B38" s="9">
        <f aca="true" t="shared" si="13" ref="B38:K38">B36/$L36</f>
        <v>0.5723002011977816</v>
      </c>
      <c r="C38" s="9">
        <f t="shared" si="13"/>
        <v>0.13661140999743018</v>
      </c>
      <c r="D38" s="9">
        <f t="shared" si="13"/>
        <v>0.12943752249434162</v>
      </c>
      <c r="E38" s="9">
        <f t="shared" si="13"/>
        <v>0.0494121888979657</v>
      </c>
      <c r="F38" s="9">
        <f t="shared" si="13"/>
        <v>0.005398599801392102</v>
      </c>
      <c r="G38" s="9">
        <f t="shared" si="13"/>
        <v>0.032758767533708315</v>
      </c>
      <c r="H38" s="9">
        <f t="shared" si="13"/>
        <v>0.0033784440359764896</v>
      </c>
      <c r="I38" s="9">
        <f t="shared" si="13"/>
        <v>0.042583748752989245</v>
      </c>
      <c r="J38" s="9">
        <f t="shared" si="13"/>
        <v>0.018210695124920816</v>
      </c>
      <c r="K38" s="24">
        <f t="shared" si="13"/>
        <v>0.009908422163494055</v>
      </c>
      <c r="L38" s="17"/>
    </row>
    <row r="39" spans="1:12" ht="12.75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19"/>
      <c r="L39" s="23"/>
    </row>
    <row r="40" spans="1:14" ht="12.75">
      <c r="A40" s="6" t="s">
        <v>42</v>
      </c>
      <c r="B40" s="17">
        <f aca="true" t="shared" si="14" ref="B40:K40">B38*$L40</f>
        <v>5639315.5726178745</v>
      </c>
      <c r="C40" s="17">
        <f t="shared" si="14"/>
        <v>1346137.656746257</v>
      </c>
      <c r="D40" s="17">
        <f t="shared" si="14"/>
        <v>1275447.8065108298</v>
      </c>
      <c r="E40" s="17">
        <f t="shared" si="14"/>
        <v>486896.4325824776</v>
      </c>
      <c r="F40" s="17">
        <f t="shared" si="14"/>
        <v>53196.570377931675</v>
      </c>
      <c r="G40" s="17">
        <f t="shared" si="14"/>
        <v>322797.419092234</v>
      </c>
      <c r="H40" s="17">
        <f t="shared" si="14"/>
        <v>33290.416504180066</v>
      </c>
      <c r="I40" s="17">
        <f t="shared" si="14"/>
        <v>419610.5417761124</v>
      </c>
      <c r="J40" s="17">
        <f t="shared" si="14"/>
        <v>179444.0337278016</v>
      </c>
      <c r="K40" s="19">
        <f t="shared" si="14"/>
        <v>97635.3307053157</v>
      </c>
      <c r="L40" s="17">
        <f>L28</f>
        <v>9853771.780641014</v>
      </c>
      <c r="N40" s="31"/>
    </row>
    <row r="41" spans="1:14" ht="12.75">
      <c r="A41" s="6" t="s">
        <v>27</v>
      </c>
      <c r="B41" s="38">
        <f>B29</f>
        <v>554319.6723041174</v>
      </c>
      <c r="C41" s="38">
        <f aca="true" t="shared" si="15" ref="C41:K41">C29</f>
        <v>116324.49081320594</v>
      </c>
      <c r="D41" s="38">
        <f t="shared" si="15"/>
        <v>103917.9892995467</v>
      </c>
      <c r="E41" s="38">
        <f>E29</f>
        <v>48687.29355087324</v>
      </c>
      <c r="F41" s="38">
        <f t="shared" si="15"/>
        <v>4750.8629255417045</v>
      </c>
      <c r="G41" s="38">
        <f t="shared" si="15"/>
        <v>37193.034795571286</v>
      </c>
      <c r="H41" s="38">
        <f t="shared" si="15"/>
        <v>2391.303168349831</v>
      </c>
      <c r="I41" s="38">
        <f t="shared" si="15"/>
        <v>42272.487664089946</v>
      </c>
      <c r="J41" s="38">
        <f>J29</f>
        <v>12105.49689922852</v>
      </c>
      <c r="K41" s="40">
        <f t="shared" si="15"/>
        <v>11092.368579475497</v>
      </c>
      <c r="L41" s="39">
        <f>SUM(B41:K41)</f>
        <v>933055</v>
      </c>
      <c r="M41" s="30"/>
      <c r="N41" s="32"/>
    </row>
    <row r="42" spans="1:13" ht="12.75">
      <c r="A42" s="6" t="s">
        <v>47</v>
      </c>
      <c r="B42" s="17">
        <f aca="true" t="shared" si="16" ref="B42:K42">B40-B41</f>
        <v>5084995.900313757</v>
      </c>
      <c r="C42" s="17">
        <f t="shared" si="16"/>
        <v>1229813.1659330511</v>
      </c>
      <c r="D42" s="17">
        <f t="shared" si="16"/>
        <v>1171529.8172112831</v>
      </c>
      <c r="E42" s="17">
        <f>E40-E41</f>
        <v>438209.13903160434</v>
      </c>
      <c r="F42" s="17">
        <f t="shared" si="16"/>
        <v>48445.70745238997</v>
      </c>
      <c r="G42" s="17">
        <f t="shared" si="16"/>
        <v>285604.3842966627</v>
      </c>
      <c r="H42" s="17">
        <f t="shared" si="16"/>
        <v>30899.113335830236</v>
      </c>
      <c r="I42" s="17">
        <f t="shared" si="16"/>
        <v>377338.05411202245</v>
      </c>
      <c r="J42" s="17">
        <f>J40-J41</f>
        <v>167338.5368285731</v>
      </c>
      <c r="K42" s="19">
        <f t="shared" si="16"/>
        <v>86542.9621258402</v>
      </c>
      <c r="L42" s="39">
        <f>SUM(B42:K42)</f>
        <v>8920716.780641016</v>
      </c>
      <c r="M42" s="30"/>
    </row>
    <row r="43" spans="1:12" ht="13.5" thickBot="1">
      <c r="A43" s="21" t="s">
        <v>10</v>
      </c>
      <c r="B43" s="22">
        <f>B42/$L$42</f>
        <v>0.5700210000331795</v>
      </c>
      <c r="C43" s="22">
        <f aca="true" t="shared" si="17" ref="C43:K43">C42/$L$42</f>
        <v>0.13786035317272796</v>
      </c>
      <c r="D43" s="22">
        <f t="shared" si="17"/>
        <v>0.1313268704767803</v>
      </c>
      <c r="E43" s="22">
        <f t="shared" si="17"/>
        <v>0.04912263776634729</v>
      </c>
      <c r="F43" s="22">
        <f t="shared" si="17"/>
        <v>0.005430696730280996</v>
      </c>
      <c r="G43" s="22">
        <f t="shared" si="17"/>
        <v>0.032015856048300644</v>
      </c>
      <c r="H43" s="22">
        <f t="shared" si="17"/>
        <v>0.0034637478238166777</v>
      </c>
      <c r="I43" s="22">
        <f t="shared" si="17"/>
        <v>0.042299073425454956</v>
      </c>
      <c r="J43" s="22">
        <f t="shared" si="17"/>
        <v>0.01875841829119797</v>
      </c>
      <c r="K43" s="25">
        <f t="shared" si="17"/>
        <v>0.009701346231913608</v>
      </c>
      <c r="L43" s="20"/>
    </row>
    <row r="44" ht="12.75">
      <c r="B44" s="49"/>
    </row>
    <row r="45" spans="1:11" ht="12.75" hidden="1">
      <c r="A45" s="10" t="s">
        <v>21</v>
      </c>
      <c r="B45" s="11"/>
      <c r="C45" s="11"/>
      <c r="D45" s="11"/>
      <c r="E45" s="11"/>
      <c r="F45" s="11"/>
      <c r="G45" s="11"/>
      <c r="H45" s="11"/>
      <c r="I45" s="11"/>
      <c r="J45" s="11"/>
      <c r="K45" s="12"/>
    </row>
    <row r="46" spans="1:11" ht="12.75" hidden="1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 hidden="1">
      <c r="A47" s="6" t="s">
        <v>11</v>
      </c>
      <c r="B47" s="20">
        <v>1</v>
      </c>
      <c r="C47" s="20">
        <v>1</v>
      </c>
      <c r="D47" s="20">
        <v>1</v>
      </c>
      <c r="E47" s="20">
        <v>1</v>
      </c>
      <c r="F47" s="20">
        <f>D47</f>
        <v>1</v>
      </c>
      <c r="G47" s="20">
        <f>D47</f>
        <v>1</v>
      </c>
      <c r="H47" s="20">
        <f>G47</f>
        <v>1</v>
      </c>
      <c r="I47" s="32">
        <v>0.7</v>
      </c>
      <c r="J47" s="32">
        <v>0.7</v>
      </c>
      <c r="K47" s="26">
        <v>1</v>
      </c>
    </row>
    <row r="48" spans="1:11" ht="12.75" hidden="1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2" ht="12.75" hidden="1">
      <c r="A49" s="37" t="str">
        <f aca="true" t="shared" si="18" ref="A49:K49">A36</f>
        <v>2012 Total Revenue @ 100% RC</v>
      </c>
      <c r="B49" s="17">
        <f t="shared" si="18"/>
        <v>5216647.365510326</v>
      </c>
      <c r="C49" s="17">
        <f t="shared" si="18"/>
        <v>1245244.2801351713</v>
      </c>
      <c r="D49" s="17">
        <f t="shared" si="18"/>
        <v>1179852.6530395849</v>
      </c>
      <c r="E49" s="17">
        <f t="shared" si="18"/>
        <v>450403.4150244687</v>
      </c>
      <c r="F49" s="17">
        <f t="shared" si="18"/>
        <v>49209.473231766264</v>
      </c>
      <c r="G49" s="17">
        <f t="shared" si="18"/>
        <v>298603.66638771526</v>
      </c>
      <c r="H49" s="17">
        <f t="shared" si="18"/>
        <v>30795.290903121815</v>
      </c>
      <c r="I49" s="17">
        <f t="shared" si="18"/>
        <v>388160.6196903362</v>
      </c>
      <c r="J49" s="17">
        <f t="shared" si="18"/>
        <v>165994.6555124471</v>
      </c>
      <c r="K49" s="19">
        <f t="shared" si="18"/>
        <v>90317.53661343244</v>
      </c>
      <c r="L49" s="5">
        <f>SUM(B49:K49)</f>
        <v>9115228.95604837</v>
      </c>
    </row>
    <row r="50" spans="1:12" ht="12.75" hidden="1">
      <c r="A50" s="6" t="s">
        <v>22</v>
      </c>
      <c r="B50" s="17"/>
      <c r="C50" s="17"/>
      <c r="D50" s="17"/>
      <c r="E50" s="17"/>
      <c r="F50" s="17"/>
      <c r="G50" s="17"/>
      <c r="H50" s="17"/>
      <c r="I50" s="17">
        <f>I49*I47-I49</f>
        <v>-116448.18590710091</v>
      </c>
      <c r="J50" s="17">
        <f>J49*J47-J49</f>
        <v>-49798.39665373413</v>
      </c>
      <c r="K50" s="19"/>
      <c r="L50" s="5">
        <f>SUM(B50:K50)</f>
        <v>-166246.58256083506</v>
      </c>
    </row>
    <row r="51" spans="1:12" ht="12.75" hidden="1">
      <c r="A51" s="6" t="s">
        <v>23</v>
      </c>
      <c r="B51" s="17">
        <f aca="true" t="shared" si="19" ref="B51:H51">-$I50*B49/($L49-$I49)</f>
        <v>69607.46711469463</v>
      </c>
      <c r="C51" s="17">
        <f t="shared" si="19"/>
        <v>16615.7100923365</v>
      </c>
      <c r="D51" s="17">
        <f t="shared" si="19"/>
        <v>15743.167784277475</v>
      </c>
      <c r="E51" s="17">
        <f t="shared" si="19"/>
        <v>6009.883111314131</v>
      </c>
      <c r="F51" s="17">
        <f t="shared" si="19"/>
        <v>656.618427451733</v>
      </c>
      <c r="G51" s="17">
        <f t="shared" si="19"/>
        <v>3984.368394503663</v>
      </c>
      <c r="H51" s="17">
        <f t="shared" si="19"/>
        <v>410.9118459872757</v>
      </c>
      <c r="I51" s="17">
        <v>0</v>
      </c>
      <c r="J51" s="17">
        <v>0</v>
      </c>
      <c r="K51" s="19">
        <f>-$I50*K49/($L49-$I49)</f>
        <v>1205.1370390232837</v>
      </c>
      <c r="L51" s="5">
        <f>SUM(B51:K51)</f>
        <v>114233.2638095887</v>
      </c>
    </row>
    <row r="52" spans="1:12" ht="12.75" hidden="1">
      <c r="A52" s="6"/>
      <c r="B52" s="17"/>
      <c r="C52" s="17"/>
      <c r="D52" s="17"/>
      <c r="E52" s="17"/>
      <c r="F52" s="17"/>
      <c r="G52" s="17"/>
      <c r="H52" s="17"/>
      <c r="I52" s="17"/>
      <c r="J52" s="17"/>
      <c r="K52" s="19"/>
      <c r="L52" s="43">
        <f>SUM(B52:K52)</f>
        <v>0</v>
      </c>
    </row>
    <row r="53" spans="1:12" ht="12.75" hidden="1">
      <c r="A53" s="6" t="s">
        <v>24</v>
      </c>
      <c r="B53" s="17">
        <f aca="true" t="shared" si="20" ref="B53:K53">B49+B50+B51</f>
        <v>5286254.83262502</v>
      </c>
      <c r="C53" s="17">
        <f t="shared" si="20"/>
        <v>1261859.9902275077</v>
      </c>
      <c r="D53" s="17">
        <f t="shared" si="20"/>
        <v>1195595.8208238625</v>
      </c>
      <c r="E53" s="17">
        <f>E49+E50+E51</f>
        <v>456413.2981357828</v>
      </c>
      <c r="F53" s="17">
        <f t="shared" si="20"/>
        <v>49866.091659218</v>
      </c>
      <c r="G53" s="17">
        <f t="shared" si="20"/>
        <v>302588.0347822189</v>
      </c>
      <c r="H53" s="17">
        <f t="shared" si="20"/>
        <v>31206.202749109092</v>
      </c>
      <c r="I53" s="17">
        <f t="shared" si="20"/>
        <v>271712.4337832353</v>
      </c>
      <c r="J53" s="17">
        <f>J49+J50+J51</f>
        <v>116196.25885871296</v>
      </c>
      <c r="K53" s="19">
        <f t="shared" si="20"/>
        <v>91522.67365245572</v>
      </c>
      <c r="L53" s="5">
        <f>SUM(B53:K53)</f>
        <v>9063215.637297122</v>
      </c>
    </row>
    <row r="54" spans="1:13" ht="12.75" customHeight="1" hidden="1">
      <c r="A54" s="6"/>
      <c r="B54" s="20"/>
      <c r="C54" s="20"/>
      <c r="D54" s="20"/>
      <c r="E54" s="20"/>
      <c r="F54" s="20"/>
      <c r="G54" s="20"/>
      <c r="H54" s="20"/>
      <c r="I54" s="32"/>
      <c r="J54" s="32"/>
      <c r="K54" s="26"/>
      <c r="L54" s="30"/>
      <c r="M54" s="30"/>
    </row>
    <row r="55" spans="1:13" ht="12.75" hidden="1">
      <c r="A55" s="6" t="s">
        <v>25</v>
      </c>
      <c r="B55" s="9">
        <f aca="true" t="shared" si="21" ref="B55:K55">B53/$L53</f>
        <v>0.5832648194831558</v>
      </c>
      <c r="C55" s="9">
        <f t="shared" si="21"/>
        <v>0.13922872860209534</v>
      </c>
      <c r="D55" s="9">
        <f t="shared" si="21"/>
        <v>0.1319173976070616</v>
      </c>
      <c r="E55" s="9">
        <f t="shared" si="21"/>
        <v>0.050358870008293956</v>
      </c>
      <c r="F55" s="9">
        <f t="shared" si="21"/>
        <v>0.005502030808359903</v>
      </c>
      <c r="G55" s="9">
        <f t="shared" si="21"/>
        <v>0.03338638810898449</v>
      </c>
      <c r="H55" s="9">
        <f t="shared" si="21"/>
        <v>0.0034431711655065027</v>
      </c>
      <c r="I55" s="9">
        <f t="shared" si="21"/>
        <v>0.029979694256095927</v>
      </c>
      <c r="J55" s="9">
        <f t="shared" si="21"/>
        <v>0.012820643743765717</v>
      </c>
      <c r="K55" s="24">
        <f t="shared" si="21"/>
        <v>0.010098256216680956</v>
      </c>
      <c r="L55" s="46">
        <f>SUM(B55:K55)</f>
        <v>1.0000000000000002</v>
      </c>
      <c r="M55" s="30"/>
    </row>
    <row r="56" spans="1:13" ht="12.75" hidden="1">
      <c r="A56" s="6"/>
      <c r="B56" s="9"/>
      <c r="C56" s="9"/>
      <c r="D56" s="9"/>
      <c r="E56" s="9"/>
      <c r="F56" s="9"/>
      <c r="G56" s="9"/>
      <c r="H56" s="9"/>
      <c r="I56" s="9"/>
      <c r="J56" s="9"/>
      <c r="K56" s="24"/>
      <c r="L56" s="30"/>
      <c r="M56" s="30"/>
    </row>
    <row r="57" spans="1:13" ht="12.75" hidden="1">
      <c r="A57" s="6" t="s">
        <v>28</v>
      </c>
      <c r="B57" s="17">
        <f aca="true" t="shared" si="22" ref="B57:K57">B55*$L57</f>
        <v>5747358.418863796</v>
      </c>
      <c r="C57" s="17">
        <f t="shared" si="22"/>
        <v>1371928.1169538535</v>
      </c>
      <c r="D57" s="17">
        <f t="shared" si="22"/>
        <v>1299883.9299160638</v>
      </c>
      <c r="E57" s="17">
        <f t="shared" si="22"/>
        <v>496224.8121926961</v>
      </c>
      <c r="F57" s="17">
        <f t="shared" si="22"/>
        <v>54215.755915634276</v>
      </c>
      <c r="G57" s="17">
        <f t="shared" si="22"/>
        <v>328981.8490058401</v>
      </c>
      <c r="H57" s="17">
        <f t="shared" si="22"/>
        <v>33928.22286658481</v>
      </c>
      <c r="I57" s="17">
        <f t="shared" si="22"/>
        <v>295413.0652529635</v>
      </c>
      <c r="J57" s="17">
        <f t="shared" si="22"/>
        <v>126331.69753197038</v>
      </c>
      <c r="K57" s="19">
        <f t="shared" si="22"/>
        <v>99505.91214161349</v>
      </c>
      <c r="L57" s="39">
        <f>L40</f>
        <v>9853771.780641014</v>
      </c>
      <c r="M57" s="30"/>
    </row>
    <row r="58" spans="1:13" ht="12.75" hidden="1">
      <c r="A58" s="6" t="s">
        <v>27</v>
      </c>
      <c r="B58" s="38">
        <f aca="true" t="shared" si="23" ref="B58:K58">B41</f>
        <v>554319.6723041174</v>
      </c>
      <c r="C58" s="38">
        <f t="shared" si="23"/>
        <v>116324.49081320594</v>
      </c>
      <c r="D58" s="38">
        <f t="shared" si="23"/>
        <v>103917.9892995467</v>
      </c>
      <c r="E58" s="38">
        <f>E41</f>
        <v>48687.29355087324</v>
      </c>
      <c r="F58" s="38">
        <f t="shared" si="23"/>
        <v>4750.8629255417045</v>
      </c>
      <c r="G58" s="38">
        <f t="shared" si="23"/>
        <v>37193.034795571286</v>
      </c>
      <c r="H58" s="38">
        <f t="shared" si="23"/>
        <v>2391.303168349831</v>
      </c>
      <c r="I58" s="38">
        <f t="shared" si="23"/>
        <v>42272.487664089946</v>
      </c>
      <c r="J58" s="38">
        <f>J41</f>
        <v>12105.49689922852</v>
      </c>
      <c r="K58" s="40">
        <f t="shared" si="23"/>
        <v>11092.368579475497</v>
      </c>
      <c r="L58" s="39">
        <f>SUM(B58:K58)</f>
        <v>933055</v>
      </c>
      <c r="M58" s="30"/>
    </row>
    <row r="59" spans="1:13" ht="12.75" hidden="1">
      <c r="A59" s="6" t="s">
        <v>29</v>
      </c>
      <c r="B59" s="38">
        <f aca="true" t="shared" si="24" ref="B59:K59">B57-B58</f>
        <v>5193038.746559679</v>
      </c>
      <c r="C59" s="38">
        <f t="shared" si="24"/>
        <v>1255603.6261406476</v>
      </c>
      <c r="D59" s="38">
        <f t="shared" si="24"/>
        <v>1195965.940616517</v>
      </c>
      <c r="E59" s="38">
        <f>E57-E58</f>
        <v>447537.51864182285</v>
      </c>
      <c r="F59" s="38">
        <f t="shared" si="24"/>
        <v>49464.89299009257</v>
      </c>
      <c r="G59" s="38">
        <f t="shared" si="24"/>
        <v>291788.8142102688</v>
      </c>
      <c r="H59" s="38">
        <f t="shared" si="24"/>
        <v>31536.91969823498</v>
      </c>
      <c r="I59" s="38">
        <f t="shared" si="24"/>
        <v>253140.57758887357</v>
      </c>
      <c r="J59" s="38">
        <f>J57-J58</f>
        <v>114226.20063274186</v>
      </c>
      <c r="K59" s="40">
        <f t="shared" si="24"/>
        <v>88413.54356213799</v>
      </c>
      <c r="L59" s="39">
        <f>SUM(B59:K59)</f>
        <v>8920716.780641016</v>
      </c>
      <c r="M59" s="30"/>
    </row>
    <row r="60" spans="1:13" s="42" customFormat="1" ht="13.5" hidden="1" thickBot="1">
      <c r="A60" s="21" t="str">
        <f>A43</f>
        <v>New BRR %</v>
      </c>
      <c r="B60" s="22">
        <f aca="true" t="shared" si="25" ref="B60:K60">B59/$L59</f>
        <v>0.5821324535074549</v>
      </c>
      <c r="C60" s="22">
        <f t="shared" si="25"/>
        <v>0.14075142805401605</v>
      </c>
      <c r="D60" s="22">
        <f t="shared" si="25"/>
        <v>0.13406612607766016</v>
      </c>
      <c r="E60" s="22">
        <f t="shared" si="25"/>
        <v>0.05016833620511649</v>
      </c>
      <c r="F60" s="22">
        <f t="shared" si="25"/>
        <v>0.0055449460179519535</v>
      </c>
      <c r="G60" s="22">
        <f t="shared" si="25"/>
        <v>0.03270912207901098</v>
      </c>
      <c r="H60" s="22">
        <f t="shared" si="25"/>
        <v>0.003535245033972352</v>
      </c>
      <c r="I60" s="22">
        <f t="shared" si="25"/>
        <v>0.028376708263871557</v>
      </c>
      <c r="J60" s="22">
        <f t="shared" si="25"/>
        <v>0.01280459893992217</v>
      </c>
      <c r="K60" s="25">
        <f t="shared" si="25"/>
        <v>0.009911035821023437</v>
      </c>
      <c r="L60" s="41"/>
      <c r="M60" s="41"/>
    </row>
    <row r="61" ht="12.75" hidden="1"/>
    <row r="62" spans="1:11" ht="12.75" hidden="1">
      <c r="A62" t="s">
        <v>31</v>
      </c>
      <c r="B62" s="45">
        <f>B57/B40</f>
        <v>1.0191588579952027</v>
      </c>
      <c r="C62" s="45">
        <f aca="true" t="shared" si="26" ref="C62:K62">C57/C40</f>
        <v>1.0191588579952027</v>
      </c>
      <c r="D62" s="45">
        <f t="shared" si="26"/>
        <v>1.019158857995203</v>
      </c>
      <c r="E62" s="45">
        <f>E57/E40</f>
        <v>1.019158857995203</v>
      </c>
      <c r="F62" s="45">
        <f t="shared" si="26"/>
        <v>1.0191588579952027</v>
      </c>
      <c r="G62" s="45">
        <f t="shared" si="26"/>
        <v>1.019158857995203</v>
      </c>
      <c r="H62" s="45">
        <f t="shared" si="26"/>
        <v>1.019158857995203</v>
      </c>
      <c r="I62" s="45">
        <f t="shared" si="26"/>
        <v>0.7040172632521331</v>
      </c>
      <c r="J62" s="45">
        <f>J57/J40</f>
        <v>0.7040172632521332</v>
      </c>
      <c r="K62" s="45">
        <f t="shared" si="26"/>
        <v>1.0191588579952024</v>
      </c>
    </row>
    <row r="63" ht="12.75" hidden="1"/>
    <row r="64" spans="1:12" ht="12.75" hidden="1">
      <c r="A64" s="10" t="s">
        <v>33</v>
      </c>
      <c r="B64" s="15"/>
      <c r="C64" s="11"/>
      <c r="D64" s="11"/>
      <c r="E64" s="11"/>
      <c r="F64" s="11"/>
      <c r="G64" s="11"/>
      <c r="H64" s="11"/>
      <c r="I64" s="11"/>
      <c r="J64" s="11"/>
      <c r="K64" s="12"/>
      <c r="L64" s="7"/>
    </row>
    <row r="65" spans="1:12" ht="12.75" hidden="1">
      <c r="A65" s="6"/>
      <c r="B65" s="7"/>
      <c r="C65" s="7"/>
      <c r="D65" s="7"/>
      <c r="E65" s="7"/>
      <c r="F65" s="7"/>
      <c r="G65" s="7"/>
      <c r="H65" s="7"/>
      <c r="I65" s="7"/>
      <c r="J65" s="7"/>
      <c r="K65" s="8"/>
      <c r="L65" s="7"/>
    </row>
    <row r="66" spans="1:12" ht="12.75" hidden="1">
      <c r="A66" s="6" t="s">
        <v>13</v>
      </c>
      <c r="B66" s="16">
        <f>B35</f>
        <v>5465766</v>
      </c>
      <c r="C66" s="16">
        <f aca="true" t="shared" si="27" ref="C66:K66">C35</f>
        <v>1146996</v>
      </c>
      <c r="D66" s="16">
        <f t="shared" si="27"/>
        <v>1024664</v>
      </c>
      <c r="E66" s="16">
        <f>E35</f>
        <v>480072</v>
      </c>
      <c r="F66" s="16">
        <f t="shared" si="27"/>
        <v>46845</v>
      </c>
      <c r="G66" s="16">
        <f t="shared" si="27"/>
        <v>366735</v>
      </c>
      <c r="H66" s="16">
        <f t="shared" si="27"/>
        <v>23579</v>
      </c>
      <c r="I66" s="16">
        <f t="shared" si="27"/>
        <v>416820</v>
      </c>
      <c r="J66" s="16">
        <f>J35</f>
        <v>119364</v>
      </c>
      <c r="K66" s="18">
        <f t="shared" si="27"/>
        <v>25830</v>
      </c>
      <c r="L66" s="16">
        <f>SUM(B66:K66)</f>
        <v>9116671</v>
      </c>
    </row>
    <row r="67" spans="1:12" ht="12.75" hidden="1">
      <c r="A67" s="37" t="s">
        <v>30</v>
      </c>
      <c r="B67" s="16">
        <f>B35+((B36-B35)/2)</f>
        <v>5341206.682755163</v>
      </c>
      <c r="C67" s="16">
        <f aca="true" t="shared" si="28" ref="C67:K67">C35+((C36-C35)/2)</f>
        <v>1196120.1400675857</v>
      </c>
      <c r="D67" s="16">
        <f t="shared" si="28"/>
        <v>1102258.3265197924</v>
      </c>
      <c r="E67" s="16">
        <f>E35+((E36-E35)/2)</f>
        <v>465237.70751223434</v>
      </c>
      <c r="F67" s="16">
        <f t="shared" si="28"/>
        <v>48027.23661588313</v>
      </c>
      <c r="G67" s="16">
        <f t="shared" si="28"/>
        <v>332669.33319385763</v>
      </c>
      <c r="H67" s="16">
        <f t="shared" si="28"/>
        <v>27187.145451560908</v>
      </c>
      <c r="I67" s="16">
        <f t="shared" si="28"/>
        <v>402490.30984516814</v>
      </c>
      <c r="J67" s="16">
        <f>J35+((J36-J35)/2)</f>
        <v>142679.32775622356</v>
      </c>
      <c r="K67" s="18">
        <f t="shared" si="28"/>
        <v>58073.76830671622</v>
      </c>
      <c r="L67" s="16">
        <f>SUM(B67:K67)</f>
        <v>9115949.978024185</v>
      </c>
    </row>
    <row r="68" spans="1:12" ht="12.75" hidden="1">
      <c r="A68" s="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16">
        <f>SUM(B68:K68)</f>
        <v>0</v>
      </c>
    </row>
    <row r="69" spans="1:12" ht="12.75" hidden="1">
      <c r="A69" s="6" t="s">
        <v>20</v>
      </c>
      <c r="B69" s="9">
        <f>B38-0.02</f>
        <v>0.5523002011977816</v>
      </c>
      <c r="C69" s="9">
        <f aca="true" t="shared" si="29" ref="C69:K69">C67/$L67</f>
        <v>0.1312117928412367</v>
      </c>
      <c r="D69" s="9">
        <f t="shared" si="29"/>
        <v>0.1209153548644964</v>
      </c>
      <c r="E69" s="9">
        <f t="shared" si="29"/>
        <v>0.05103557047085412</v>
      </c>
      <c r="F69" s="9">
        <f t="shared" si="29"/>
        <v>0.005268484001301275</v>
      </c>
      <c r="G69" s="9">
        <f t="shared" si="29"/>
        <v>0.03649310647774762</v>
      </c>
      <c r="H69" s="9">
        <f t="shared" si="29"/>
        <v>0.0029823710657804117</v>
      </c>
      <c r="I69" s="9">
        <f t="shared" si="29"/>
        <v>0.04415231663353258</v>
      </c>
      <c r="J69" s="9">
        <f t="shared" si="29"/>
        <v>0.015651613721025293</v>
      </c>
      <c r="K69" s="24">
        <f t="shared" si="29"/>
        <v>0.006370566802880075</v>
      </c>
      <c r="L69" s="17"/>
    </row>
    <row r="70" spans="1:12" ht="12.75" hidden="1">
      <c r="A70" s="6"/>
      <c r="B70" s="16"/>
      <c r="C70" s="16"/>
      <c r="D70" s="16"/>
      <c r="E70" s="16"/>
      <c r="F70" s="16"/>
      <c r="G70" s="16"/>
      <c r="H70" s="16"/>
      <c r="I70" s="16"/>
      <c r="J70" s="16"/>
      <c r="K70" s="19"/>
      <c r="L70" s="23"/>
    </row>
    <row r="71" spans="1:14" ht="12.75" hidden="1">
      <c r="A71" s="6" t="s">
        <v>28</v>
      </c>
      <c r="B71" s="17">
        <f aca="true" t="shared" si="30" ref="B71:K71">B69*$L$28</f>
        <v>5442240.137005054</v>
      </c>
      <c r="C71" s="17">
        <f t="shared" si="30"/>
        <v>1292931.061586293</v>
      </c>
      <c r="D71" s="17">
        <f t="shared" si="30"/>
        <v>1191472.3116099688</v>
      </c>
      <c r="E71" s="17">
        <f t="shared" si="30"/>
        <v>502892.86411461816</v>
      </c>
      <c r="F71" s="17">
        <f t="shared" si="30"/>
        <v>51914.43897878116</v>
      </c>
      <c r="G71" s="17">
        <f t="shared" si="30"/>
        <v>359594.74279835727</v>
      </c>
      <c r="H71" s="17">
        <f t="shared" si="30"/>
        <v>29387.603847387283</v>
      </c>
      <c r="I71" s="17">
        <f t="shared" si="30"/>
        <v>435066.85169343016</v>
      </c>
      <c r="J71" s="17">
        <f t="shared" si="30"/>
        <v>154227.42960573273</v>
      </c>
      <c r="K71" s="19">
        <f t="shared" si="30"/>
        <v>62774.11138890813</v>
      </c>
      <c r="L71" s="17">
        <f>SUM(B71:K71)</f>
        <v>9522501.552628536</v>
      </c>
      <c r="N71" s="31"/>
    </row>
    <row r="72" spans="1:14" ht="12.75" hidden="1">
      <c r="A72" s="6" t="s">
        <v>27</v>
      </c>
      <c r="B72" s="38">
        <f>B58</f>
        <v>554319.6723041174</v>
      </c>
      <c r="C72" s="38">
        <f aca="true" t="shared" si="31" ref="C72:M72">C58</f>
        <v>116324.49081320594</v>
      </c>
      <c r="D72" s="38">
        <f t="shared" si="31"/>
        <v>103917.9892995467</v>
      </c>
      <c r="E72" s="38">
        <f>E58</f>
        <v>48687.29355087324</v>
      </c>
      <c r="F72" s="38">
        <f t="shared" si="31"/>
        <v>4750.8629255417045</v>
      </c>
      <c r="G72" s="38">
        <f t="shared" si="31"/>
        <v>37193.034795571286</v>
      </c>
      <c r="H72" s="38">
        <f t="shared" si="31"/>
        <v>2391.303168349831</v>
      </c>
      <c r="I72" s="38">
        <f t="shared" si="31"/>
        <v>42272.487664089946</v>
      </c>
      <c r="J72" s="38">
        <f>J58</f>
        <v>12105.49689922852</v>
      </c>
      <c r="K72" s="40">
        <f t="shared" si="31"/>
        <v>11092.368579475497</v>
      </c>
      <c r="L72" s="38">
        <f t="shared" si="31"/>
        <v>933055</v>
      </c>
      <c r="M72" s="38">
        <f t="shared" si="31"/>
        <v>0</v>
      </c>
      <c r="N72" s="32"/>
    </row>
    <row r="73" spans="1:13" ht="12.75" hidden="1">
      <c r="A73" s="6" t="s">
        <v>29</v>
      </c>
      <c r="B73" s="17">
        <f aca="true" t="shared" si="32" ref="B73:K73">B71-B72</f>
        <v>4887920.464700937</v>
      </c>
      <c r="C73" s="17">
        <f t="shared" si="32"/>
        <v>1176606.570773087</v>
      </c>
      <c r="D73" s="17">
        <f t="shared" si="32"/>
        <v>1087554.322310422</v>
      </c>
      <c r="E73" s="17">
        <f>E71-E72</f>
        <v>454205.5705637449</v>
      </c>
      <c r="F73" s="17">
        <f t="shared" si="32"/>
        <v>47163.576053239456</v>
      </c>
      <c r="G73" s="17">
        <f t="shared" si="32"/>
        <v>322401.708002786</v>
      </c>
      <c r="H73" s="17">
        <f t="shared" si="32"/>
        <v>26996.300679037453</v>
      </c>
      <c r="I73" s="17">
        <f t="shared" si="32"/>
        <v>392794.3640293402</v>
      </c>
      <c r="J73" s="17">
        <f>J71-J72</f>
        <v>142121.93270650422</v>
      </c>
      <c r="K73" s="19">
        <f t="shared" si="32"/>
        <v>51681.74280943263</v>
      </c>
      <c r="L73" s="39">
        <f>SUM(B73:K73)</f>
        <v>8589446.552628532</v>
      </c>
      <c r="M73" s="30"/>
    </row>
    <row r="74" spans="1:12" ht="13.5" hidden="1" thickBot="1">
      <c r="A74" s="21" t="s">
        <v>10</v>
      </c>
      <c r="B74" s="22">
        <f aca="true" t="shared" si="33" ref="B74:K74">B71/$L$40</f>
        <v>0.5523002011977816</v>
      </c>
      <c r="C74" s="22">
        <f t="shared" si="33"/>
        <v>0.1312117928412367</v>
      </c>
      <c r="D74" s="22">
        <f t="shared" si="33"/>
        <v>0.12091535486449641</v>
      </c>
      <c r="E74" s="22">
        <f t="shared" si="33"/>
        <v>0.05103557047085412</v>
      </c>
      <c r="F74" s="22">
        <f t="shared" si="33"/>
        <v>0.005268484001301275</v>
      </c>
      <c r="G74" s="22">
        <f t="shared" si="33"/>
        <v>0.03649310647774762</v>
      </c>
      <c r="H74" s="22">
        <f t="shared" si="33"/>
        <v>0.0029823710657804117</v>
      </c>
      <c r="I74" s="22">
        <f t="shared" si="33"/>
        <v>0.04415231663353258</v>
      </c>
      <c r="J74" s="22">
        <f t="shared" si="33"/>
        <v>0.015651613721025293</v>
      </c>
      <c r="K74" s="25">
        <f t="shared" si="33"/>
        <v>0.006370566802880075</v>
      </c>
      <c r="L74" s="20"/>
    </row>
    <row r="75" ht="12.75" hidden="1"/>
    <row r="76" spans="2:11" ht="12.75" hidden="1">
      <c r="B76" s="45">
        <f>B73/B42</f>
        <v>0.9612437375611925</v>
      </c>
      <c r="C76" s="45">
        <f aca="true" t="shared" si="34" ref="C76:K76">C73/C42</f>
        <v>0.9567360338677162</v>
      </c>
      <c r="D76" s="45">
        <f t="shared" si="34"/>
        <v>0.9283197971855665</v>
      </c>
      <c r="E76" s="45">
        <f>E73/E42</f>
        <v>1.0365041029666588</v>
      </c>
      <c r="F76" s="45">
        <f t="shared" si="34"/>
        <v>0.9735346748644236</v>
      </c>
      <c r="G76" s="45">
        <f t="shared" si="34"/>
        <v>1.1288401919905444</v>
      </c>
      <c r="H76" s="45">
        <f t="shared" si="34"/>
        <v>0.8736917589066503</v>
      </c>
      <c r="I76" s="45">
        <f t="shared" si="34"/>
        <v>1.0409614396133213</v>
      </c>
      <c r="J76" s="45">
        <f>J73/J42</f>
        <v>0.849307848628427</v>
      </c>
      <c r="K76" s="45">
        <f t="shared" si="34"/>
        <v>0.5971801928189534</v>
      </c>
    </row>
    <row r="77" ht="12.75" hidden="1"/>
    <row r="78" spans="1:11" ht="12.75" hidden="1">
      <c r="A78" s="10" t="s">
        <v>34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2.75" hidden="1">
      <c r="A79" s="6"/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2.75" hidden="1">
      <c r="A80" s="6" t="s">
        <v>11</v>
      </c>
      <c r="B80" s="20">
        <f>B76</f>
        <v>0.9612437375611925</v>
      </c>
      <c r="C80" s="20">
        <f aca="true" t="shared" si="35" ref="C80:K80">C76</f>
        <v>0.9567360338677162</v>
      </c>
      <c r="D80" s="20">
        <f t="shared" si="35"/>
        <v>0.9283197971855665</v>
      </c>
      <c r="E80" s="20">
        <f>E76</f>
        <v>1.0365041029666588</v>
      </c>
      <c r="F80" s="20">
        <f t="shared" si="35"/>
        <v>0.9735346748644236</v>
      </c>
      <c r="G80" s="20">
        <f t="shared" si="35"/>
        <v>1.1288401919905444</v>
      </c>
      <c r="H80" s="20">
        <f t="shared" si="35"/>
        <v>0.8736917589066503</v>
      </c>
      <c r="I80" s="20">
        <f t="shared" si="35"/>
        <v>1.0409614396133213</v>
      </c>
      <c r="J80" s="20">
        <f>J76</f>
        <v>0.849307848628427</v>
      </c>
      <c r="K80" s="26">
        <f t="shared" si="35"/>
        <v>0.5971801928189534</v>
      </c>
    </row>
    <row r="81" spans="1:11" ht="12.75" hidden="1">
      <c r="A81" s="6"/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2" ht="12.75" hidden="1">
      <c r="A82" s="37" t="str">
        <f>A69</f>
        <v>2006 Total Revenue %</v>
      </c>
      <c r="B82" s="17">
        <f>B67</f>
        <v>5341206.682755163</v>
      </c>
      <c r="C82" s="17">
        <f aca="true" t="shared" si="36" ref="C82:K82">C67</f>
        <v>1196120.1400675857</v>
      </c>
      <c r="D82" s="17">
        <f t="shared" si="36"/>
        <v>1102258.3265197924</v>
      </c>
      <c r="E82" s="17">
        <f>E67</f>
        <v>465237.70751223434</v>
      </c>
      <c r="F82" s="17">
        <f t="shared" si="36"/>
        <v>48027.23661588313</v>
      </c>
      <c r="G82" s="17">
        <f t="shared" si="36"/>
        <v>332669.33319385763</v>
      </c>
      <c r="H82" s="17">
        <f t="shared" si="36"/>
        <v>27187.145451560908</v>
      </c>
      <c r="I82" s="17">
        <f t="shared" si="36"/>
        <v>402490.30984516814</v>
      </c>
      <c r="J82" s="17">
        <f>J67</f>
        <v>142679.32775622356</v>
      </c>
      <c r="K82" s="19">
        <f t="shared" si="36"/>
        <v>58073.76830671622</v>
      </c>
      <c r="L82" s="5">
        <f>SUM(B82:K82)</f>
        <v>9115949.978024185</v>
      </c>
    </row>
    <row r="83" spans="1:12" ht="12.75" hidden="1">
      <c r="A83" s="6" t="s">
        <v>22</v>
      </c>
      <c r="B83" s="17"/>
      <c r="C83" s="17"/>
      <c r="D83" s="17"/>
      <c r="E83" s="17"/>
      <c r="F83" s="17"/>
      <c r="G83" s="17"/>
      <c r="H83" s="17"/>
      <c r="I83" s="17">
        <f>I82*((0.7-0.6303)*1.529)</f>
        <v>42893.915557602355</v>
      </c>
      <c r="J83" s="17">
        <f>J82*((0.7-0.6303)*1.529)</f>
        <v>15205.521442106823</v>
      </c>
      <c r="K83" s="19"/>
      <c r="L83" s="5">
        <f>SUM(B83:K83)</f>
        <v>58099.43699970918</v>
      </c>
    </row>
    <row r="84" spans="1:12" ht="12.75" hidden="1">
      <c r="A84" s="6" t="s">
        <v>23</v>
      </c>
      <c r="B84" s="17">
        <f aca="true" t="shared" si="37" ref="B84:H84">-$I83*B82/($L82-$I82)</f>
        <v>-26293.260903298695</v>
      </c>
      <c r="C84" s="17">
        <f t="shared" si="37"/>
        <v>-5888.163627149579</v>
      </c>
      <c r="D84" s="17">
        <f t="shared" si="37"/>
        <v>-5426.108271674013</v>
      </c>
      <c r="E84" s="17">
        <f t="shared" si="37"/>
        <v>-2290.2346140557465</v>
      </c>
      <c r="F84" s="17">
        <f t="shared" si="37"/>
        <v>-236.42460174457938</v>
      </c>
      <c r="G84" s="17">
        <f t="shared" si="37"/>
        <v>-1637.6377271513009</v>
      </c>
      <c r="H84" s="17">
        <f t="shared" si="37"/>
        <v>-133.83468400160936</v>
      </c>
      <c r="I84" s="17">
        <v>0</v>
      </c>
      <c r="J84" s="17">
        <v>0</v>
      </c>
      <c r="K84" s="19">
        <f>-$I83*K82/($L82-$I82)</f>
        <v>-285.88085659672697</v>
      </c>
      <c r="L84" s="5">
        <f>SUM(B84:K84)</f>
        <v>-42191.54528567225</v>
      </c>
    </row>
    <row r="85" spans="1:12" ht="12.75" hidden="1">
      <c r="A85" s="6"/>
      <c r="B85" s="17"/>
      <c r="C85" s="17"/>
      <c r="D85" s="17"/>
      <c r="E85" s="17"/>
      <c r="F85" s="17"/>
      <c r="G85" s="17"/>
      <c r="H85" s="17"/>
      <c r="I85" s="17"/>
      <c r="J85" s="17"/>
      <c r="K85" s="19"/>
      <c r="L85" s="43">
        <f>SUM(B85:K85)</f>
        <v>0</v>
      </c>
    </row>
    <row r="86" spans="1:12" ht="12.75" hidden="1">
      <c r="A86" s="6" t="s">
        <v>24</v>
      </c>
      <c r="B86" s="17">
        <f aca="true" t="shared" si="38" ref="B86:K86">B82+B83+B84</f>
        <v>5314913.421851864</v>
      </c>
      <c r="C86" s="17">
        <f t="shared" si="38"/>
        <v>1190231.9764404362</v>
      </c>
      <c r="D86" s="17">
        <f t="shared" si="38"/>
        <v>1096832.2182481184</v>
      </c>
      <c r="E86" s="17">
        <f>E82+E83+E84</f>
        <v>462947.4728981786</v>
      </c>
      <c r="F86" s="17">
        <f t="shared" si="38"/>
        <v>47790.81201413855</v>
      </c>
      <c r="G86" s="17">
        <f t="shared" si="38"/>
        <v>331031.69546670635</v>
      </c>
      <c r="H86" s="17">
        <f t="shared" si="38"/>
        <v>27053.3107675593</v>
      </c>
      <c r="I86" s="17">
        <f t="shared" si="38"/>
        <v>445384.2254027705</v>
      </c>
      <c r="J86" s="17">
        <f>J82+J83+J84</f>
        <v>157884.84919833037</v>
      </c>
      <c r="K86" s="19">
        <f t="shared" si="38"/>
        <v>57787.887450119495</v>
      </c>
      <c r="L86" s="5">
        <f>SUM(B86:K86)</f>
        <v>9131857.869738221</v>
      </c>
    </row>
    <row r="87" spans="1:13" ht="12.75" customHeight="1" hidden="1">
      <c r="A87" s="6"/>
      <c r="B87" s="20"/>
      <c r="C87" s="20"/>
      <c r="D87" s="20"/>
      <c r="E87" s="20"/>
      <c r="F87" s="20"/>
      <c r="G87" s="20"/>
      <c r="H87" s="20"/>
      <c r="I87" s="32"/>
      <c r="J87" s="32"/>
      <c r="K87" s="26"/>
      <c r="L87" s="30"/>
      <c r="M87" s="30"/>
    </row>
    <row r="88" spans="1:13" ht="12.75" hidden="1">
      <c r="A88" s="6" t="s">
        <v>25</v>
      </c>
      <c r="B88" s="9">
        <f aca="true" t="shared" si="39" ref="B88:K88">B86/$L86</f>
        <v>0.582018850672741</v>
      </c>
      <c r="C88" s="9">
        <f t="shared" si="39"/>
        <v>0.1303384254790812</v>
      </c>
      <c r="D88" s="9">
        <f t="shared" si="39"/>
        <v>0.12011052229392186</v>
      </c>
      <c r="E88" s="9">
        <f t="shared" si="39"/>
        <v>0.0506958692855181</v>
      </c>
      <c r="F88" s="9">
        <f t="shared" si="39"/>
        <v>0.005233416101723509</v>
      </c>
      <c r="G88" s="9">
        <f t="shared" si="39"/>
        <v>0.036250202334368556</v>
      </c>
      <c r="H88" s="9">
        <f t="shared" si="39"/>
        <v>0.0029625199114421633</v>
      </c>
      <c r="I88" s="9">
        <f t="shared" si="39"/>
        <v>0.04877257528051498</v>
      </c>
      <c r="J88" s="9">
        <f t="shared" si="39"/>
        <v>0.01728945538251751</v>
      </c>
      <c r="K88" s="24">
        <f t="shared" si="39"/>
        <v>0.006328163258171262</v>
      </c>
      <c r="L88" s="46">
        <f>SUM(B88:K88)</f>
        <v>1</v>
      </c>
      <c r="M88" s="30"/>
    </row>
    <row r="89" spans="1:13" ht="12.75" hidden="1">
      <c r="A89" s="6"/>
      <c r="B89" s="9"/>
      <c r="C89" s="9"/>
      <c r="D89" s="9"/>
      <c r="E89" s="9"/>
      <c r="F89" s="9"/>
      <c r="G89" s="9"/>
      <c r="H89" s="9"/>
      <c r="I89" s="9"/>
      <c r="J89" s="9"/>
      <c r="K89" s="24"/>
      <c r="L89" s="30"/>
      <c r="M89" s="30"/>
    </row>
    <row r="90" spans="1:13" ht="12.75" hidden="1">
      <c r="A90" s="6" t="s">
        <v>28</v>
      </c>
      <c r="B90" s="17">
        <f aca="true" t="shared" si="40" ref="B90:K90">B88*$L$28</f>
        <v>5735080.926560171</v>
      </c>
      <c r="C90" s="17">
        <f t="shared" si="40"/>
        <v>1284325.098918952</v>
      </c>
      <c r="D90" s="17">
        <f t="shared" si="40"/>
        <v>1183541.6751379005</v>
      </c>
      <c r="E90" s="17">
        <f t="shared" si="40"/>
        <v>499545.52616070374</v>
      </c>
      <c r="F90" s="17">
        <f t="shared" si="40"/>
        <v>51568.887899515415</v>
      </c>
      <c r="G90" s="17">
        <f t="shared" si="40"/>
        <v>357201.22080492787</v>
      </c>
      <c r="H90" s="17">
        <f t="shared" si="40"/>
        <v>29191.995102955905</v>
      </c>
      <c r="I90" s="17">
        <f t="shared" si="40"/>
        <v>480593.825968328</v>
      </c>
      <c r="J90" s="17">
        <f t="shared" si="40"/>
        <v>170366.34755090292</v>
      </c>
      <c r="K90" s="19">
        <f t="shared" si="40"/>
        <v>62356.27653665727</v>
      </c>
      <c r="L90" s="39">
        <f>SUM(B90:K90)</f>
        <v>9853771.780641014</v>
      </c>
      <c r="M90" s="30"/>
    </row>
    <row r="91" spans="1:13" ht="12.75" hidden="1">
      <c r="A91" s="6" t="s">
        <v>27</v>
      </c>
      <c r="B91" s="38">
        <f>B72</f>
        <v>554319.6723041174</v>
      </c>
      <c r="C91" s="38">
        <f aca="true" t="shared" si="41" ref="C91:K91">C72</f>
        <v>116324.49081320594</v>
      </c>
      <c r="D91" s="38">
        <f t="shared" si="41"/>
        <v>103917.9892995467</v>
      </c>
      <c r="E91" s="38">
        <f>E72</f>
        <v>48687.29355087324</v>
      </c>
      <c r="F91" s="38">
        <f t="shared" si="41"/>
        <v>4750.8629255417045</v>
      </c>
      <c r="G91" s="38">
        <f t="shared" si="41"/>
        <v>37193.034795571286</v>
      </c>
      <c r="H91" s="38">
        <f t="shared" si="41"/>
        <v>2391.303168349831</v>
      </c>
      <c r="I91" s="38">
        <f t="shared" si="41"/>
        <v>42272.487664089946</v>
      </c>
      <c r="J91" s="38">
        <f>J72</f>
        <v>12105.49689922852</v>
      </c>
      <c r="K91" s="40">
        <f t="shared" si="41"/>
        <v>11092.368579475497</v>
      </c>
      <c r="L91" s="39">
        <f>SUM(B91:K91)</f>
        <v>933055</v>
      </c>
      <c r="M91" s="30"/>
    </row>
    <row r="92" spans="1:13" ht="12.75" hidden="1">
      <c r="A92" s="6" t="s">
        <v>29</v>
      </c>
      <c r="B92" s="38">
        <f aca="true" t="shared" si="42" ref="B92:K92">B90-B91</f>
        <v>5180761.254256054</v>
      </c>
      <c r="C92" s="38">
        <f t="shared" si="42"/>
        <v>1168000.608105746</v>
      </c>
      <c r="D92" s="38">
        <f t="shared" si="42"/>
        <v>1079623.6858383538</v>
      </c>
      <c r="E92" s="38">
        <f>E90-E91</f>
        <v>450858.2326098305</v>
      </c>
      <c r="F92" s="38">
        <f t="shared" si="42"/>
        <v>46818.02497397371</v>
      </c>
      <c r="G92" s="38">
        <f t="shared" si="42"/>
        <v>320008.1860093566</v>
      </c>
      <c r="H92" s="38">
        <f t="shared" si="42"/>
        <v>26800.691934606075</v>
      </c>
      <c r="I92" s="38">
        <f t="shared" si="42"/>
        <v>438321.33830423804</v>
      </c>
      <c r="J92" s="38">
        <f>J90-J91</f>
        <v>158260.8506516744</v>
      </c>
      <c r="K92" s="40">
        <f t="shared" si="42"/>
        <v>51263.90795718177</v>
      </c>
      <c r="L92" s="39">
        <f>SUM(B92:K92)</f>
        <v>8920716.780641014</v>
      </c>
      <c r="M92" s="30"/>
    </row>
    <row r="93" spans="1:13" s="42" customFormat="1" ht="13.5" hidden="1" thickBot="1">
      <c r="A93" s="21">
        <f>A76</f>
        <v>0</v>
      </c>
      <c r="B93" s="22">
        <f aca="true" t="shared" si="43" ref="B93:K93">B92/$L92</f>
        <v>0.5807561636189262</v>
      </c>
      <c r="C93" s="22">
        <f t="shared" si="43"/>
        <v>0.13093125102238895</v>
      </c>
      <c r="D93" s="22">
        <f t="shared" si="43"/>
        <v>0.12102432039780278</v>
      </c>
      <c r="E93" s="22">
        <f t="shared" si="43"/>
        <v>0.05054058364326115</v>
      </c>
      <c r="F93" s="22">
        <f t="shared" si="43"/>
        <v>0.0052482357780458</v>
      </c>
      <c r="G93" s="22">
        <f t="shared" si="43"/>
        <v>0.03587247458677439</v>
      </c>
      <c r="H93" s="22">
        <f t="shared" si="43"/>
        <v>0.003004320459177302</v>
      </c>
      <c r="I93" s="22">
        <f t="shared" si="43"/>
        <v>0.049135215149464895</v>
      </c>
      <c r="J93" s="22">
        <f t="shared" si="43"/>
        <v>0.01774082223920826</v>
      </c>
      <c r="K93" s="25">
        <f t="shared" si="43"/>
        <v>0.005746613104950308</v>
      </c>
      <c r="L93" s="41"/>
      <c r="M93" s="41"/>
    </row>
    <row r="94" ht="12.75" hidden="1"/>
    <row r="95" spans="1:11" ht="12.75" hidden="1">
      <c r="A95" t="s">
        <v>31</v>
      </c>
      <c r="B95" s="45">
        <f>B92/B42</f>
        <v>1.0188329264801153</v>
      </c>
      <c r="C95" s="45">
        <f aca="true" t="shared" si="44" ref="C95:K95">C92/C42</f>
        <v>0.9497382533058115</v>
      </c>
      <c r="D95" s="45">
        <f t="shared" si="44"/>
        <v>0.9215503267414028</v>
      </c>
      <c r="E95" s="45">
        <f>E92/E42</f>
        <v>1.028865426235015</v>
      </c>
      <c r="F95" s="45">
        <f t="shared" si="44"/>
        <v>0.9664019257017588</v>
      </c>
      <c r="G95" s="45">
        <f t="shared" si="44"/>
        <v>1.1204596413931727</v>
      </c>
      <c r="H95" s="45">
        <f t="shared" si="44"/>
        <v>0.8673611971748173</v>
      </c>
      <c r="I95" s="45">
        <f t="shared" si="44"/>
        <v>1.1616144555993049</v>
      </c>
      <c r="J95" s="45">
        <f>J92/J42</f>
        <v>0.9457525663308617</v>
      </c>
      <c r="K95" s="45">
        <f t="shared" si="44"/>
        <v>0.5923521300627549</v>
      </c>
    </row>
    <row r="96" ht="12.75" hidden="1"/>
    <row r="97" spans="1:11" ht="12.75" hidden="1">
      <c r="A97" s="10" t="s">
        <v>49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2.75" hidden="1">
      <c r="A98" s="6"/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 hidden="1">
      <c r="A99" s="6" t="s">
        <v>11</v>
      </c>
      <c r="B99" s="20">
        <f>B114</f>
        <v>1</v>
      </c>
      <c r="C99" s="20">
        <f aca="true" t="shared" si="45" ref="C99:K99">C114</f>
        <v>1</v>
      </c>
      <c r="D99" s="20">
        <f t="shared" si="45"/>
        <v>1</v>
      </c>
      <c r="E99" s="20">
        <f t="shared" si="45"/>
        <v>1</v>
      </c>
      <c r="F99" s="20">
        <f t="shared" si="45"/>
        <v>1</v>
      </c>
      <c r="G99" s="20">
        <f t="shared" si="45"/>
        <v>1</v>
      </c>
      <c r="H99" s="20">
        <f t="shared" si="45"/>
        <v>1</v>
      </c>
      <c r="I99" s="20">
        <f t="shared" si="45"/>
        <v>1</v>
      </c>
      <c r="J99" s="20">
        <f t="shared" si="45"/>
        <v>1</v>
      </c>
      <c r="K99" s="26">
        <f t="shared" si="45"/>
        <v>1</v>
      </c>
    </row>
    <row r="100" spans="1:11" ht="12.75" hidden="1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2" ht="12.75" hidden="1">
      <c r="A101" s="37" t="str">
        <f>A88</f>
        <v>2006 Adjusted Total Revenue %</v>
      </c>
      <c r="B101" s="17">
        <f>B40</f>
        <v>5639315.5726178745</v>
      </c>
      <c r="C101" s="17">
        <f aca="true" t="shared" si="46" ref="C101:K101">C40</f>
        <v>1346137.656746257</v>
      </c>
      <c r="D101" s="17">
        <f t="shared" si="46"/>
        <v>1275447.8065108298</v>
      </c>
      <c r="E101" s="17">
        <f t="shared" si="46"/>
        <v>486896.4325824776</v>
      </c>
      <c r="F101" s="17">
        <f t="shared" si="46"/>
        <v>53196.570377931675</v>
      </c>
      <c r="G101" s="17">
        <f t="shared" si="46"/>
        <v>322797.419092234</v>
      </c>
      <c r="H101" s="17">
        <f t="shared" si="46"/>
        <v>33290.416504180066</v>
      </c>
      <c r="I101" s="17">
        <f t="shared" si="46"/>
        <v>419610.5417761124</v>
      </c>
      <c r="J101" s="17">
        <f t="shared" si="46"/>
        <v>179444.0337278016</v>
      </c>
      <c r="K101" s="17">
        <f t="shared" si="46"/>
        <v>97635.3307053157</v>
      </c>
      <c r="L101" s="5">
        <f>SUM(B101:K101)</f>
        <v>9853771.780641014</v>
      </c>
    </row>
    <row r="102" spans="1:12" ht="12.75" hidden="1">
      <c r="A102" s="6" t="s">
        <v>22</v>
      </c>
      <c r="B102" s="17">
        <f>B71-B101</f>
        <v>-197075.4356128201</v>
      </c>
      <c r="C102" s="17"/>
      <c r="D102" s="17"/>
      <c r="E102" s="17"/>
      <c r="F102" s="17"/>
      <c r="G102" s="17"/>
      <c r="H102" s="17"/>
      <c r="I102" s="17"/>
      <c r="J102" s="17"/>
      <c r="K102" s="19"/>
      <c r="L102" s="5"/>
    </row>
    <row r="103" spans="1:12" ht="12.75" hidden="1">
      <c r="A103" s="6" t="s">
        <v>23</v>
      </c>
      <c r="B103" s="17">
        <f>-$F$102*B101/($L$101-$F$101)</f>
        <v>0</v>
      </c>
      <c r="C103" s="16">
        <f>-$B$102*C101/($L$101-$B$101)</f>
        <v>62947.780687114675</v>
      </c>
      <c r="D103" s="16">
        <f aca="true" t="shared" si="47" ref="D103:K103">-$B$102*D101/($L$101-$B$101)</f>
        <v>59642.19810637016</v>
      </c>
      <c r="E103" s="16">
        <f t="shared" si="47"/>
        <v>22768.13942611336</v>
      </c>
      <c r="F103" s="16">
        <f t="shared" si="47"/>
        <v>2487.565835986346</v>
      </c>
      <c r="G103" s="16">
        <f t="shared" si="47"/>
        <v>15094.578954501923</v>
      </c>
      <c r="H103" s="16">
        <f t="shared" si="47"/>
        <v>1556.718829300855</v>
      </c>
      <c r="I103" s="16">
        <f t="shared" si="47"/>
        <v>19621.732016299255</v>
      </c>
      <c r="J103" s="16">
        <f t="shared" si="47"/>
        <v>8391.120792216314</v>
      </c>
      <c r="K103" s="16">
        <f t="shared" si="47"/>
        <v>4565.6009649172265</v>
      </c>
      <c r="L103" s="5"/>
    </row>
    <row r="104" spans="1:12" ht="12.75" hidden="1">
      <c r="A104" s="6"/>
      <c r="B104" s="17">
        <f>B103</f>
        <v>0</v>
      </c>
      <c r="C104" s="17">
        <f aca="true" t="shared" si="48" ref="C104:K104">C103</f>
        <v>62947.780687114675</v>
      </c>
      <c r="D104" s="17">
        <f t="shared" si="48"/>
        <v>59642.19810637016</v>
      </c>
      <c r="E104" s="17">
        <f t="shared" si="48"/>
        <v>22768.13942611336</v>
      </c>
      <c r="F104" s="17">
        <f t="shared" si="48"/>
        <v>2487.565835986346</v>
      </c>
      <c r="G104" s="17">
        <f t="shared" si="48"/>
        <v>15094.578954501923</v>
      </c>
      <c r="H104" s="17">
        <f t="shared" si="48"/>
        <v>1556.718829300855</v>
      </c>
      <c r="I104" s="17">
        <f t="shared" si="48"/>
        <v>19621.732016299255</v>
      </c>
      <c r="J104" s="17">
        <f t="shared" si="48"/>
        <v>8391.120792216314</v>
      </c>
      <c r="K104" s="19">
        <f t="shared" si="48"/>
        <v>4565.6009649172265</v>
      </c>
      <c r="L104" s="43"/>
    </row>
    <row r="105" spans="1:12" ht="12.75" hidden="1">
      <c r="A105" s="6" t="s">
        <v>24</v>
      </c>
      <c r="B105" s="17">
        <f>B101+B103+B102</f>
        <v>5442240.137005054</v>
      </c>
      <c r="C105" s="17">
        <f aca="true" t="shared" si="49" ref="C105:K105">C101+C103</f>
        <v>1409085.4374333718</v>
      </c>
      <c r="D105" s="17">
        <f t="shared" si="49"/>
        <v>1335090.0046172</v>
      </c>
      <c r="E105" s="17">
        <f>E101+E103</f>
        <v>509664.5720085909</v>
      </c>
      <c r="F105" s="17">
        <f>F101+F103+F102</f>
        <v>55684.13621391802</v>
      </c>
      <c r="G105" s="17">
        <f t="shared" si="49"/>
        <v>337891.99804673594</v>
      </c>
      <c r="H105" s="17">
        <f t="shared" si="49"/>
        <v>34847.135333480925</v>
      </c>
      <c r="I105" s="17">
        <f t="shared" si="49"/>
        <v>439232.27379241167</v>
      </c>
      <c r="J105" s="17">
        <f>J101+J103</f>
        <v>187835.1545200179</v>
      </c>
      <c r="K105" s="19">
        <f t="shared" si="49"/>
        <v>102200.93167023294</v>
      </c>
      <c r="L105" s="5">
        <f>SUM(B105:K105)</f>
        <v>9853771.780641014</v>
      </c>
    </row>
    <row r="106" spans="1:13" ht="12.75" customHeight="1" hidden="1">
      <c r="A106" s="6"/>
      <c r="B106" s="20"/>
      <c r="C106" s="20"/>
      <c r="D106" s="20"/>
      <c r="E106" s="20"/>
      <c r="F106" s="20"/>
      <c r="G106" s="20"/>
      <c r="H106" s="20"/>
      <c r="I106" s="32"/>
      <c r="J106" s="32"/>
      <c r="K106" s="26"/>
      <c r="L106" s="30"/>
      <c r="M106" s="30"/>
    </row>
    <row r="107" spans="1:13" ht="12.75" hidden="1">
      <c r="A107" s="6" t="s">
        <v>25</v>
      </c>
      <c r="B107" s="9">
        <f aca="true" t="shared" si="50" ref="B107:K107">B105/$L$105</f>
        <v>0.5523002011977816</v>
      </c>
      <c r="C107" s="9">
        <f t="shared" si="50"/>
        <v>0.1429996014522783</v>
      </c>
      <c r="D107" s="9">
        <f t="shared" si="50"/>
        <v>0.1354902502654013</v>
      </c>
      <c r="E107" s="9">
        <f t="shared" si="50"/>
        <v>0.051722790354236915</v>
      </c>
      <c r="F107" s="9">
        <f t="shared" si="50"/>
        <v>0.005651047888415335</v>
      </c>
      <c r="G107" s="9">
        <f t="shared" si="50"/>
        <v>0.034290625515659666</v>
      </c>
      <c r="H107" s="9">
        <f t="shared" si="50"/>
        <v>0.003536426061941332</v>
      </c>
      <c r="I107" s="9">
        <f t="shared" si="50"/>
        <v>0.04457504025568557</v>
      </c>
      <c r="J107" s="9">
        <f t="shared" si="50"/>
        <v>0.01906225947804514</v>
      </c>
      <c r="K107" s="24">
        <f t="shared" si="50"/>
        <v>0.010371757530554915</v>
      </c>
      <c r="L107" s="46"/>
      <c r="M107" s="30"/>
    </row>
    <row r="108" spans="1:13" ht="12.75" hidden="1">
      <c r="A108" s="6"/>
      <c r="B108" s="9"/>
      <c r="C108" s="9"/>
      <c r="D108" s="9"/>
      <c r="E108" s="9"/>
      <c r="F108" s="9"/>
      <c r="G108" s="9"/>
      <c r="H108" s="9"/>
      <c r="I108" s="9"/>
      <c r="J108" s="9"/>
      <c r="K108" s="24"/>
      <c r="L108" s="30"/>
      <c r="M108" s="30"/>
    </row>
    <row r="109" spans="1:13" ht="12.75" hidden="1">
      <c r="A109" s="6" t="s">
        <v>28</v>
      </c>
      <c r="B109" s="17">
        <f>B105</f>
        <v>5442240.137005054</v>
      </c>
      <c r="C109" s="17">
        <f aca="true" t="shared" si="51" ref="C109:K109">C105</f>
        <v>1409085.4374333718</v>
      </c>
      <c r="D109" s="17">
        <f t="shared" si="51"/>
        <v>1335090.0046172</v>
      </c>
      <c r="E109" s="17">
        <f t="shared" si="51"/>
        <v>509664.5720085909</v>
      </c>
      <c r="F109" s="17">
        <f t="shared" si="51"/>
        <v>55684.13621391802</v>
      </c>
      <c r="G109" s="17">
        <f t="shared" si="51"/>
        <v>337891.99804673594</v>
      </c>
      <c r="H109" s="17">
        <f t="shared" si="51"/>
        <v>34847.135333480925</v>
      </c>
      <c r="I109" s="17">
        <f t="shared" si="51"/>
        <v>439232.27379241167</v>
      </c>
      <c r="J109" s="17">
        <f t="shared" si="51"/>
        <v>187835.1545200179</v>
      </c>
      <c r="K109" s="17">
        <f t="shared" si="51"/>
        <v>102200.93167023294</v>
      </c>
      <c r="L109" s="39">
        <f>SUM(B109:K109)</f>
        <v>9853771.780641014</v>
      </c>
      <c r="M109" s="30"/>
    </row>
    <row r="110" spans="1:13" ht="12.75" hidden="1">
      <c r="A110" s="6" t="s">
        <v>27</v>
      </c>
      <c r="B110" s="38">
        <v>554090.750701108</v>
      </c>
      <c r="C110" s="38">
        <v>116276.45140519518</v>
      </c>
      <c r="D110" s="38">
        <v>103875.07349864596</v>
      </c>
      <c r="E110" s="38">
        <v>48667.18678966175</v>
      </c>
      <c r="F110" s="38">
        <v>4748.900925614708</v>
      </c>
      <c r="G110" s="38">
        <v>37177.67490565291</v>
      </c>
      <c r="H110" s="38">
        <v>2390.3156137275955</v>
      </c>
      <c r="I110" s="38">
        <v>42255.030073961425</v>
      </c>
      <c r="J110" s="38">
        <v>12100.497600279092</v>
      </c>
      <c r="K110" s="40">
        <v>11473.118486153386</v>
      </c>
      <c r="L110" s="39">
        <f>SUM(B110:K110)</f>
        <v>933055</v>
      </c>
      <c r="M110" s="30"/>
    </row>
    <row r="111" spans="1:13" ht="12.75" hidden="1">
      <c r="A111" s="6" t="s">
        <v>29</v>
      </c>
      <c r="B111" s="38">
        <v>5382567.494025061</v>
      </c>
      <c r="C111" s="38">
        <v>1292820.289064341</v>
      </c>
      <c r="D111" s="38">
        <v>1276659.4114562708</v>
      </c>
      <c r="E111" s="38">
        <v>499594.7519954636</v>
      </c>
      <c r="F111" s="38">
        <v>55482.10604226256</v>
      </c>
      <c r="G111" s="38">
        <v>296024.70279420307</v>
      </c>
      <c r="H111" s="38">
        <v>33285.22042818033</v>
      </c>
      <c r="I111" s="38">
        <v>406053.1547661122</v>
      </c>
      <c r="J111" s="38">
        <v>74447.2530511892</v>
      </c>
      <c r="K111" s="40">
        <v>94477.61637691381</v>
      </c>
      <c r="L111" s="39">
        <f>SUM(B111:K111)</f>
        <v>9411411.999999998</v>
      </c>
      <c r="M111" s="30"/>
    </row>
    <row r="112" spans="1:13" s="42" customFormat="1" ht="13.5" hidden="1" thickBot="1">
      <c r="A112" s="21" t="str">
        <f>A95</f>
        <v>Actual Applied for RC</v>
      </c>
      <c r="B112" s="22">
        <f aca="true" t="shared" si="52" ref="B112:K112">B111/$L$111</f>
        <v>0.5719192289132664</v>
      </c>
      <c r="C112" s="22">
        <f t="shared" si="52"/>
        <v>0.1373673035527869</v>
      </c>
      <c r="D112" s="22">
        <f t="shared" si="52"/>
        <v>0.13565014595644853</v>
      </c>
      <c r="E112" s="22">
        <f t="shared" si="52"/>
        <v>0.05308393171985922</v>
      </c>
      <c r="F112" s="22">
        <f t="shared" si="52"/>
        <v>0.005895194689411384</v>
      </c>
      <c r="G112" s="22">
        <f t="shared" si="52"/>
        <v>0.031453803403166614</v>
      </c>
      <c r="H112" s="22">
        <f t="shared" si="52"/>
        <v>0.0035366872078472747</v>
      </c>
      <c r="I112" s="22">
        <f t="shared" si="52"/>
        <v>0.04314476454395071</v>
      </c>
      <c r="J112" s="22">
        <f t="shared" si="52"/>
        <v>0.00791031707582127</v>
      </c>
      <c r="K112" s="25">
        <f t="shared" si="52"/>
        <v>0.010038622937441675</v>
      </c>
      <c r="L112" s="41"/>
      <c r="M112" s="41"/>
    </row>
    <row r="114" spans="1:11" ht="12.75">
      <c r="A114" s="42" t="s">
        <v>48</v>
      </c>
      <c r="B114" s="45">
        <f>B40/B40</f>
        <v>1</v>
      </c>
      <c r="C114" s="45">
        <f aca="true" t="shared" si="53" ref="C114:K114">C40/C40</f>
        <v>1</v>
      </c>
      <c r="D114" s="45">
        <f t="shared" si="53"/>
        <v>1</v>
      </c>
      <c r="E114" s="45">
        <f t="shared" si="53"/>
        <v>1</v>
      </c>
      <c r="F114" s="45">
        <f t="shared" si="53"/>
        <v>1</v>
      </c>
      <c r="G114" s="45">
        <f t="shared" si="53"/>
        <v>1</v>
      </c>
      <c r="H114" s="45">
        <f t="shared" si="53"/>
        <v>1</v>
      </c>
      <c r="I114" s="45">
        <f t="shared" si="53"/>
        <v>1</v>
      </c>
      <c r="J114" s="45">
        <f t="shared" si="53"/>
        <v>1</v>
      </c>
      <c r="K114" s="45">
        <f t="shared" si="53"/>
        <v>1</v>
      </c>
    </row>
    <row r="116" spans="2:7" ht="12.75">
      <c r="B116" s="2"/>
      <c r="G116" s="2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mckenzie</dc:creator>
  <cp:keywords/>
  <dc:description/>
  <cp:lastModifiedBy>Graig P</cp:lastModifiedBy>
  <cp:lastPrinted>2007-10-19T14:21:27Z</cp:lastPrinted>
  <dcterms:created xsi:type="dcterms:W3CDTF">2007-10-04T14:56:34Z</dcterms:created>
  <dcterms:modified xsi:type="dcterms:W3CDTF">2012-05-31T19:54:21Z</dcterms:modified>
  <cp:category/>
  <cp:version/>
  <cp:contentType/>
  <cp:contentStatus/>
</cp:coreProperties>
</file>