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4955" windowHeight="7425" activeTab="5"/>
  </bookViews>
  <sheets>
    <sheet name="2006" sheetId="1" r:id="rId1"/>
    <sheet name="2007" sheetId="2" r:id="rId2"/>
    <sheet name="2008" sheetId="3" r:id="rId3"/>
    <sheet name="2009" sheetId="4" r:id="rId4"/>
    <sheet name="2010" sheetId="5" r:id="rId5"/>
    <sheet name="Bridge" sheetId="6" r:id="rId6"/>
    <sheet name="Test"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<sst xmlns="http://schemas.openxmlformats.org/spreadsheetml/2006/main" count="504" uniqueCount="62">
  <si>
    <t>File Number:</t>
  </si>
  <si>
    <t>Appendix 2-B</t>
  </si>
  <si>
    <t>Fixed Asset Continuity Schedule</t>
  </si>
  <si>
    <r>
      <t xml:space="preserve">Year </t>
    </r>
    <r>
      <rPr>
        <b/>
        <vertAlign val="superscript"/>
        <sz val="10"/>
        <rFont val="Arial"/>
        <family val="2"/>
      </rPr>
      <t>1</t>
    </r>
  </si>
  <si>
    <t>Cost</t>
  </si>
  <si>
    <t>Accumulated Depreciation</t>
  </si>
  <si>
    <t>CCA Class</t>
  </si>
  <si>
    <t>OEB</t>
  </si>
  <si>
    <t>Description</t>
  </si>
  <si>
    <t>Depreciation Rate</t>
  </si>
  <si>
    <t>Opening Balance</t>
  </si>
  <si>
    <t>Additions</t>
  </si>
  <si>
    <t>Disposals</t>
  </si>
  <si>
    <t>Closing Balance</t>
  </si>
  <si>
    <t>Net Book Value</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</si>
  <si>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</si>
  <si>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</si>
  <si>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</si>
  <si>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</si>
  <si>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</si>
  <si>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</si>
  <si>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</si>
  <si>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</si>
  <si>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</si>
  <si>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</si>
  <si>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</si>
  <si>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</si>
  <si>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</si>
  <si>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</si>
  <si>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</si>
  <si>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CEC</t>
  </si>
  <si>
    <t>Land Rights</t>
  </si>
  <si>
    <t>Buildings &amp; Fixtures</t>
  </si>
  <si>
    <t>Office Furniture &amp; Equipment (10 years)</t>
  </si>
  <si>
    <t>Office Furniture &amp; Equipment (5 years)</t>
  </si>
  <si>
    <t>Computer Equipment - Hardware</t>
  </si>
  <si>
    <t>Computer Equip.-Hardware(Post Mar. 22/04)</t>
  </si>
  <si>
    <t>Computer Equip.-Hardware(Post Mar. 19/07)</t>
  </si>
  <si>
    <t>Computer Software</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</si>
  <si>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</si>
  <si>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</si>
  <si>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</si>
  <si>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</si>
  <si>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</si>
  <si>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</si>
  <si>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</si>
  <si>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</si>
  <si>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Utility Premises</t>
  </si>
  <si>
    <t>System Supervisor Equipment</t>
  </si>
  <si>
    <t>Miscellaneous Fixed Assets</t>
  </si>
  <si>
    <t>Contributions &amp; Grants</t>
  </si>
  <si>
    <t>etc.</t>
  </si>
  <si>
    <t>Total</t>
  </si>
  <si>
    <t>Less: Fully Allocated Depreciation</t>
  </si>
  <si>
    <t>Transportation</t>
  </si>
  <si>
    <t>Net Depreciation</t>
  </si>
  <si>
    <r>
      <t>1</t>
    </r>
    <r>
      <rPr>
        <sz val="11"/>
        <color theme="1"/>
        <rFont val="Calibri"/>
        <family val="2"/>
      </rPr>
      <t xml:space="preserve"> Provide a Fixed Asset Continuity Schedule for 5 historic Years, Bridge Year and Test Year</t>
    </r>
  </si>
  <si>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</si>
  <si>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</si>
  <si>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</si>
  <si>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</si>
  <si>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EB-2012-0121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</si>
</sst>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mmmm\ d\,\ yyyy;@"/>
    <numFmt numFmtId="165" formatCode="_-&quot;$&quot;* #,##0_-;\-&quot;$&quot;* #,##0_-;_-&quot;$&quot;* &quot;-&quot;??_-;_-@_-"/>
    <numFmt numFmtId="166" formatCode="_(&quot;$&quot;* #,##0_);_(&quot;$&quot;* \(#,##0\);_(&quot;$&quot;* &quot;-&quot;??_);_(@_)"/>
  </numFmts>
  <fonts count="44">
    <font>
      <sz val="11"/>
      <color theme="1"/>
      <name val="Calibri"/>
      <family val="2"/>
    </font>
    <font>
      <sz val="11"/>
      <color indexed="8"/>
      <name val="Calibri"/>
      <family val="2"/>
    </font>
    <font>
      <b/>
      <sz val="10"/>
      <name val="Arial"/>
      <family val="2"/>
    </font>
    <font>
      <b/>
      <sz val="14"/>
      <name val="Arial"/>
      <family val="2"/>
    </font>
    <font>
      <b/>
      <vertAlign val="superscript"/>
      <sz val="10"/>
      <name val="Arial"/>
      <family val="2"/>
    </font>
    <font>
      <b/>
      <sz val="11"/>
      <name val="Arial"/>
      <family val="2"/>
    </font>
    <font>
      <b/>
      <u val="single"/>
      <sz val="11"/>
      <name val="Arial"/>
      <family val="2"/>
    </font>
    <font>
      <sz val="10"/>
      <name val="Arial"/>
      <family val="2"/>
    </font>
    <font>
      <vertAlign val="superscript"/>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right style="thin"/>
      <top/>
      <bottom style="thin"/>
    </border>
    <border>
      <left style="thin"/>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2" fillId="0" borderId="0" xfId="0" applyFont="1" applyAlignment="1">
      <alignment/>
    </xf>
    <xf numFmtId="0" fontId="0" fillId="33" borderId="0" xfId="0" applyFill="1" applyAlignment="1">
      <alignment/>
    </xf>
    <xf numFmtId="0" fontId="2" fillId="0" borderId="0" xfId="0" applyFont="1" applyAlignment="1">
      <alignment horizontal="right"/>
    </xf>
    <xf numFmtId="0" fontId="6" fillId="0" borderId="0" xfId="0" applyFont="1" applyAlignment="1">
      <alignment horizontal="center"/>
    </xf>
    <xf numFmtId="0" fontId="0" fillId="0" borderId="0" xfId="0" applyFill="1" applyBorder="1" applyAlignment="1">
      <alignment/>
    </xf>
    <xf numFmtId="0" fontId="0" fillId="34" borderId="10" xfId="0"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horizontal="center" wrapText="1"/>
    </xf>
    <xf numFmtId="0" fontId="2" fillId="34" borderId="13" xfId="0" applyFont="1" applyFill="1" applyBorder="1" applyAlignment="1">
      <alignment horizontal="center"/>
    </xf>
    <xf numFmtId="0" fontId="2" fillId="34" borderId="13" xfId="0" applyFont="1" applyFill="1" applyBorder="1" applyAlignment="1">
      <alignment/>
    </xf>
    <xf numFmtId="0" fontId="0" fillId="34" borderId="14" xfId="0" applyFill="1" applyBorder="1" applyAlignment="1">
      <alignment/>
    </xf>
    <xf numFmtId="0" fontId="2" fillId="34" borderId="15" xfId="0" applyFont="1" applyFill="1" applyBorder="1" applyAlignment="1">
      <alignment horizontal="center" wrapText="1"/>
    </xf>
    <xf numFmtId="0" fontId="2" fillId="34" borderId="16" xfId="0" applyFont="1" applyFill="1" applyBorder="1" applyAlignment="1">
      <alignment horizontal="center"/>
    </xf>
    <xf numFmtId="0" fontId="2" fillId="34" borderId="16" xfId="0" applyFont="1" applyFill="1" applyBorder="1" applyAlignment="1">
      <alignment horizontal="center" wrapText="1"/>
    </xf>
    <xf numFmtId="0" fontId="0" fillId="0" borderId="13" xfId="0" applyBorder="1" applyAlignment="1">
      <alignment horizontal="center"/>
    </xf>
    <xf numFmtId="0" fontId="0" fillId="0" borderId="13" xfId="0" applyBorder="1" applyAlignment="1">
      <alignment/>
    </xf>
    <xf numFmtId="10" fontId="0" fillId="33" borderId="13" xfId="0" applyNumberFormat="1" applyFill="1" applyBorder="1" applyAlignment="1">
      <alignment/>
    </xf>
    <xf numFmtId="165" fontId="0" fillId="33" borderId="13" xfId="44" applyNumberFormat="1" applyFont="1" applyFill="1" applyBorder="1" applyAlignment="1">
      <alignment/>
    </xf>
    <xf numFmtId="165" fontId="0" fillId="0" borderId="13" xfId="44" applyNumberFormat="1" applyFont="1" applyBorder="1" applyAlignment="1">
      <alignment/>
    </xf>
    <xf numFmtId="0" fontId="0" fillId="0" borderId="14" xfId="0" applyBorder="1" applyAlignment="1">
      <alignment/>
    </xf>
    <xf numFmtId="165" fontId="0" fillId="33" borderId="12" xfId="44" applyNumberFormat="1" applyFont="1" applyFill="1" applyBorder="1" applyAlignment="1">
      <alignment/>
    </xf>
    <xf numFmtId="165" fontId="0" fillId="0" borderId="13" xfId="0" applyNumberFormat="1" applyBorder="1" applyAlignment="1">
      <alignment/>
    </xf>
    <xf numFmtId="0" fontId="7" fillId="0" borderId="13" xfId="0" applyFont="1" applyBorder="1" applyAlignment="1">
      <alignment/>
    </xf>
    <xf numFmtId="0" fontId="7" fillId="0" borderId="13" xfId="0" applyFont="1" applyBorder="1" applyAlignment="1">
      <alignment horizontal="center"/>
    </xf>
    <xf numFmtId="165" fontId="0" fillId="33" borderId="0" xfId="44" applyNumberFormat="1" applyFont="1" applyFill="1" applyAlignment="1">
      <alignment/>
    </xf>
    <xf numFmtId="0" fontId="7" fillId="0" borderId="13" xfId="0" applyFont="1" applyFill="1" applyBorder="1" applyAlignment="1">
      <alignment horizontal="center"/>
    </xf>
    <xf numFmtId="0" fontId="7" fillId="0" borderId="13" xfId="0" applyFont="1" applyFill="1" applyBorder="1" applyAlignment="1">
      <alignment/>
    </xf>
    <xf numFmtId="0" fontId="0" fillId="33" borderId="13" xfId="0" applyFill="1" applyBorder="1" applyAlignment="1">
      <alignment/>
    </xf>
    <xf numFmtId="0" fontId="2" fillId="0" borderId="13" xfId="0" applyFont="1" applyBorder="1" applyAlignment="1">
      <alignment/>
    </xf>
    <xf numFmtId="165" fontId="2" fillId="0" borderId="13" xfId="0" applyNumberFormat="1" applyFont="1" applyBorder="1" applyAlignment="1">
      <alignment/>
    </xf>
    <xf numFmtId="0" fontId="2" fillId="0" borderId="0" xfId="0" applyFont="1" applyBorder="1" applyAlignment="1">
      <alignment/>
    </xf>
    <xf numFmtId="165" fontId="2" fillId="0" borderId="13" xfId="44" applyNumberFormat="1" applyFont="1" applyBorder="1" applyAlignment="1">
      <alignment/>
    </xf>
    <xf numFmtId="0" fontId="0" fillId="0" borderId="0" xfId="0" applyAlignment="1">
      <alignment/>
    </xf>
    <xf numFmtId="165" fontId="0" fillId="33" borderId="17" xfId="44" applyNumberFormat="1" applyFont="1" applyFill="1" applyBorder="1" applyAlignment="1">
      <alignment/>
    </xf>
    <xf numFmtId="0" fontId="0" fillId="0" borderId="0" xfId="0" applyFill="1" applyBorder="1" applyAlignment="1">
      <alignment/>
    </xf>
    <xf numFmtId="165" fontId="0" fillId="0" borderId="11" xfId="44" applyNumberFormat="1" applyFont="1" applyBorder="1" applyAlignment="1">
      <alignment/>
    </xf>
    <xf numFmtId="0" fontId="9" fillId="0" borderId="0" xfId="0" applyFont="1" applyAlignment="1">
      <alignment horizontal="center"/>
    </xf>
    <xf numFmtId="165" fontId="0" fillId="0" borderId="0" xfId="0" applyNumberFormat="1" applyAlignment="1">
      <alignment/>
    </xf>
    <xf numFmtId="44" fontId="0" fillId="0" borderId="0" xfId="0" applyNumberFormat="1" applyAlignment="1">
      <alignment/>
    </xf>
    <xf numFmtId="9" fontId="0" fillId="0" borderId="0" xfId="57" applyFont="1" applyAlignment="1">
      <alignment/>
    </xf>
    <xf numFmtId="166" fontId="0" fillId="0" borderId="0" xfId="0" applyNumberFormat="1" applyAlignment="1">
      <alignment/>
    </xf>
    <xf numFmtId="0" fontId="27" fillId="0" borderId="0" xfId="0" applyFont="1" applyFill="1" applyBorder="1" applyAlignment="1">
      <alignment/>
    </xf>
    <xf numFmtId="0" fontId="9" fillId="0" borderId="0" xfId="0" applyFont="1" applyFill="1" applyBorder="1" applyAlignment="1">
      <alignment/>
    </xf>
    <xf numFmtId="0" fontId="43" fillId="0" borderId="0" xfId="0" applyFont="1" applyFill="1" applyBorder="1" applyAlignment="1">
      <alignment/>
    </xf>
    <xf numFmtId="0" fontId="7" fillId="0" borderId="0" xfId="0" applyFont="1" applyFill="1" applyBorder="1" applyAlignment="1">
      <alignment/>
    </xf>
    <xf numFmtId="166" fontId="43" fillId="0" borderId="0" xfId="44" applyNumberFormat="1" applyFont="1" applyFill="1" applyBorder="1" applyAlignment="1">
      <alignment/>
    </xf>
    <xf numFmtId="166" fontId="43" fillId="0" borderId="0" xfId="0" applyNumberFormat="1" applyFont="1" applyFill="1" applyBorder="1" applyAlignment="1">
      <alignment/>
    </xf>
    <xf numFmtId="166" fontId="0" fillId="0" borderId="0" xfId="0" applyNumberFormat="1" applyFill="1" applyBorder="1" applyAlignment="1">
      <alignment/>
    </xf>
    <xf numFmtId="43" fontId="0" fillId="0" borderId="0" xfId="42" applyFont="1" applyAlignment="1">
      <alignment/>
    </xf>
    <xf numFmtId="43" fontId="0" fillId="0" borderId="0" xfId="0" applyNumberFormat="1" applyAlignment="1">
      <alignment/>
    </xf>
    <xf numFmtId="0" fontId="0" fillId="0" borderId="0" xfId="0" applyAlignment="1">
      <alignment horizontal="center"/>
    </xf>
    <xf numFmtId="0" fontId="7"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horizontal="center"/>
    </xf>
    <xf numFmtId="0" fontId="5" fillId="33" borderId="0" xfId="0" applyFont="1" applyFill="1" applyAlignment="1">
      <alignment horizontal="center"/>
    </xf>
    <xf numFmtId="0" fontId="2" fillId="34" borderId="10" xfId="0" applyFont="1" applyFill="1" applyBorder="1" applyAlignment="1">
      <alignment horizontal="center"/>
    </xf>
    <xf numFmtId="0" fontId="2" fillId="34" borderId="11" xfId="0" applyFont="1" applyFill="1" applyBorder="1" applyAlignment="1">
      <alignment horizontal="center"/>
    </xf>
    <xf numFmtId="0" fontId="2" fillId="34" borderId="12" xfId="0" applyFont="1" applyFill="1" applyBorder="1" applyAlignment="1">
      <alignment horizontal="center"/>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Fill="1" applyAlignment="1">
      <alignment horizontal="center"/>
    </xf>
    <xf numFmtId="0" fontId="0" fillId="0" borderId="0" xfId="0" applyFill="1" applyAlignment="1">
      <alignment/>
    </xf>
    <xf numFmtId="0" fontId="2" fillId="0" borderId="0" xfId="0" applyFont="1" applyFill="1" applyAlignment="1">
      <alignment/>
    </xf>
    <xf numFmtId="164"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raigp\My%20Documents\2012%20Cost%20of%20Service\Written%20Exibits\Updated%20Models%20March%202012\Copy%20of%2000%20coss%20201203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raigp\My%20Documents\2012%20Cost%20of%20Service\Written%20Exibits\Updated%20Models%20March%202012\ETPL%202012%20Revenue%20Requirement%20Model%20March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1 Intro"/>
      <sheetName val="I2 LDC class"/>
      <sheetName val="I3 TB Data"/>
      <sheetName val="I4 BO ASSETS"/>
      <sheetName val="I5.1 Misc Data"/>
      <sheetName val="I5.2 Weighting Factors"/>
      <sheetName val="I6.1 Revenue"/>
      <sheetName val="I6.2 Customer Data"/>
      <sheetName val="I7.1 Meter Capital"/>
      <sheetName val="I7.2 Meter Reading"/>
      <sheetName val="I8 Demand Data"/>
      <sheetName val="I9 Direct Allocation"/>
      <sheetName val="O1 Revenue to cost|RR"/>
      <sheetName val="O2 Fixed Charge|Floor|Ceiling"/>
      <sheetName val="O2.1 Line Tran PLCC Adj"/>
      <sheetName val="O2.2 Primary Cost PLCC Adj"/>
      <sheetName val="O2.3 Secondary Cost PLCC Adj"/>
      <sheetName val="O3.1 Line Tran Unit Cost"/>
      <sheetName val="O3.2 Substat Tran Unit Cost "/>
      <sheetName val="O3.3 Primary Cost Pool"/>
      <sheetName val="O3.4 Secondary Cost Pool"/>
      <sheetName val="O3.5 USL Metering Credit"/>
      <sheetName val="O3.6 MicroFIT Charge"/>
      <sheetName val="O4 Summary by Class &amp; Accounts"/>
      <sheetName val="O5 Details by Class &amp; Accounts"/>
      <sheetName val="O6 Source Data for E2"/>
      <sheetName val="O7 Amortization"/>
      <sheetName val="E1 Categorization"/>
      <sheetName val="E2 Allocators"/>
      <sheetName val="E3 PLCC"/>
      <sheetName val="E4 TB Allocation Details"/>
      <sheetName val="E5 Reconciliation"/>
      <sheetName val="Click here if complet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Entry"/>
      <sheetName val="OM&amp;A TEST"/>
      <sheetName val="Capital Test"/>
      <sheetName val="Rate Base Summary"/>
      <sheetName val="Materiality Threshold"/>
      <sheetName val="Customer Count Forecast"/>
      <sheetName val="Customer-Load Forecast"/>
      <sheetName val="COP Projections"/>
      <sheetName val="Distribution Revenue Data"/>
      <sheetName val="Other Revenue"/>
      <sheetName val="Summary of Revenue"/>
      <sheetName val="Sheet1"/>
      <sheetName val="WCA by Account"/>
      <sheetName val="REV REQ"/>
      <sheetName val="Summary of Op Costs"/>
      <sheetName val="OM&amp;A Costs"/>
      <sheetName val="DepAmortDepletion"/>
      <sheetName val="Loss Factor"/>
      <sheetName val="Income Tax"/>
      <sheetName val="CCA"/>
      <sheetName val="Interest Expense"/>
      <sheetName val="Capital Structure"/>
      <sheetName val="Debt Details"/>
      <sheetName val="Return on Equity"/>
      <sheetName val="Rev Def or Suf"/>
      <sheetName val="Regulated Return"/>
      <sheetName val="2011 Proforma"/>
      <sheetName val="2012 Proforma"/>
    </sheetNames>
    <sheetDataSet>
      <sheetData sheetId="19">
        <row r="47">
          <cell r="D47">
            <v>3179030.62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Q72"/>
  <sheetViews>
    <sheetView zoomScalePageLayoutView="0" workbookViewId="0" topLeftCell="A1">
      <selection activeCell="A1" sqref="A1:IV7"/>
    </sheetView>
  </sheetViews>
  <sheetFormatPr defaultColWidth="9.140625" defaultRowHeight="15"/>
  <cols>
    <col min="1" max="1" width="2.8515625" style="0" customWidth="1"/>
    <col min="2" max="2" width="7.7109375" style="1" customWidth="1"/>
    <col min="3" max="3" width="6.421875" style="1" customWidth="1"/>
    <col min="4" max="4" width="40.140625" style="0" customWidth="1"/>
    <col min="5" max="5" width="12.7109375" style="0" customWidth="1"/>
    <col min="6" max="6" width="14.421875" style="0" customWidth="1"/>
    <col min="7" max="7" width="13.00390625" style="0" customWidth="1"/>
    <col min="8" max="8" width="11.7109375" style="0" customWidth="1"/>
    <col min="9" max="9" width="13.57421875" style="0" customWidth="1"/>
    <col min="10" max="10" width="1.7109375" style="2" customWidth="1"/>
    <col min="11" max="11" width="14.28125" style="0" customWidth="1"/>
    <col min="12" max="12" width="13.421875" style="0" customWidth="1"/>
    <col min="13" max="13" width="11.8515625" style="0" customWidth="1"/>
    <col min="14" max="14" width="14.57421875" style="0" bestFit="1" customWidth="1"/>
    <col min="15" max="15" width="14.140625" style="0" bestFit="1" customWidth="1"/>
  </cols>
  <sheetData>
    <row r="1" spans="2:15" ht="15">
      <c r="B1" s="54"/>
      <c r="C1" s="54"/>
      <c r="N1" s="3" t="s">
        <v>0</v>
      </c>
      <c r="O1" s="4" t="s">
        <v>61</v>
      </c>
    </row>
    <row r="2" spans="2:14" s="66" customFormat="1" ht="15">
      <c r="B2" s="65"/>
      <c r="C2" s="65"/>
      <c r="J2" s="7"/>
      <c r="N2" s="67"/>
    </row>
    <row r="3" spans="2:14" s="66" customFormat="1" ht="15">
      <c r="B3" s="65"/>
      <c r="C3" s="65"/>
      <c r="J3" s="7"/>
      <c r="N3" s="67"/>
    </row>
    <row r="4" spans="2:14" s="66" customFormat="1" ht="15">
      <c r="B4" s="65"/>
      <c r="C4" s="65"/>
      <c r="J4" s="7"/>
      <c r="N4" s="67"/>
    </row>
    <row r="5" spans="2:14" s="66" customFormat="1" ht="15">
      <c r="B5" s="65"/>
      <c r="C5" s="65"/>
      <c r="J5" s="7"/>
      <c r="N5" s="67"/>
    </row>
    <row r="6" spans="2:14" s="66" customFormat="1" ht="9" customHeight="1">
      <c r="B6" s="65"/>
      <c r="C6" s="65"/>
      <c r="J6" s="7"/>
      <c r="N6" s="67"/>
    </row>
    <row r="7" spans="2:15" s="66" customFormat="1" ht="15">
      <c r="B7" s="65"/>
      <c r="C7" s="65"/>
      <c r="J7" s="7"/>
      <c r="N7" s="67"/>
      <c r="O7" s="68"/>
    </row>
    <row r="8" ht="9" customHeight="1"/>
    <row r="9" spans="6:9" ht="20.25" customHeight="1">
      <c r="F9" s="57" t="s">
        <v>1</v>
      </c>
      <c r="G9" s="57"/>
      <c r="H9" s="57"/>
      <c r="I9" s="57"/>
    </row>
    <row r="10" spans="6:10" ht="18">
      <c r="F10" s="57" t="s">
        <v>2</v>
      </c>
      <c r="G10" s="57"/>
      <c r="H10" s="57"/>
      <c r="I10" s="57"/>
      <c r="J10" s="57"/>
    </row>
    <row r="12" spans="6:9" ht="15">
      <c r="F12" s="5" t="s">
        <v>3</v>
      </c>
      <c r="G12" s="58">
        <v>2006</v>
      </c>
      <c r="H12" s="58"/>
      <c r="I12" s="6"/>
    </row>
    <row r="14" spans="5:15" ht="15">
      <c r="E14" s="7"/>
      <c r="F14" s="59" t="s">
        <v>4</v>
      </c>
      <c r="G14" s="60"/>
      <c r="H14" s="60"/>
      <c r="I14" s="61"/>
      <c r="K14" s="8"/>
      <c r="L14" s="9" t="s">
        <v>5</v>
      </c>
      <c r="M14" s="9"/>
      <c r="N14" s="10"/>
      <c r="O14" s="2"/>
    </row>
    <row r="15" spans="2:15" ht="26.25">
      <c r="B15" s="11" t="s">
        <v>6</v>
      </c>
      <c r="C15" s="12" t="s">
        <v>7</v>
      </c>
      <c r="D15" s="13" t="s">
        <v>8</v>
      </c>
      <c r="E15" s="11" t="s">
        <v>9</v>
      </c>
      <c r="F15" s="11" t="s">
        <v>10</v>
      </c>
      <c r="G15" s="12" t="s">
        <v>11</v>
      </c>
      <c r="H15" s="12" t="s">
        <v>12</v>
      </c>
      <c r="I15" s="11" t="s">
        <v>13</v>
      </c>
      <c r="J15" s="14"/>
      <c r="K15" s="15" t="s">
        <v>10</v>
      </c>
      <c r="L15" s="16" t="s">
        <v>11</v>
      </c>
      <c r="M15" s="16" t="s">
        <v>12</v>
      </c>
      <c r="N15" s="17" t="s">
        <v>13</v>
      </c>
      <c r="O15" s="11" t="s">
        <v>14</v>
      </c>
    </row>
    <row r="16" spans="2:15" ht="15">
      <c r="B16" s="18" t="s">
        <v>15</v>
      </c>
      <c r="C16" s="18">
        <v>1805</v>
      </c>
      <c r="D16" s="19" t="s">
        <v>16</v>
      </c>
      <c r="E16" s="20"/>
      <c r="F16" s="21">
        <v>150428.71000000002</v>
      </c>
      <c r="G16" s="21"/>
      <c r="H16" s="21"/>
      <c r="I16" s="22">
        <f>F16+G16+H16</f>
        <v>150428.71000000002</v>
      </c>
      <c r="J16" s="23"/>
      <c r="K16" s="24">
        <v>0</v>
      </c>
      <c r="L16" s="21"/>
      <c r="M16" s="21"/>
      <c r="N16" s="22">
        <f>K16+L16+M16</f>
        <v>0</v>
      </c>
      <c r="O16" s="25">
        <f>I16+N16</f>
        <v>150428.71000000002</v>
      </c>
    </row>
    <row r="17" spans="2:15" ht="15">
      <c r="B17" s="18">
        <v>47</v>
      </c>
      <c r="C17" s="18">
        <v>1808</v>
      </c>
      <c r="D17" s="19" t="s">
        <v>17</v>
      </c>
      <c r="E17" s="20">
        <f>1/25</f>
        <v>0.04</v>
      </c>
      <c r="F17" s="21">
        <v>121536</v>
      </c>
      <c r="G17" s="21">
        <v>813</v>
      </c>
      <c r="H17" s="21"/>
      <c r="I17" s="22">
        <f aca="true" t="shared" si="0" ref="I17:I52">F17+G17+H17</f>
        <v>122349</v>
      </c>
      <c r="J17" s="23"/>
      <c r="K17" s="24">
        <v>-23136</v>
      </c>
      <c r="L17" s="21">
        <f>-4573</f>
        <v>-4573</v>
      </c>
      <c r="M17" s="21"/>
      <c r="N17" s="22">
        <f aca="true" t="shared" si="1" ref="N17:N52">K17+L17+M17</f>
        <v>-27709</v>
      </c>
      <c r="O17" s="25">
        <f aca="true" t="shared" si="2" ref="O17:O54">I17+N17</f>
        <v>94640</v>
      </c>
    </row>
    <row r="18" spans="2:17" ht="15">
      <c r="B18" s="18">
        <v>13</v>
      </c>
      <c r="C18" s="18">
        <v>1810</v>
      </c>
      <c r="D18" s="19" t="s">
        <v>18</v>
      </c>
      <c r="E18" s="20">
        <f>1/10</f>
        <v>0.1</v>
      </c>
      <c r="F18" s="21"/>
      <c r="G18" s="21">
        <v>7040</v>
      </c>
      <c r="H18" s="21"/>
      <c r="I18" s="22">
        <f t="shared" si="0"/>
        <v>7040</v>
      </c>
      <c r="J18" s="23"/>
      <c r="K18" s="24">
        <v>0</v>
      </c>
      <c r="L18" s="21">
        <v>-1408</v>
      </c>
      <c r="M18" s="21"/>
      <c r="N18" s="22">
        <f t="shared" si="1"/>
        <v>-1408</v>
      </c>
      <c r="O18" s="25">
        <f t="shared" si="2"/>
        <v>5632</v>
      </c>
      <c r="Q18" s="43">
        <f>L18/I18</f>
        <v>-0.2</v>
      </c>
    </row>
    <row r="19" spans="2:15" ht="15">
      <c r="B19" s="18">
        <v>47</v>
      </c>
      <c r="C19" s="18">
        <v>1815</v>
      </c>
      <c r="D19" s="19" t="s">
        <v>19</v>
      </c>
      <c r="E19" s="20"/>
      <c r="F19" s="21"/>
      <c r="G19" s="21"/>
      <c r="H19" s="21"/>
      <c r="I19" s="22">
        <f t="shared" si="0"/>
        <v>0</v>
      </c>
      <c r="J19" s="23"/>
      <c r="K19" s="24"/>
      <c r="L19" s="21"/>
      <c r="M19" s="21"/>
      <c r="N19" s="22">
        <f t="shared" si="1"/>
        <v>0</v>
      </c>
      <c r="O19" s="25">
        <f t="shared" si="2"/>
        <v>0</v>
      </c>
    </row>
    <row r="20" spans="2:15" ht="15">
      <c r="B20" s="18">
        <v>47</v>
      </c>
      <c r="C20" s="18">
        <v>1820</v>
      </c>
      <c r="D20" s="26" t="s">
        <v>20</v>
      </c>
      <c r="E20" s="20">
        <f>1/25</f>
        <v>0.04</v>
      </c>
      <c r="F20" s="21">
        <v>395684.78</v>
      </c>
      <c r="G20" s="21">
        <f>42104+36880</f>
        <v>78984</v>
      </c>
      <c r="H20" s="21"/>
      <c r="I20" s="22">
        <f t="shared" si="0"/>
        <v>474668.78</v>
      </c>
      <c r="J20" s="23"/>
      <c r="K20" s="24">
        <f>-34271-39117-27434</f>
        <v>-100822</v>
      </c>
      <c r="L20" s="21">
        <f>-7604-32183-7038</f>
        <v>-46825</v>
      </c>
      <c r="M20" s="21"/>
      <c r="N20" s="22">
        <f t="shared" si="1"/>
        <v>-147647</v>
      </c>
      <c r="O20" s="25">
        <f t="shared" si="2"/>
        <v>327021.78</v>
      </c>
    </row>
    <row r="21" spans="2:15" ht="15">
      <c r="B21" s="18">
        <v>47</v>
      </c>
      <c r="C21" s="18">
        <v>1825</v>
      </c>
      <c r="D21" s="19" t="s">
        <v>21</v>
      </c>
      <c r="E21" s="20">
        <f aca="true" t="shared" si="3" ref="E21:E28">1/25</f>
        <v>0.04</v>
      </c>
      <c r="F21" s="21"/>
      <c r="G21" s="21"/>
      <c r="H21" s="21"/>
      <c r="I21" s="22">
        <f t="shared" si="0"/>
        <v>0</v>
      </c>
      <c r="J21" s="23"/>
      <c r="K21" s="24"/>
      <c r="L21" s="21"/>
      <c r="M21" s="21"/>
      <c r="N21" s="22">
        <f t="shared" si="1"/>
        <v>0</v>
      </c>
      <c r="O21" s="25">
        <f t="shared" si="2"/>
        <v>0</v>
      </c>
    </row>
    <row r="22" spans="2:15" ht="15">
      <c r="B22" s="18">
        <v>47</v>
      </c>
      <c r="C22" s="18">
        <v>1830</v>
      </c>
      <c r="D22" s="19" t="s">
        <v>22</v>
      </c>
      <c r="E22" s="20">
        <f t="shared" si="3"/>
        <v>0.04</v>
      </c>
      <c r="F22" s="21">
        <v>3189081.66</v>
      </c>
      <c r="G22" s="21">
        <f>293752+38006+17473</f>
        <v>349231</v>
      </c>
      <c r="H22" s="21"/>
      <c r="I22" s="22">
        <f t="shared" si="0"/>
        <v>3538312.66</v>
      </c>
      <c r="J22" s="23"/>
      <c r="K22" s="24">
        <f>-213609-817493-52251</f>
        <v>-1083353</v>
      </c>
      <c r="L22" s="21">
        <f>-60337-44408-12744</f>
        <v>-117489</v>
      </c>
      <c r="M22" s="21"/>
      <c r="N22" s="22">
        <f t="shared" si="1"/>
        <v>-1200842</v>
      </c>
      <c r="O22" s="25">
        <f t="shared" si="2"/>
        <v>2337470.66</v>
      </c>
    </row>
    <row r="23" spans="2:15" ht="15">
      <c r="B23" s="18">
        <v>47</v>
      </c>
      <c r="C23" s="18">
        <v>1835</v>
      </c>
      <c r="D23" s="19" t="s">
        <v>23</v>
      </c>
      <c r="E23" s="20">
        <f t="shared" si="3"/>
        <v>0.04</v>
      </c>
      <c r="F23" s="21">
        <v>6795863.8</v>
      </c>
      <c r="G23" s="21">
        <f>592270+20672</f>
        <v>612942</v>
      </c>
      <c r="H23" s="21">
        <v>-4044</v>
      </c>
      <c r="I23" s="22">
        <f t="shared" si="0"/>
        <v>7404761.8</v>
      </c>
      <c r="J23" s="23"/>
      <c r="K23" s="24">
        <f>-1098949-44433-5753</f>
        <v>-1149135</v>
      </c>
      <c r="L23" s="21">
        <f>-276511-12769-1380</f>
        <v>-290660</v>
      </c>
      <c r="M23" s="21"/>
      <c r="N23" s="22">
        <f t="shared" si="1"/>
        <v>-1439795</v>
      </c>
      <c r="O23" s="25">
        <f t="shared" si="2"/>
        <v>5964966.8</v>
      </c>
    </row>
    <row r="24" spans="2:15" ht="15">
      <c r="B24" s="18">
        <v>47</v>
      </c>
      <c r="C24" s="18">
        <v>1840</v>
      </c>
      <c r="D24" s="19" t="s">
        <v>24</v>
      </c>
      <c r="E24" s="20">
        <f t="shared" si="3"/>
        <v>0.04</v>
      </c>
      <c r="F24" s="21">
        <v>1930232.865</v>
      </c>
      <c r="G24" s="21">
        <f>24782+26662</f>
        <v>51444</v>
      </c>
      <c r="H24" s="21">
        <v>-6855</v>
      </c>
      <c r="I24" s="22">
        <f>F24+G24+H24</f>
        <v>1974821.865</v>
      </c>
      <c r="J24" s="23"/>
      <c r="K24" s="24">
        <f>-112713-395147-89158</f>
        <v>-597018</v>
      </c>
      <c r="L24" s="21">
        <f>-28360-24784-16295</f>
        <v>-69439</v>
      </c>
      <c r="M24" s="21"/>
      <c r="N24" s="22">
        <f t="shared" si="1"/>
        <v>-666457</v>
      </c>
      <c r="O24" s="25">
        <f t="shared" si="2"/>
        <v>1308364.865</v>
      </c>
    </row>
    <row r="25" spans="2:15" ht="15">
      <c r="B25" s="18">
        <v>47</v>
      </c>
      <c r="C25" s="18">
        <v>1845</v>
      </c>
      <c r="D25" s="19" t="s">
        <v>25</v>
      </c>
      <c r="E25" s="20">
        <f t="shared" si="3"/>
        <v>0.04</v>
      </c>
      <c r="F25" s="21">
        <v>2891470.85</v>
      </c>
      <c r="G25" s="21">
        <f>385186+21063+18789</f>
        <v>425038</v>
      </c>
      <c r="H25" s="21"/>
      <c r="I25" s="22">
        <f t="shared" si="0"/>
        <v>3316508.85</v>
      </c>
      <c r="J25" s="23"/>
      <c r="K25" s="24">
        <f>-507207-522-4005</f>
        <v>-511734</v>
      </c>
      <c r="L25" s="21">
        <f>-127620+11817-1616</f>
        <v>-117419</v>
      </c>
      <c r="M25" s="21"/>
      <c r="N25" s="22">
        <f t="shared" si="1"/>
        <v>-629153</v>
      </c>
      <c r="O25" s="25">
        <f t="shared" si="2"/>
        <v>2687355.85</v>
      </c>
    </row>
    <row r="26" spans="2:15" ht="15">
      <c r="B26" s="18">
        <v>47</v>
      </c>
      <c r="C26" s="18">
        <v>1850</v>
      </c>
      <c r="D26" s="19" t="s">
        <v>26</v>
      </c>
      <c r="E26" s="20">
        <f t="shared" si="3"/>
        <v>0.04</v>
      </c>
      <c r="F26" s="21">
        <v>4439831.62</v>
      </c>
      <c r="G26" s="21">
        <f>265945+207141+3115</f>
        <v>476201</v>
      </c>
      <c r="H26" s="21"/>
      <c r="I26" s="22">
        <f t="shared" si="0"/>
        <v>4916032.62</v>
      </c>
      <c r="J26" s="23"/>
      <c r="K26" s="24">
        <f>-535385-541654-24962</f>
        <v>-1102001</v>
      </c>
      <c r="L26" s="21">
        <f>-134711-102756-4887</f>
        <v>-242354</v>
      </c>
      <c r="M26" s="21"/>
      <c r="N26" s="22">
        <f t="shared" si="1"/>
        <v>-1344355</v>
      </c>
      <c r="O26" s="25">
        <f t="shared" si="2"/>
        <v>3571677.62</v>
      </c>
    </row>
    <row r="27" spans="2:15" ht="15">
      <c r="B27" s="18">
        <v>47</v>
      </c>
      <c r="C27" s="18">
        <v>1855</v>
      </c>
      <c r="D27" s="19" t="s">
        <v>27</v>
      </c>
      <c r="E27" s="20">
        <f t="shared" si="3"/>
        <v>0.04</v>
      </c>
      <c r="F27" s="21">
        <v>1512413.74</v>
      </c>
      <c r="G27" s="21">
        <f>295086+44419+16040</f>
        <v>355545</v>
      </c>
      <c r="H27" s="21"/>
      <c r="I27" s="22">
        <f t="shared" si="0"/>
        <v>1867958.74</v>
      </c>
      <c r="J27" s="23"/>
      <c r="K27" s="24">
        <f>-281782-21813-1492</f>
        <v>-305087</v>
      </c>
      <c r="L27" s="21">
        <f>-70900-1159-1107</f>
        <v>-73166</v>
      </c>
      <c r="M27" s="21"/>
      <c r="N27" s="22">
        <f t="shared" si="1"/>
        <v>-378253</v>
      </c>
      <c r="O27" s="25">
        <f t="shared" si="2"/>
        <v>1489705.74</v>
      </c>
    </row>
    <row r="28" spans="2:15" ht="15">
      <c r="B28" s="18">
        <v>47</v>
      </c>
      <c r="C28" s="18">
        <v>1860</v>
      </c>
      <c r="D28" s="19" t="s">
        <v>28</v>
      </c>
      <c r="E28" s="20">
        <f t="shared" si="3"/>
        <v>0.04</v>
      </c>
      <c r="F28" s="21">
        <v>2048408.0150000001</v>
      </c>
      <c r="G28" s="21">
        <f>209605+33208+1567</f>
        <v>244380</v>
      </c>
      <c r="H28" s="21"/>
      <c r="I28" s="22">
        <f t="shared" si="0"/>
        <v>2292788.015</v>
      </c>
      <c r="J28" s="23"/>
      <c r="K28" s="24">
        <f>-281782-153843-18003</f>
        <v>-453628</v>
      </c>
      <c r="L28" s="21">
        <f>-70900-8174-3326</f>
        <v>-82400</v>
      </c>
      <c r="M28" s="21"/>
      <c r="N28" s="22">
        <f t="shared" si="1"/>
        <v>-536028</v>
      </c>
      <c r="O28" s="25">
        <f t="shared" si="2"/>
        <v>1756760.0150000001</v>
      </c>
    </row>
    <row r="29" spans="2:15" ht="15">
      <c r="B29" s="18">
        <v>47</v>
      </c>
      <c r="C29" s="18">
        <v>1860</v>
      </c>
      <c r="D29" s="19" t="s">
        <v>29</v>
      </c>
      <c r="E29" s="20"/>
      <c r="F29" s="21"/>
      <c r="G29" s="21"/>
      <c r="H29" s="21"/>
      <c r="I29" s="22">
        <f t="shared" si="0"/>
        <v>0</v>
      </c>
      <c r="J29" s="23"/>
      <c r="K29" s="24"/>
      <c r="L29" s="21"/>
      <c r="M29" s="21"/>
      <c r="N29" s="22">
        <f t="shared" si="1"/>
        <v>0</v>
      </c>
      <c r="O29" s="25">
        <f t="shared" si="2"/>
        <v>0</v>
      </c>
    </row>
    <row r="30" spans="2:15" ht="15">
      <c r="B30" s="18" t="s">
        <v>15</v>
      </c>
      <c r="C30" s="18">
        <v>1905</v>
      </c>
      <c r="D30" s="19" t="s">
        <v>16</v>
      </c>
      <c r="E30" s="20"/>
      <c r="F30" s="21"/>
      <c r="G30" s="21"/>
      <c r="H30" s="21"/>
      <c r="I30" s="22">
        <f t="shared" si="0"/>
        <v>0</v>
      </c>
      <c r="J30" s="23"/>
      <c r="K30" s="24"/>
      <c r="L30" s="21"/>
      <c r="M30" s="21"/>
      <c r="N30" s="22">
        <f t="shared" si="1"/>
        <v>0</v>
      </c>
      <c r="O30" s="25">
        <f t="shared" si="2"/>
        <v>0</v>
      </c>
    </row>
    <row r="31" spans="2:15" ht="15">
      <c r="B31" s="18" t="s">
        <v>30</v>
      </c>
      <c r="C31" s="18">
        <v>1906</v>
      </c>
      <c r="D31" s="19" t="s">
        <v>31</v>
      </c>
      <c r="E31" s="20"/>
      <c r="F31" s="21"/>
      <c r="G31" s="21"/>
      <c r="H31" s="21"/>
      <c r="I31" s="22">
        <f t="shared" si="0"/>
        <v>0</v>
      </c>
      <c r="J31" s="23"/>
      <c r="K31" s="24"/>
      <c r="L31" s="21"/>
      <c r="M31" s="21"/>
      <c r="N31" s="22">
        <f t="shared" si="1"/>
        <v>0</v>
      </c>
      <c r="O31" s="25">
        <f t="shared" si="2"/>
        <v>0</v>
      </c>
    </row>
    <row r="32" spans="2:15" ht="15">
      <c r="B32" s="18">
        <v>47</v>
      </c>
      <c r="C32" s="18">
        <v>1908</v>
      </c>
      <c r="D32" s="19" t="s">
        <v>32</v>
      </c>
      <c r="E32" s="20"/>
      <c r="F32" s="21"/>
      <c r="G32" s="21"/>
      <c r="H32" s="21"/>
      <c r="I32" s="22">
        <f t="shared" si="0"/>
        <v>0</v>
      </c>
      <c r="J32" s="23"/>
      <c r="K32" s="24"/>
      <c r="L32" s="21"/>
      <c r="M32" s="21"/>
      <c r="N32" s="22">
        <f t="shared" si="1"/>
        <v>0</v>
      </c>
      <c r="O32" s="25">
        <f t="shared" si="2"/>
        <v>0</v>
      </c>
    </row>
    <row r="33" spans="2:15" ht="15">
      <c r="B33" s="18">
        <v>13</v>
      </c>
      <c r="C33" s="18">
        <v>1910</v>
      </c>
      <c r="D33" s="19" t="s">
        <v>18</v>
      </c>
      <c r="E33" s="20"/>
      <c r="F33" s="21"/>
      <c r="G33" s="21"/>
      <c r="H33" s="21"/>
      <c r="I33" s="22">
        <f t="shared" si="0"/>
        <v>0</v>
      </c>
      <c r="J33" s="23"/>
      <c r="K33" s="24"/>
      <c r="L33" s="21"/>
      <c r="M33" s="21"/>
      <c r="N33" s="22">
        <f t="shared" si="1"/>
        <v>0</v>
      </c>
      <c r="O33" s="25">
        <f t="shared" si="2"/>
        <v>0</v>
      </c>
    </row>
    <row r="34" spans="2:15" ht="15">
      <c r="B34" s="18">
        <v>8</v>
      </c>
      <c r="C34" s="18">
        <v>1915</v>
      </c>
      <c r="D34" s="19" t="s">
        <v>33</v>
      </c>
      <c r="E34" s="20">
        <f>1/10</f>
        <v>0.1</v>
      </c>
      <c r="F34" s="21">
        <v>52107.28</v>
      </c>
      <c r="G34" s="21">
        <f>3173</f>
        <v>3173</v>
      </c>
      <c r="H34" s="21"/>
      <c r="I34" s="22">
        <f t="shared" si="0"/>
        <v>55280.28</v>
      </c>
      <c r="J34" s="23"/>
      <c r="K34" s="24">
        <f>-3978-15696-4352</f>
        <v>-24026</v>
      </c>
      <c r="L34" s="21">
        <f>-1444-14385-743</f>
        <v>-16572</v>
      </c>
      <c r="M34" s="21"/>
      <c r="N34" s="22">
        <f t="shared" si="1"/>
        <v>-40598</v>
      </c>
      <c r="O34" s="25">
        <f t="shared" si="2"/>
        <v>14682.279999999999</v>
      </c>
    </row>
    <row r="35" spans="2:15" ht="15">
      <c r="B35" s="18">
        <v>8</v>
      </c>
      <c r="C35" s="18">
        <v>1915</v>
      </c>
      <c r="D35" s="19" t="s">
        <v>34</v>
      </c>
      <c r="E35" s="20">
        <f>1/5</f>
        <v>0.2</v>
      </c>
      <c r="F35" s="21"/>
      <c r="G35" s="21"/>
      <c r="H35" s="21"/>
      <c r="I35" s="22">
        <f t="shared" si="0"/>
        <v>0</v>
      </c>
      <c r="J35" s="23"/>
      <c r="K35" s="24"/>
      <c r="L35" s="21"/>
      <c r="M35" s="21"/>
      <c r="N35" s="22">
        <f t="shared" si="1"/>
        <v>0</v>
      </c>
      <c r="O35" s="25">
        <f t="shared" si="2"/>
        <v>0</v>
      </c>
    </row>
    <row r="36" spans="2:15" ht="15">
      <c r="B36" s="18">
        <v>10</v>
      </c>
      <c r="C36" s="18">
        <v>1920</v>
      </c>
      <c r="D36" s="19" t="s">
        <v>35</v>
      </c>
      <c r="E36" s="20">
        <f>1/5</f>
        <v>0.2</v>
      </c>
      <c r="F36" s="21">
        <v>63625.57000000001</v>
      </c>
      <c r="G36" s="21">
        <f>5243+484</f>
        <v>5727</v>
      </c>
      <c r="H36" s="21"/>
      <c r="I36" s="22">
        <f t="shared" si="0"/>
        <v>69352.57</v>
      </c>
      <c r="J36" s="23"/>
      <c r="K36" s="24">
        <f>-3586-20567-11580</f>
        <v>-35733</v>
      </c>
      <c r="L36" s="21">
        <f>-2377-14002-194</f>
        <v>-16573</v>
      </c>
      <c r="M36" s="21"/>
      <c r="N36" s="22">
        <f t="shared" si="1"/>
        <v>-52306</v>
      </c>
      <c r="O36" s="25">
        <f t="shared" si="2"/>
        <v>17046.570000000007</v>
      </c>
    </row>
    <row r="37" spans="2:15" ht="15">
      <c r="B37" s="18">
        <v>45</v>
      </c>
      <c r="C37" s="27">
        <v>1920</v>
      </c>
      <c r="D37" s="26" t="s">
        <v>36</v>
      </c>
      <c r="E37" s="20"/>
      <c r="F37" s="21"/>
      <c r="G37" s="21"/>
      <c r="H37" s="21"/>
      <c r="I37" s="22">
        <f t="shared" si="0"/>
        <v>0</v>
      </c>
      <c r="J37" s="23"/>
      <c r="K37" s="24"/>
      <c r="L37" s="21"/>
      <c r="M37" s="21"/>
      <c r="N37" s="22">
        <f t="shared" si="1"/>
        <v>0</v>
      </c>
      <c r="O37" s="25">
        <f t="shared" si="2"/>
        <v>0</v>
      </c>
    </row>
    <row r="38" spans="2:15" ht="15">
      <c r="B38" s="18">
        <v>45.1</v>
      </c>
      <c r="C38" s="27">
        <v>1920</v>
      </c>
      <c r="D38" s="26" t="s">
        <v>37</v>
      </c>
      <c r="E38" s="20"/>
      <c r="F38" s="21"/>
      <c r="G38" s="21"/>
      <c r="H38" s="21"/>
      <c r="I38" s="22">
        <f t="shared" si="0"/>
        <v>0</v>
      </c>
      <c r="J38" s="23"/>
      <c r="K38" s="24"/>
      <c r="L38" s="21"/>
      <c r="M38" s="21"/>
      <c r="N38" s="22">
        <f t="shared" si="1"/>
        <v>0</v>
      </c>
      <c r="O38" s="25">
        <f t="shared" si="2"/>
        <v>0</v>
      </c>
    </row>
    <row r="39" spans="2:15" ht="15">
      <c r="B39" s="18">
        <v>12</v>
      </c>
      <c r="C39" s="18">
        <v>1925</v>
      </c>
      <c r="D39" s="19" t="s">
        <v>38</v>
      </c>
      <c r="E39" s="20">
        <f>1/5</f>
        <v>0.2</v>
      </c>
      <c r="F39" s="21">
        <v>306987.86</v>
      </c>
      <c r="G39" s="21">
        <f>32677+58102</f>
        <v>90779</v>
      </c>
      <c r="H39" s="21"/>
      <c r="I39" s="22">
        <f t="shared" si="0"/>
        <v>397766.86</v>
      </c>
      <c r="J39" s="23"/>
      <c r="K39" s="24">
        <f>-86045-18980-867</f>
        <v>-105892</v>
      </c>
      <c r="L39" s="21">
        <f>-57058-54986-1303</f>
        <v>-113347</v>
      </c>
      <c r="M39" s="21"/>
      <c r="N39" s="22">
        <f t="shared" si="1"/>
        <v>-219239</v>
      </c>
      <c r="O39" s="25">
        <f t="shared" si="2"/>
        <v>178527.86</v>
      </c>
    </row>
    <row r="40" spans="2:15" ht="15">
      <c r="B40" s="18">
        <v>10</v>
      </c>
      <c r="C40" s="18">
        <v>1930</v>
      </c>
      <c r="D40" s="19" t="s">
        <v>39</v>
      </c>
      <c r="E40" s="20">
        <f>1/8</f>
        <v>0.125</v>
      </c>
      <c r="F40" s="21">
        <v>17152.3</v>
      </c>
      <c r="G40" s="21"/>
      <c r="H40" s="21"/>
      <c r="I40" s="22">
        <f t="shared" si="0"/>
        <v>17152.3</v>
      </c>
      <c r="J40" s="23"/>
      <c r="K40" s="24">
        <f>-9677</f>
        <v>-9677</v>
      </c>
      <c r="L40" s="21">
        <f>-1873</f>
        <v>-1873</v>
      </c>
      <c r="M40" s="21"/>
      <c r="N40" s="22">
        <f t="shared" si="1"/>
        <v>-11550</v>
      </c>
      <c r="O40" s="25">
        <f t="shared" si="2"/>
        <v>5602.299999999999</v>
      </c>
    </row>
    <row r="41" spans="2:15" ht="15">
      <c r="B41" s="18">
        <v>8</v>
      </c>
      <c r="C41" s="18">
        <v>1935</v>
      </c>
      <c r="D41" s="19" t="s">
        <v>40</v>
      </c>
      <c r="E41" s="20">
        <f>1/5</f>
        <v>0.2</v>
      </c>
      <c r="F41" s="21">
        <v>0</v>
      </c>
      <c r="G41" s="21">
        <v>458</v>
      </c>
      <c r="H41" s="21"/>
      <c r="I41" s="22">
        <f t="shared" si="0"/>
        <v>458</v>
      </c>
      <c r="J41" s="23"/>
      <c r="K41" s="24">
        <v>0</v>
      </c>
      <c r="L41" s="21">
        <v>-46</v>
      </c>
      <c r="M41" s="21"/>
      <c r="N41" s="22">
        <f t="shared" si="1"/>
        <v>-46</v>
      </c>
      <c r="O41" s="25">
        <f t="shared" si="2"/>
        <v>412</v>
      </c>
    </row>
    <row r="42" spans="2:15" ht="15">
      <c r="B42" s="18">
        <v>8</v>
      </c>
      <c r="C42" s="18">
        <v>1940</v>
      </c>
      <c r="D42" s="19" t="s">
        <v>41</v>
      </c>
      <c r="E42" s="20">
        <f>1/5</f>
        <v>0.2</v>
      </c>
      <c r="F42" s="21">
        <v>58516.91</v>
      </c>
      <c r="G42" s="21">
        <f>23575+38</f>
        <v>23613</v>
      </c>
      <c r="H42" s="21"/>
      <c r="I42" s="22">
        <f t="shared" si="0"/>
        <v>82129.91</v>
      </c>
      <c r="J42" s="23"/>
      <c r="K42" s="24">
        <f>-26234-4935</f>
        <v>-31169</v>
      </c>
      <c r="L42" s="21">
        <f>-26548-847</f>
        <v>-27395</v>
      </c>
      <c r="M42" s="21"/>
      <c r="N42" s="22">
        <f t="shared" si="1"/>
        <v>-58564</v>
      </c>
      <c r="O42" s="25">
        <f t="shared" si="2"/>
        <v>23565.910000000003</v>
      </c>
    </row>
    <row r="43" spans="2:15" ht="15">
      <c r="B43" s="18">
        <v>8</v>
      </c>
      <c r="C43" s="18">
        <v>1945</v>
      </c>
      <c r="D43" s="19" t="s">
        <v>42</v>
      </c>
      <c r="E43" s="20">
        <f>1/5</f>
        <v>0.2</v>
      </c>
      <c r="F43" s="21">
        <v>0</v>
      </c>
      <c r="G43" s="21">
        <f>11007</f>
        <v>11007</v>
      </c>
      <c r="H43" s="21"/>
      <c r="I43" s="22">
        <f t="shared" si="0"/>
        <v>11007</v>
      </c>
      <c r="J43" s="23"/>
      <c r="K43" s="24">
        <v>0</v>
      </c>
      <c r="L43" s="21">
        <f>-83</f>
        <v>-83</v>
      </c>
      <c r="M43" s="21"/>
      <c r="N43" s="22">
        <f t="shared" si="1"/>
        <v>-83</v>
      </c>
      <c r="O43" s="25">
        <f t="shared" si="2"/>
        <v>10924</v>
      </c>
    </row>
    <row r="44" spans="2:15" ht="15">
      <c r="B44" s="18">
        <v>8</v>
      </c>
      <c r="C44" s="18">
        <v>1950</v>
      </c>
      <c r="D44" s="19" t="s">
        <v>43</v>
      </c>
      <c r="E44" s="20">
        <f>1/5</f>
        <v>0.2</v>
      </c>
      <c r="F44" s="21">
        <v>64091</v>
      </c>
      <c r="G44" s="21"/>
      <c r="H44" s="21"/>
      <c r="I44" s="22">
        <f t="shared" si="0"/>
        <v>64091</v>
      </c>
      <c r="J44" s="23"/>
      <c r="K44" s="28">
        <v>0</v>
      </c>
      <c r="L44" s="21">
        <f>-468</f>
        <v>-468</v>
      </c>
      <c r="M44" s="21"/>
      <c r="N44" s="22">
        <f t="shared" si="1"/>
        <v>-468</v>
      </c>
      <c r="O44" s="25">
        <f t="shared" si="2"/>
        <v>63623</v>
      </c>
    </row>
    <row r="45" spans="2:15" ht="15">
      <c r="B45" s="18">
        <v>8</v>
      </c>
      <c r="C45" s="18">
        <v>1955</v>
      </c>
      <c r="D45" s="19" t="s">
        <v>44</v>
      </c>
      <c r="E45" s="20"/>
      <c r="F45" s="21"/>
      <c r="G45" s="21"/>
      <c r="H45" s="21"/>
      <c r="I45" s="22">
        <f t="shared" si="0"/>
        <v>0</v>
      </c>
      <c r="J45" s="23"/>
      <c r="K45" s="24"/>
      <c r="L45" s="21"/>
      <c r="M45" s="21"/>
      <c r="N45" s="22">
        <f t="shared" si="1"/>
        <v>0</v>
      </c>
      <c r="O45" s="25">
        <f t="shared" si="2"/>
        <v>0</v>
      </c>
    </row>
    <row r="46" spans="2:15" ht="15">
      <c r="B46" s="29">
        <v>8</v>
      </c>
      <c r="C46" s="29">
        <v>1955</v>
      </c>
      <c r="D46" s="30" t="s">
        <v>45</v>
      </c>
      <c r="E46" s="20"/>
      <c r="F46" s="21"/>
      <c r="G46" s="21"/>
      <c r="H46" s="21"/>
      <c r="I46" s="22">
        <f t="shared" si="0"/>
        <v>0</v>
      </c>
      <c r="J46" s="23"/>
      <c r="K46" s="24"/>
      <c r="L46" s="21"/>
      <c r="M46" s="21"/>
      <c r="N46" s="22">
        <f t="shared" si="1"/>
        <v>0</v>
      </c>
      <c r="O46" s="25">
        <f t="shared" si="2"/>
        <v>0</v>
      </c>
    </row>
    <row r="47" spans="2:15" ht="15">
      <c r="B47" s="27">
        <v>8</v>
      </c>
      <c r="C47" s="27">
        <v>1960</v>
      </c>
      <c r="D47" s="26" t="s">
        <v>46</v>
      </c>
      <c r="E47" s="20"/>
      <c r="F47" s="21"/>
      <c r="G47" s="21"/>
      <c r="H47" s="21"/>
      <c r="I47" s="22">
        <f t="shared" si="0"/>
        <v>0</v>
      </c>
      <c r="J47" s="23"/>
      <c r="K47" s="24"/>
      <c r="L47" s="21"/>
      <c r="M47" s="21"/>
      <c r="N47" s="22">
        <f t="shared" si="1"/>
        <v>0</v>
      </c>
      <c r="O47" s="25">
        <f t="shared" si="2"/>
        <v>0</v>
      </c>
    </row>
    <row r="48" spans="2:15" ht="15">
      <c r="B48" s="18">
        <v>47</v>
      </c>
      <c r="C48" s="18">
        <v>1975</v>
      </c>
      <c r="D48" s="19" t="s">
        <v>47</v>
      </c>
      <c r="E48" s="20"/>
      <c r="F48" s="21"/>
      <c r="G48" s="21"/>
      <c r="H48" s="21"/>
      <c r="I48" s="22">
        <f t="shared" si="0"/>
        <v>0</v>
      </c>
      <c r="J48" s="23"/>
      <c r="K48" s="24"/>
      <c r="L48" s="21"/>
      <c r="M48" s="21"/>
      <c r="N48" s="22">
        <f t="shared" si="1"/>
        <v>0</v>
      </c>
      <c r="O48" s="25">
        <f t="shared" si="2"/>
        <v>0</v>
      </c>
    </row>
    <row r="49" spans="2:15" ht="15">
      <c r="B49" s="18">
        <v>47</v>
      </c>
      <c r="C49" s="18">
        <v>1980</v>
      </c>
      <c r="D49" s="19" t="s">
        <v>48</v>
      </c>
      <c r="E49" s="20"/>
      <c r="F49" s="21"/>
      <c r="G49" s="21"/>
      <c r="H49" s="21"/>
      <c r="I49" s="22">
        <f t="shared" si="0"/>
        <v>0</v>
      </c>
      <c r="J49" s="23"/>
      <c r="K49" s="24"/>
      <c r="L49" s="21"/>
      <c r="M49" s="21"/>
      <c r="N49" s="22">
        <f t="shared" si="1"/>
        <v>0</v>
      </c>
      <c r="O49" s="25">
        <f t="shared" si="2"/>
        <v>0</v>
      </c>
    </row>
    <row r="50" spans="2:15" ht="15">
      <c r="B50" s="18">
        <v>47</v>
      </c>
      <c r="C50" s="18">
        <v>1985</v>
      </c>
      <c r="D50" s="19" t="s">
        <v>49</v>
      </c>
      <c r="E50" s="20"/>
      <c r="F50" s="21"/>
      <c r="G50" s="21"/>
      <c r="H50" s="21"/>
      <c r="I50" s="22">
        <f t="shared" si="0"/>
        <v>0</v>
      </c>
      <c r="J50" s="23"/>
      <c r="K50" s="24"/>
      <c r="L50" s="21"/>
      <c r="M50" s="21"/>
      <c r="N50" s="22">
        <f t="shared" si="1"/>
        <v>0</v>
      </c>
      <c r="O50" s="25">
        <f t="shared" si="2"/>
        <v>0</v>
      </c>
    </row>
    <row r="51" spans="2:15" ht="15">
      <c r="B51" s="18">
        <v>47</v>
      </c>
      <c r="C51" s="18">
        <v>1995</v>
      </c>
      <c r="D51" s="19" t="s">
        <v>50</v>
      </c>
      <c r="E51" s="20">
        <f>1/25</f>
        <v>0.04</v>
      </c>
      <c r="F51" s="21">
        <v>-389708.435</v>
      </c>
      <c r="G51" s="21">
        <f>-333000-170694+36086</f>
        <v>-467608</v>
      </c>
      <c r="H51" s="21"/>
      <c r="I51" s="22">
        <f t="shared" si="0"/>
        <v>-857316.435</v>
      </c>
      <c r="J51" s="23"/>
      <c r="K51" s="24">
        <f>7131+17154+581</f>
        <v>24866</v>
      </c>
      <c r="L51" s="21">
        <f>21579+5905+111</f>
        <v>27595</v>
      </c>
      <c r="M51" s="21"/>
      <c r="N51" s="22">
        <f t="shared" si="1"/>
        <v>52461</v>
      </c>
      <c r="O51" s="25">
        <f t="shared" si="2"/>
        <v>-804855.435</v>
      </c>
    </row>
    <row r="52" spans="2:15" ht="15">
      <c r="B52" s="18"/>
      <c r="C52" s="18" t="s">
        <v>51</v>
      </c>
      <c r="D52" s="19"/>
      <c r="E52" s="20"/>
      <c r="F52" s="21"/>
      <c r="G52" s="21"/>
      <c r="H52" s="21"/>
      <c r="I52" s="22">
        <f t="shared" si="0"/>
        <v>0</v>
      </c>
      <c r="K52" s="21"/>
      <c r="L52" s="21"/>
      <c r="M52" s="21"/>
      <c r="N52" s="22">
        <f t="shared" si="1"/>
        <v>0</v>
      </c>
      <c r="O52" s="25">
        <f t="shared" si="2"/>
        <v>0</v>
      </c>
    </row>
    <row r="53" spans="2:15" ht="15">
      <c r="B53" s="18"/>
      <c r="C53" s="18"/>
      <c r="D53" s="19"/>
      <c r="E53" s="20"/>
      <c r="F53" s="31"/>
      <c r="G53" s="31"/>
      <c r="H53" s="31"/>
      <c r="I53" s="19"/>
      <c r="K53" s="31"/>
      <c r="L53" s="31"/>
      <c r="M53" s="31"/>
      <c r="N53" s="19"/>
      <c r="O53" s="19"/>
    </row>
    <row r="54" spans="2:15" ht="15">
      <c r="B54" s="18"/>
      <c r="C54" s="18"/>
      <c r="D54" s="32" t="s">
        <v>52</v>
      </c>
      <c r="E54" s="32"/>
      <c r="F54" s="33">
        <f>SUM(F16:F52)</f>
        <v>23647724.525000002</v>
      </c>
      <c r="G54" s="33">
        <f>SUM(G16:G52)</f>
        <v>2268767</v>
      </c>
      <c r="H54" s="33">
        <f>SUM(H16:H52)</f>
        <v>-10899</v>
      </c>
      <c r="I54" s="33">
        <f>SUM(I16:I52)</f>
        <v>25905592.525000002</v>
      </c>
      <c r="J54" s="34"/>
      <c r="K54" s="35">
        <f>SUM(K16:K52)</f>
        <v>-5507545</v>
      </c>
      <c r="L54" s="35">
        <f>SUM(L16:L52)</f>
        <v>-1194495</v>
      </c>
      <c r="M54" s="35">
        <f>SUM(M16:M52)</f>
        <v>0</v>
      </c>
      <c r="N54" s="35">
        <f>SUM(N16:N52)</f>
        <v>-6702040</v>
      </c>
      <c r="O54" s="33">
        <f t="shared" si="2"/>
        <v>19203552.525000002</v>
      </c>
    </row>
    <row r="56" spans="5:12" ht="15">
      <c r="E56" s="2"/>
      <c r="K56" s="36" t="s">
        <v>53</v>
      </c>
      <c r="L56" s="36"/>
    </row>
    <row r="57" spans="2:13" ht="15">
      <c r="B57" s="18">
        <v>10</v>
      </c>
      <c r="C57" s="18"/>
      <c r="D57" s="19" t="s">
        <v>54</v>
      </c>
      <c r="E57" s="2"/>
      <c r="K57" s="36" t="s">
        <v>54</v>
      </c>
      <c r="L57" s="36"/>
      <c r="M57" s="28"/>
    </row>
    <row r="58" spans="2:13" ht="15">
      <c r="B58" s="18">
        <v>8</v>
      </c>
      <c r="C58" s="18"/>
      <c r="D58" s="19" t="s">
        <v>40</v>
      </c>
      <c r="F58" s="41"/>
      <c r="K58" s="36" t="s">
        <v>40</v>
      </c>
      <c r="L58" s="36"/>
      <c r="M58" s="37"/>
    </row>
    <row r="59" spans="11:13" ht="15">
      <c r="K59" s="38" t="s">
        <v>55</v>
      </c>
      <c r="M59" s="39">
        <f>M54-M57-M58</f>
        <v>0</v>
      </c>
    </row>
    <row r="61" spans="2:6" ht="15">
      <c r="B61" s="62" t="s">
        <v>56</v>
      </c>
      <c r="C61" s="63"/>
      <c r="D61" s="63"/>
      <c r="E61" s="63"/>
      <c r="F61" s="63"/>
    </row>
    <row r="63" ht="15">
      <c r="B63" s="40" t="s">
        <v>57</v>
      </c>
    </row>
    <row r="65" spans="2:15" ht="15">
      <c r="B65" s="1">
        <v>1</v>
      </c>
      <c r="C65" s="64" t="s">
        <v>58</v>
      </c>
      <c r="D65" s="64"/>
      <c r="E65" s="64"/>
      <c r="F65" s="64"/>
      <c r="G65" s="64"/>
      <c r="H65" s="64"/>
      <c r="I65" s="64"/>
      <c r="J65" s="64"/>
      <c r="K65" s="64"/>
      <c r="L65" s="64"/>
      <c r="M65" s="64"/>
      <c r="N65" s="64"/>
      <c r="O65" s="64"/>
    </row>
    <row r="66" spans="3:15" ht="15">
      <c r="C66" s="64"/>
      <c r="D66" s="64"/>
      <c r="E66" s="64"/>
      <c r="F66" s="64"/>
      <c r="G66" s="64"/>
      <c r="H66" s="64"/>
      <c r="I66" s="64"/>
      <c r="J66" s="64"/>
      <c r="K66" s="64"/>
      <c r="L66" s="64"/>
      <c r="M66" s="64"/>
      <c r="N66" s="64"/>
      <c r="O66" s="64"/>
    </row>
    <row r="68" ht="12.75" customHeight="1"/>
    <row r="69" spans="2:15" ht="15">
      <c r="B69" s="1">
        <v>2</v>
      </c>
      <c r="C69" s="55" t="s">
        <v>59</v>
      </c>
      <c r="D69" s="55"/>
      <c r="E69" s="55"/>
      <c r="F69" s="55"/>
      <c r="G69" s="55"/>
      <c r="H69" s="55"/>
      <c r="I69" s="55"/>
      <c r="J69" s="55"/>
      <c r="K69" s="55"/>
      <c r="L69" s="55"/>
      <c r="M69" s="55"/>
      <c r="N69" s="55"/>
      <c r="O69" s="55"/>
    </row>
    <row r="70" spans="3:15" ht="15">
      <c r="C70" s="55"/>
      <c r="D70" s="55"/>
      <c r="E70" s="55"/>
      <c r="F70" s="55"/>
      <c r="G70" s="55"/>
      <c r="H70" s="55"/>
      <c r="I70" s="55"/>
      <c r="J70" s="55"/>
      <c r="K70" s="55"/>
      <c r="L70" s="55"/>
      <c r="M70" s="55"/>
      <c r="N70" s="55"/>
      <c r="O70" s="55"/>
    </row>
    <row r="72" spans="2:15" ht="15">
      <c r="B72" s="1">
        <v>3</v>
      </c>
      <c r="C72" s="56" t="s">
        <v>60</v>
      </c>
      <c r="D72" s="56"/>
      <c r="E72" s="56"/>
      <c r="F72" s="56"/>
      <c r="G72" s="56"/>
      <c r="H72" s="56"/>
      <c r="I72" s="56"/>
      <c r="J72" s="56"/>
      <c r="K72" s="56"/>
      <c r="L72" s="56"/>
      <c r="M72" s="56"/>
      <c r="N72" s="56"/>
      <c r="O72" s="56"/>
    </row>
  </sheetData>
  <sheetProtection/>
  <mergeCells count="8">
    <mergeCell ref="C69:O70"/>
    <mergeCell ref="C72:O72"/>
    <mergeCell ref="F9:I9"/>
    <mergeCell ref="F10:J10"/>
    <mergeCell ref="G12:H12"/>
    <mergeCell ref="F14:I14"/>
    <mergeCell ref="B61:F61"/>
    <mergeCell ref="C65:O66"/>
  </mergeCells>
  <dataValidations count="1">
    <dataValidation allowBlank="1" showInputMessage="1" showErrorMessage="1" promptTitle="Date Format" prompt="E.g:  &quot;August 1, 2011&quot;" sqref="O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P72"/>
  <sheetViews>
    <sheetView zoomScalePageLayoutView="0" workbookViewId="0" topLeftCell="A1">
      <selection activeCell="A1" sqref="A1:IV7"/>
    </sheetView>
  </sheetViews>
  <sheetFormatPr defaultColWidth="9.140625" defaultRowHeight="15"/>
  <cols>
    <col min="1" max="1" width="2.8515625" style="0" customWidth="1"/>
    <col min="2" max="2" width="7.7109375" style="1" customWidth="1"/>
    <col min="3" max="3" width="6.421875" style="1" customWidth="1"/>
    <col min="4" max="4" width="37.8515625" style="0" customWidth="1"/>
    <col min="5" max="5" width="12.7109375" style="0" customWidth="1"/>
    <col min="6" max="6" width="14.421875" style="0" customWidth="1"/>
    <col min="7" max="7" width="13.00390625" style="0" customWidth="1"/>
    <col min="8" max="8" width="11.7109375" style="0" customWidth="1"/>
    <col min="9" max="9" width="13.57421875" style="0" customWidth="1"/>
    <col min="10" max="10" width="1.7109375" style="2" customWidth="1"/>
    <col min="11" max="11" width="14.28125" style="0" customWidth="1"/>
    <col min="12" max="12" width="13.421875" style="0" customWidth="1"/>
    <col min="13" max="13" width="11.8515625" style="0" customWidth="1"/>
    <col min="14" max="14" width="14.57421875" style="0" bestFit="1" customWidth="1"/>
    <col min="15" max="15" width="14.140625" style="0" bestFit="1" customWidth="1"/>
    <col min="16" max="16" width="12.57421875" style="0" bestFit="1" customWidth="1"/>
  </cols>
  <sheetData>
    <row r="1" spans="2:15" ht="15">
      <c r="B1" s="54"/>
      <c r="C1" s="54"/>
      <c r="N1" s="3" t="s">
        <v>0</v>
      </c>
      <c r="O1" s="4" t="s">
        <v>61</v>
      </c>
    </row>
    <row r="2" spans="2:14" s="66" customFormat="1" ht="15">
      <c r="B2" s="65"/>
      <c r="C2" s="65"/>
      <c r="J2" s="7"/>
      <c r="N2" s="67"/>
    </row>
    <row r="3" spans="2:14" s="66" customFormat="1" ht="15">
      <c r="B3" s="65"/>
      <c r="C3" s="65"/>
      <c r="J3" s="7"/>
      <c r="N3" s="67"/>
    </row>
    <row r="4" spans="2:14" s="66" customFormat="1" ht="15">
      <c r="B4" s="65"/>
      <c r="C4" s="65"/>
      <c r="J4" s="7"/>
      <c r="N4" s="67"/>
    </row>
    <row r="5" spans="2:14" s="66" customFormat="1" ht="15">
      <c r="B5" s="65"/>
      <c r="C5" s="65"/>
      <c r="J5" s="7"/>
      <c r="N5" s="67"/>
    </row>
    <row r="6" spans="2:14" s="66" customFormat="1" ht="9" customHeight="1">
      <c r="B6" s="65"/>
      <c r="C6" s="65"/>
      <c r="J6" s="7"/>
      <c r="N6" s="67"/>
    </row>
    <row r="7" spans="2:15" s="66" customFormat="1" ht="15">
      <c r="B7" s="65"/>
      <c r="C7" s="65"/>
      <c r="J7" s="7"/>
      <c r="N7" s="67"/>
      <c r="O7" s="68"/>
    </row>
    <row r="8" ht="9" customHeight="1"/>
    <row r="9" spans="6:9" ht="20.25" customHeight="1">
      <c r="F9" s="57" t="s">
        <v>1</v>
      </c>
      <c r="G9" s="57"/>
      <c r="H9" s="57"/>
      <c r="I9" s="57"/>
    </row>
    <row r="10" spans="6:10" ht="18">
      <c r="F10" s="57" t="s">
        <v>2</v>
      </c>
      <c r="G10" s="57"/>
      <c r="H10" s="57"/>
      <c r="I10" s="57"/>
      <c r="J10" s="57"/>
    </row>
    <row r="12" spans="6:9" ht="15">
      <c r="F12" s="5" t="s">
        <v>3</v>
      </c>
      <c r="G12" s="58">
        <v>2007</v>
      </c>
      <c r="H12" s="58"/>
      <c r="I12" s="6"/>
    </row>
    <row r="14" spans="5:15" ht="15">
      <c r="E14" s="7"/>
      <c r="F14" s="59" t="s">
        <v>4</v>
      </c>
      <c r="G14" s="60"/>
      <c r="H14" s="60"/>
      <c r="I14" s="61"/>
      <c r="K14" s="8"/>
      <c r="L14" s="9" t="s">
        <v>5</v>
      </c>
      <c r="M14" s="9"/>
      <c r="N14" s="10"/>
      <c r="O14" s="2"/>
    </row>
    <row r="15" spans="2:15" ht="26.25">
      <c r="B15" s="11" t="s">
        <v>6</v>
      </c>
      <c r="C15" s="12" t="s">
        <v>7</v>
      </c>
      <c r="D15" s="13" t="s">
        <v>8</v>
      </c>
      <c r="E15" s="11" t="s">
        <v>9</v>
      </c>
      <c r="F15" s="11" t="s">
        <v>10</v>
      </c>
      <c r="G15" s="12" t="s">
        <v>11</v>
      </c>
      <c r="H15" s="12" t="s">
        <v>12</v>
      </c>
      <c r="I15" s="11" t="s">
        <v>13</v>
      </c>
      <c r="J15" s="14"/>
      <c r="K15" s="15" t="s">
        <v>10</v>
      </c>
      <c r="L15" s="16" t="s">
        <v>11</v>
      </c>
      <c r="M15" s="16" t="s">
        <v>12</v>
      </c>
      <c r="N15" s="17" t="s">
        <v>13</v>
      </c>
      <c r="O15" s="11" t="s">
        <v>14</v>
      </c>
    </row>
    <row r="16" spans="2:15" ht="15">
      <c r="B16" s="18" t="s">
        <v>15</v>
      </c>
      <c r="C16" s="18">
        <v>1805</v>
      </c>
      <c r="D16" s="19" t="s">
        <v>16</v>
      </c>
      <c r="E16" s="20"/>
      <c r="F16" s="21">
        <f>'2006'!I16</f>
        <v>150428.71000000002</v>
      </c>
      <c r="G16" s="21">
        <f>0</f>
        <v>0</v>
      </c>
      <c r="H16" s="21"/>
      <c r="I16" s="22">
        <f>F16+G16+H16</f>
        <v>150428.71000000002</v>
      </c>
      <c r="J16" s="23"/>
      <c r="K16" s="24">
        <f>'2006'!N16</f>
        <v>0</v>
      </c>
      <c r="L16" s="21"/>
      <c r="M16" s="21"/>
      <c r="N16" s="22">
        <f>K16+L16+M16</f>
        <v>0</v>
      </c>
      <c r="O16" s="25">
        <f>I16+N16</f>
        <v>150428.71000000002</v>
      </c>
    </row>
    <row r="17" spans="2:15" ht="15">
      <c r="B17" s="18">
        <v>47</v>
      </c>
      <c r="C17" s="18">
        <v>1808</v>
      </c>
      <c r="D17" s="19" t="s">
        <v>17</v>
      </c>
      <c r="E17" s="20">
        <f>1/25</f>
        <v>0.04</v>
      </c>
      <c r="F17" s="21">
        <f>'2006'!I17</f>
        <v>122349</v>
      </c>
      <c r="G17" s="21">
        <f>3500</f>
        <v>3500</v>
      </c>
      <c r="H17" s="21"/>
      <c r="I17" s="22">
        <f aca="true" t="shared" si="0" ref="I17:I52">F17+G17+H17</f>
        <v>125849</v>
      </c>
      <c r="J17" s="23"/>
      <c r="K17" s="24">
        <f>'2006'!N17</f>
        <v>-27709</v>
      </c>
      <c r="L17" s="21">
        <f>-259.06-4642.69</f>
        <v>-4901.75</v>
      </c>
      <c r="M17" s="21"/>
      <c r="N17" s="22">
        <f aca="true" t="shared" si="1" ref="N17:N52">K17+L17+M17</f>
        <v>-32610.75</v>
      </c>
      <c r="O17" s="25">
        <f aca="true" t="shared" si="2" ref="O17:O54">I17+N17</f>
        <v>93238.25</v>
      </c>
    </row>
    <row r="18" spans="2:15" ht="15">
      <c r="B18" s="18">
        <v>13</v>
      </c>
      <c r="C18" s="18">
        <v>1810</v>
      </c>
      <c r="D18" s="19" t="s">
        <v>18</v>
      </c>
      <c r="E18" s="20">
        <f>1/10</f>
        <v>0.1</v>
      </c>
      <c r="F18" s="21">
        <f>'2006'!I18</f>
        <v>7040</v>
      </c>
      <c r="G18" s="21"/>
      <c r="H18" s="21"/>
      <c r="I18" s="22">
        <f t="shared" si="0"/>
        <v>7040</v>
      </c>
      <c r="J18" s="23"/>
      <c r="K18" s="24">
        <f>'2006'!N18</f>
        <v>-1408</v>
      </c>
      <c r="L18" s="21">
        <v>-1408</v>
      </c>
      <c r="M18" s="21"/>
      <c r="N18" s="22">
        <f t="shared" si="1"/>
        <v>-2816</v>
      </c>
      <c r="O18" s="25">
        <f t="shared" si="2"/>
        <v>4224</v>
      </c>
    </row>
    <row r="19" spans="2:15" ht="15">
      <c r="B19" s="18">
        <v>47</v>
      </c>
      <c r="C19" s="18">
        <v>1815</v>
      </c>
      <c r="D19" s="19" t="s">
        <v>19</v>
      </c>
      <c r="E19" s="20"/>
      <c r="F19" s="21">
        <f>'2006'!I19</f>
        <v>0</v>
      </c>
      <c r="G19" s="21"/>
      <c r="H19" s="21"/>
      <c r="I19" s="22">
        <f t="shared" si="0"/>
        <v>0</v>
      </c>
      <c r="J19" s="23"/>
      <c r="K19" s="24">
        <f>'2006'!N19</f>
        <v>0</v>
      </c>
      <c r="L19" s="21"/>
      <c r="M19" s="21"/>
      <c r="N19" s="22">
        <f t="shared" si="1"/>
        <v>0</v>
      </c>
      <c r="O19" s="25">
        <f t="shared" si="2"/>
        <v>0</v>
      </c>
    </row>
    <row r="20" spans="2:15" ht="15">
      <c r="B20" s="18">
        <v>47</v>
      </c>
      <c r="C20" s="18">
        <v>1820</v>
      </c>
      <c r="D20" s="26" t="s">
        <v>20</v>
      </c>
      <c r="E20" s="20">
        <f>1/25</f>
        <v>0.04</v>
      </c>
      <c r="F20" s="21">
        <f>'2006'!I20</f>
        <v>474668.78</v>
      </c>
      <c r="G20" s="21"/>
      <c r="H20" s="21"/>
      <c r="I20" s="22">
        <f t="shared" si="0"/>
        <v>474668.78</v>
      </c>
      <c r="J20" s="23"/>
      <c r="K20" s="24">
        <f>'2006'!N20</f>
        <v>-147647</v>
      </c>
      <c r="L20" s="21">
        <f>-7427.86-1982-6595</f>
        <v>-16004.86</v>
      </c>
      <c r="M20" s="21"/>
      <c r="N20" s="22">
        <f t="shared" si="1"/>
        <v>-163651.86</v>
      </c>
      <c r="O20" s="25">
        <f t="shared" si="2"/>
        <v>311016.92000000004</v>
      </c>
    </row>
    <row r="21" spans="2:15" ht="15">
      <c r="B21" s="18">
        <v>47</v>
      </c>
      <c r="C21" s="18">
        <v>1825</v>
      </c>
      <c r="D21" s="19" t="s">
        <v>21</v>
      </c>
      <c r="E21" s="20">
        <f aca="true" t="shared" si="3" ref="E21:E28">1/25</f>
        <v>0.04</v>
      </c>
      <c r="F21" s="21">
        <f>'2006'!I21</f>
        <v>0</v>
      </c>
      <c r="G21" s="21"/>
      <c r="H21" s="21"/>
      <c r="I21" s="22">
        <f t="shared" si="0"/>
        <v>0</v>
      </c>
      <c r="J21" s="23"/>
      <c r="K21" s="24">
        <f>'2006'!N21</f>
        <v>0</v>
      </c>
      <c r="L21" s="21"/>
      <c r="M21" s="21"/>
      <c r="N21" s="22">
        <f t="shared" si="1"/>
        <v>0</v>
      </c>
      <c r="O21" s="25">
        <f t="shared" si="2"/>
        <v>0</v>
      </c>
    </row>
    <row r="22" spans="2:15" ht="15">
      <c r="B22" s="18">
        <v>47</v>
      </c>
      <c r="C22" s="18">
        <v>1830</v>
      </c>
      <c r="D22" s="19" t="s">
        <v>22</v>
      </c>
      <c r="E22" s="20">
        <f t="shared" si="3"/>
        <v>0.04</v>
      </c>
      <c r="F22" s="21">
        <f>'2006'!I22</f>
        <v>3538312.66</v>
      </c>
      <c r="G22" s="21">
        <f>405545.97+9917+15713</f>
        <v>431175.97</v>
      </c>
      <c r="H22" s="21"/>
      <c r="I22" s="22">
        <f t="shared" si="0"/>
        <v>3969488.63</v>
      </c>
      <c r="J22" s="23"/>
      <c r="K22" s="24">
        <f>'2006'!N22</f>
        <v>-1200842</v>
      </c>
      <c r="L22" s="21">
        <f>-110227.52-52814-13198</f>
        <v>-176239.52000000002</v>
      </c>
      <c r="M22" s="21"/>
      <c r="N22" s="22">
        <f t="shared" si="1"/>
        <v>-1377081.52</v>
      </c>
      <c r="O22" s="25">
        <f t="shared" si="2"/>
        <v>2592407.11</v>
      </c>
    </row>
    <row r="23" spans="2:15" ht="15">
      <c r="B23" s="18">
        <v>47</v>
      </c>
      <c r="C23" s="18">
        <v>1835</v>
      </c>
      <c r="D23" s="19" t="s">
        <v>23</v>
      </c>
      <c r="E23" s="20">
        <f t="shared" si="3"/>
        <v>0.04</v>
      </c>
      <c r="F23" s="21">
        <f>'2006'!I23</f>
        <v>7404761.8</v>
      </c>
      <c r="G23" s="21">
        <f>718824.08+12071+17450</f>
        <v>748345.08</v>
      </c>
      <c r="H23" s="21"/>
      <c r="I23" s="22">
        <f t="shared" si="0"/>
        <v>8153106.88</v>
      </c>
      <c r="J23" s="23"/>
      <c r="K23" s="24">
        <f>'2006'!N23</f>
        <v>-1439795</v>
      </c>
      <c r="L23" s="21">
        <f>-268586.67-15186-1533</f>
        <v>-285305.67</v>
      </c>
      <c r="M23" s="21"/>
      <c r="N23" s="22">
        <f t="shared" si="1"/>
        <v>-1725100.67</v>
      </c>
      <c r="O23" s="25">
        <f t="shared" si="2"/>
        <v>6428006.21</v>
      </c>
    </row>
    <row r="24" spans="2:15" ht="15">
      <c r="B24" s="18">
        <v>47</v>
      </c>
      <c r="C24" s="18">
        <v>1840</v>
      </c>
      <c r="D24" s="19" t="s">
        <v>24</v>
      </c>
      <c r="E24" s="20">
        <f t="shared" si="3"/>
        <v>0.04</v>
      </c>
      <c r="F24" s="21">
        <f>'2006'!I24</f>
        <v>1974821.865</v>
      </c>
      <c r="G24" s="21">
        <f>56519.53+8505+2641</f>
        <v>67665.53</v>
      </c>
      <c r="H24" s="21"/>
      <c r="I24" s="22">
        <f t="shared" si="0"/>
        <v>2042487.395</v>
      </c>
      <c r="J24" s="23"/>
      <c r="K24" s="24">
        <f>'2006'!N24</f>
        <v>-666457</v>
      </c>
      <c r="L24" s="21">
        <f>-54847.58-20467-18105</f>
        <v>-93419.58</v>
      </c>
      <c r="M24" s="21"/>
      <c r="N24" s="22">
        <f t="shared" si="1"/>
        <v>-759876.58</v>
      </c>
      <c r="O24" s="25">
        <f t="shared" si="2"/>
        <v>1282610.815</v>
      </c>
    </row>
    <row r="25" spans="2:15" ht="15">
      <c r="B25" s="18">
        <v>47</v>
      </c>
      <c r="C25" s="18">
        <v>1845</v>
      </c>
      <c r="D25" s="19" t="s">
        <v>25</v>
      </c>
      <c r="E25" s="20">
        <f t="shared" si="3"/>
        <v>0.04</v>
      </c>
      <c r="F25" s="21">
        <f>'2006'!I25</f>
        <v>3316508.85</v>
      </c>
      <c r="G25" s="21">
        <f>301582.25+812+7158</f>
        <v>309552.25</v>
      </c>
      <c r="H25" s="21"/>
      <c r="I25" s="22">
        <f t="shared" si="0"/>
        <v>3626061.1</v>
      </c>
      <c r="J25" s="23"/>
      <c r="K25" s="24">
        <f>'2006'!N25</f>
        <v>-629153</v>
      </c>
      <c r="L25" s="21">
        <f>-120109.82-9759-1796</f>
        <v>-131664.82</v>
      </c>
      <c r="M25" s="21"/>
      <c r="N25" s="22">
        <f t="shared" si="1"/>
        <v>-760817.8200000001</v>
      </c>
      <c r="O25" s="25">
        <f t="shared" si="2"/>
        <v>2865243.2800000003</v>
      </c>
    </row>
    <row r="26" spans="2:15" ht="15">
      <c r="B26" s="18">
        <v>47</v>
      </c>
      <c r="C26" s="18">
        <v>1850</v>
      </c>
      <c r="D26" s="19" t="s">
        <v>26</v>
      </c>
      <c r="E26" s="20">
        <f t="shared" si="3"/>
        <v>0.04</v>
      </c>
      <c r="F26" s="21">
        <f>'2006'!I26</f>
        <v>4916032.62</v>
      </c>
      <c r="G26" s="21">
        <f>248608.46-18389+8116</f>
        <v>238335.46</v>
      </c>
      <c r="H26" s="21"/>
      <c r="I26" s="22">
        <f t="shared" si="0"/>
        <v>5154368.08</v>
      </c>
      <c r="J26" s="23"/>
      <c r="K26" s="24">
        <f>'2006'!N26</f>
        <v>-1344355</v>
      </c>
      <c r="L26" s="21">
        <f>-153517.36-49280-5430</f>
        <v>-208227.36</v>
      </c>
      <c r="M26" s="21"/>
      <c r="N26" s="22">
        <f t="shared" si="1"/>
        <v>-1552582.3599999999</v>
      </c>
      <c r="O26" s="25">
        <f t="shared" si="2"/>
        <v>3601785.72</v>
      </c>
    </row>
    <row r="27" spans="2:15" ht="15">
      <c r="B27" s="18">
        <v>47</v>
      </c>
      <c r="C27" s="18">
        <v>1855</v>
      </c>
      <c r="D27" s="19" t="s">
        <v>27</v>
      </c>
      <c r="E27" s="20">
        <f t="shared" si="3"/>
        <v>0.04</v>
      </c>
      <c r="F27" s="21">
        <f>'2006'!I27</f>
        <v>1867958.74</v>
      </c>
      <c r="G27" s="21">
        <f>92259.41+189550.7+16509+11998</f>
        <v>310317.11</v>
      </c>
      <c r="H27" s="21"/>
      <c r="I27" s="22">
        <f t="shared" si="0"/>
        <v>2178275.85</v>
      </c>
      <c r="J27" s="23"/>
      <c r="K27" s="24">
        <f>'2006'!N27</f>
        <v>-378253</v>
      </c>
      <c r="L27" s="21">
        <f>-71187.98-2064-1230</f>
        <v>-74481.98</v>
      </c>
      <c r="M27" s="21"/>
      <c r="N27" s="22">
        <f t="shared" si="1"/>
        <v>-452734.98</v>
      </c>
      <c r="O27" s="25">
        <f t="shared" si="2"/>
        <v>1725540.87</v>
      </c>
    </row>
    <row r="28" spans="2:15" ht="15">
      <c r="B28" s="18">
        <v>47</v>
      </c>
      <c r="C28" s="18">
        <v>1860</v>
      </c>
      <c r="D28" s="19" t="s">
        <v>28</v>
      </c>
      <c r="E28" s="20">
        <f t="shared" si="3"/>
        <v>0.04</v>
      </c>
      <c r="F28" s="21">
        <f>'2006'!I28</f>
        <v>2292788.015</v>
      </c>
      <c r="G28" s="21">
        <f>56045.01+88977+455</f>
        <v>145477.01</v>
      </c>
      <c r="H28" s="21"/>
      <c r="I28" s="22">
        <f t="shared" si="0"/>
        <v>2438265.0250000004</v>
      </c>
      <c r="J28" s="23"/>
      <c r="K28" s="24">
        <f>'2006'!N28</f>
        <v>-536028</v>
      </c>
      <c r="L28" s="21">
        <f>-72847.17-9954-3696</f>
        <v>-86497.17</v>
      </c>
      <c r="M28" s="21"/>
      <c r="N28" s="22">
        <f t="shared" si="1"/>
        <v>-622525.17</v>
      </c>
      <c r="O28" s="25">
        <f t="shared" si="2"/>
        <v>1815739.8550000004</v>
      </c>
    </row>
    <row r="29" spans="2:16" ht="15">
      <c r="B29" s="18">
        <v>47</v>
      </c>
      <c r="C29" s="18">
        <v>1860</v>
      </c>
      <c r="D29" s="19" t="s">
        <v>29</v>
      </c>
      <c r="E29" s="20"/>
      <c r="F29" s="21">
        <f>'2006'!I29</f>
        <v>0</v>
      </c>
      <c r="G29" s="21"/>
      <c r="H29" s="21"/>
      <c r="I29" s="22">
        <f t="shared" si="0"/>
        <v>0</v>
      </c>
      <c r="J29" s="23"/>
      <c r="K29" s="24">
        <f>'2006'!N29</f>
        <v>0</v>
      </c>
      <c r="L29" s="21"/>
      <c r="M29" s="21"/>
      <c r="N29" s="22">
        <f t="shared" si="1"/>
        <v>0</v>
      </c>
      <c r="O29" s="25">
        <f t="shared" si="2"/>
        <v>0</v>
      </c>
      <c r="P29" s="41"/>
    </row>
    <row r="30" spans="2:15" ht="15">
      <c r="B30" s="18" t="s">
        <v>15</v>
      </c>
      <c r="C30" s="18">
        <v>1905</v>
      </c>
      <c r="D30" s="19" t="s">
        <v>16</v>
      </c>
      <c r="E30" s="20"/>
      <c r="F30" s="21">
        <f>'2006'!I30</f>
        <v>0</v>
      </c>
      <c r="G30" s="21"/>
      <c r="H30" s="21"/>
      <c r="I30" s="22">
        <f t="shared" si="0"/>
        <v>0</v>
      </c>
      <c r="J30" s="23"/>
      <c r="K30" s="24">
        <f>'2006'!N30</f>
        <v>0</v>
      </c>
      <c r="L30" s="21"/>
      <c r="M30" s="21"/>
      <c r="N30" s="22">
        <f t="shared" si="1"/>
        <v>0</v>
      </c>
      <c r="O30" s="25">
        <f t="shared" si="2"/>
        <v>0</v>
      </c>
    </row>
    <row r="31" spans="2:15" ht="15">
      <c r="B31" s="18" t="s">
        <v>30</v>
      </c>
      <c r="C31" s="18">
        <v>1906</v>
      </c>
      <c r="D31" s="19" t="s">
        <v>31</v>
      </c>
      <c r="E31" s="20"/>
      <c r="F31" s="21">
        <f>'2006'!I31</f>
        <v>0</v>
      </c>
      <c r="G31" s="21"/>
      <c r="H31" s="21"/>
      <c r="I31" s="22">
        <f t="shared" si="0"/>
        <v>0</v>
      </c>
      <c r="J31" s="23"/>
      <c r="K31" s="24">
        <f>'2006'!N31</f>
        <v>0</v>
      </c>
      <c r="L31" s="21"/>
      <c r="M31" s="21"/>
      <c r="N31" s="22">
        <f t="shared" si="1"/>
        <v>0</v>
      </c>
      <c r="O31" s="25">
        <f t="shared" si="2"/>
        <v>0</v>
      </c>
    </row>
    <row r="32" spans="2:15" ht="15">
      <c r="B32" s="18">
        <v>47</v>
      </c>
      <c r="C32" s="18">
        <v>1908</v>
      </c>
      <c r="D32" s="19" t="s">
        <v>32</v>
      </c>
      <c r="E32" s="20"/>
      <c r="F32" s="21">
        <f>'2006'!I32</f>
        <v>0</v>
      </c>
      <c r="G32" s="21"/>
      <c r="H32" s="21"/>
      <c r="I32" s="22">
        <f t="shared" si="0"/>
        <v>0</v>
      </c>
      <c r="J32" s="23"/>
      <c r="K32" s="24">
        <f>'2006'!N32</f>
        <v>0</v>
      </c>
      <c r="L32" s="21"/>
      <c r="M32" s="21"/>
      <c r="N32" s="22">
        <f t="shared" si="1"/>
        <v>0</v>
      </c>
      <c r="O32" s="25">
        <f t="shared" si="2"/>
        <v>0</v>
      </c>
    </row>
    <row r="33" spans="2:15" ht="15">
      <c r="B33" s="18">
        <v>13</v>
      </c>
      <c r="C33" s="18">
        <v>1910</v>
      </c>
      <c r="D33" s="19" t="s">
        <v>18</v>
      </c>
      <c r="E33" s="20"/>
      <c r="F33" s="21">
        <f>'2006'!I33</f>
        <v>0</v>
      </c>
      <c r="G33" s="21"/>
      <c r="H33" s="21"/>
      <c r="I33" s="22">
        <f t="shared" si="0"/>
        <v>0</v>
      </c>
      <c r="J33" s="23"/>
      <c r="K33" s="24">
        <f>'2006'!N33</f>
        <v>0</v>
      </c>
      <c r="L33" s="21"/>
      <c r="M33" s="21"/>
      <c r="N33" s="22">
        <f t="shared" si="1"/>
        <v>0</v>
      </c>
      <c r="O33" s="25">
        <f t="shared" si="2"/>
        <v>0</v>
      </c>
    </row>
    <row r="34" spans="2:15" ht="15">
      <c r="B34" s="18">
        <v>8</v>
      </c>
      <c r="C34" s="18">
        <v>1915</v>
      </c>
      <c r="D34" s="19" t="s">
        <v>33</v>
      </c>
      <c r="E34" s="20">
        <f>1/10</f>
        <v>0.1</v>
      </c>
      <c r="F34" s="21">
        <f>'2006'!I34</f>
        <v>55280.28</v>
      </c>
      <c r="G34" s="21">
        <f>1270.06</f>
        <v>1270.06</v>
      </c>
      <c r="H34" s="21"/>
      <c r="I34" s="22">
        <f t="shared" si="0"/>
        <v>56550.34</v>
      </c>
      <c r="J34" s="23"/>
      <c r="K34" s="24">
        <f>'2006'!N34</f>
        <v>-40598</v>
      </c>
      <c r="L34" s="21">
        <f>-1507.35-2498-826</f>
        <v>-4831.35</v>
      </c>
      <c r="M34" s="21"/>
      <c r="N34" s="22">
        <f t="shared" si="1"/>
        <v>-45429.35</v>
      </c>
      <c r="O34" s="25">
        <f t="shared" si="2"/>
        <v>11120.989999999998</v>
      </c>
    </row>
    <row r="35" spans="2:15" ht="15">
      <c r="B35" s="18">
        <v>8</v>
      </c>
      <c r="C35" s="18">
        <v>1915</v>
      </c>
      <c r="D35" s="19" t="s">
        <v>34</v>
      </c>
      <c r="E35" s="20">
        <f>1/5</f>
        <v>0.2</v>
      </c>
      <c r="F35" s="21">
        <f>'2006'!I35</f>
        <v>0</v>
      </c>
      <c r="G35" s="21"/>
      <c r="H35" s="21"/>
      <c r="I35" s="22">
        <f t="shared" si="0"/>
        <v>0</v>
      </c>
      <c r="J35" s="23"/>
      <c r="K35" s="24">
        <f>'2006'!N35</f>
        <v>0</v>
      </c>
      <c r="L35" s="21"/>
      <c r="M35" s="21"/>
      <c r="N35" s="22">
        <f t="shared" si="1"/>
        <v>0</v>
      </c>
      <c r="O35" s="25">
        <f t="shared" si="2"/>
        <v>0</v>
      </c>
    </row>
    <row r="36" spans="2:15" ht="15">
      <c r="B36" s="18">
        <v>10</v>
      </c>
      <c r="C36" s="18">
        <v>1920</v>
      </c>
      <c r="D36" s="19" t="s">
        <v>35</v>
      </c>
      <c r="E36" s="20">
        <f>1/5</f>
        <v>0.2</v>
      </c>
      <c r="F36" s="21">
        <f>'2006'!I36</f>
        <v>69352.57</v>
      </c>
      <c r="G36" s="21">
        <f>1691.28</f>
        <v>1691.28</v>
      </c>
      <c r="H36" s="21"/>
      <c r="I36" s="22">
        <f t="shared" si="0"/>
        <v>71043.85</v>
      </c>
      <c r="J36" s="23"/>
      <c r="K36" s="24">
        <f>'2006'!N36</f>
        <v>-52306</v>
      </c>
      <c r="L36" s="21">
        <f>-5571.77-9204-194</f>
        <v>-14969.77</v>
      </c>
      <c r="M36" s="21"/>
      <c r="N36" s="22">
        <f t="shared" si="1"/>
        <v>-67275.77</v>
      </c>
      <c r="O36" s="25">
        <f t="shared" si="2"/>
        <v>3768.0800000000017</v>
      </c>
    </row>
    <row r="37" spans="2:15" ht="15">
      <c r="B37" s="18">
        <v>45</v>
      </c>
      <c r="C37" s="27">
        <v>1920</v>
      </c>
      <c r="D37" s="26" t="s">
        <v>36</v>
      </c>
      <c r="E37" s="20"/>
      <c r="F37" s="21">
        <f>'2006'!I37</f>
        <v>0</v>
      </c>
      <c r="G37" s="21"/>
      <c r="H37" s="21"/>
      <c r="I37" s="22">
        <f t="shared" si="0"/>
        <v>0</v>
      </c>
      <c r="J37" s="23"/>
      <c r="K37" s="24">
        <f>'2006'!N37</f>
        <v>0</v>
      </c>
      <c r="L37" s="21"/>
      <c r="M37" s="21"/>
      <c r="N37" s="22">
        <f t="shared" si="1"/>
        <v>0</v>
      </c>
      <c r="O37" s="25">
        <f t="shared" si="2"/>
        <v>0</v>
      </c>
    </row>
    <row r="38" spans="2:15" ht="15">
      <c r="B38" s="18">
        <v>45.1</v>
      </c>
      <c r="C38" s="27">
        <v>1920</v>
      </c>
      <c r="D38" s="26" t="s">
        <v>37</v>
      </c>
      <c r="E38" s="20"/>
      <c r="F38" s="21">
        <f>'2006'!I38</f>
        <v>0</v>
      </c>
      <c r="G38" s="21"/>
      <c r="H38" s="21"/>
      <c r="I38" s="22">
        <f t="shared" si="0"/>
        <v>0</v>
      </c>
      <c r="J38" s="23"/>
      <c r="K38" s="24">
        <f>'2006'!N38</f>
        <v>0</v>
      </c>
      <c r="L38" s="21"/>
      <c r="M38" s="21"/>
      <c r="N38" s="22">
        <f t="shared" si="1"/>
        <v>0</v>
      </c>
      <c r="O38" s="25">
        <f t="shared" si="2"/>
        <v>0</v>
      </c>
    </row>
    <row r="39" spans="2:15" ht="15">
      <c r="B39" s="18">
        <v>12</v>
      </c>
      <c r="C39" s="18">
        <v>1925</v>
      </c>
      <c r="D39" s="19" t="s">
        <v>38</v>
      </c>
      <c r="E39" s="20">
        <f>1/5</f>
        <v>0.2</v>
      </c>
      <c r="F39" s="21">
        <f>'2006'!I39</f>
        <v>397766.86</v>
      </c>
      <c r="G39" s="21">
        <f>24405.16</f>
        <v>24405.16</v>
      </c>
      <c r="H39" s="21"/>
      <c r="I39" s="22">
        <f t="shared" si="0"/>
        <v>422172.01999999996</v>
      </c>
      <c r="J39" s="23"/>
      <c r="K39" s="24">
        <f>'2006'!N39</f>
        <v>-219239</v>
      </c>
      <c r="L39" s="21">
        <f>-61898.7-19694</f>
        <v>-81592.7</v>
      </c>
      <c r="M39" s="21"/>
      <c r="N39" s="22">
        <f t="shared" si="1"/>
        <v>-300831.7</v>
      </c>
      <c r="O39" s="25">
        <f t="shared" si="2"/>
        <v>121340.31999999995</v>
      </c>
    </row>
    <row r="40" spans="2:16" ht="15">
      <c r="B40" s="18">
        <v>10</v>
      </c>
      <c r="C40" s="18">
        <v>1930</v>
      </c>
      <c r="D40" s="19" t="s">
        <v>39</v>
      </c>
      <c r="E40" s="20">
        <f>1/8</f>
        <v>0.125</v>
      </c>
      <c r="F40" s="21">
        <f>'2006'!I40</f>
        <v>17152.3</v>
      </c>
      <c r="G40" s="21">
        <f>13025</f>
        <v>13025</v>
      </c>
      <c r="H40" s="21"/>
      <c r="I40" s="22">
        <f t="shared" si="0"/>
        <v>30177.3</v>
      </c>
      <c r="J40" s="23"/>
      <c r="K40" s="24">
        <f>'2006'!N40</f>
        <v>-11550</v>
      </c>
      <c r="L40" s="21">
        <f>-1872.93-2605</f>
        <v>-4477.93</v>
      </c>
      <c r="M40" s="21"/>
      <c r="N40" s="22">
        <f t="shared" si="1"/>
        <v>-16027.93</v>
      </c>
      <c r="O40" s="25">
        <f t="shared" si="2"/>
        <v>14149.369999999999</v>
      </c>
      <c r="P40" s="41"/>
    </row>
    <row r="41" spans="2:15" ht="15">
      <c r="B41" s="18">
        <v>8</v>
      </c>
      <c r="C41" s="18">
        <v>1935</v>
      </c>
      <c r="D41" s="19" t="s">
        <v>40</v>
      </c>
      <c r="E41" s="20">
        <f>1/5</f>
        <v>0.2</v>
      </c>
      <c r="F41" s="21">
        <f>'2006'!I41</f>
        <v>458</v>
      </c>
      <c r="G41" s="21"/>
      <c r="H41" s="21"/>
      <c r="I41" s="22">
        <f t="shared" si="0"/>
        <v>458</v>
      </c>
      <c r="J41" s="23"/>
      <c r="K41" s="24">
        <f>'2006'!N41</f>
        <v>-46</v>
      </c>
      <c r="L41" s="21">
        <v>-92</v>
      </c>
      <c r="M41" s="21"/>
      <c r="N41" s="22">
        <f t="shared" si="1"/>
        <v>-138</v>
      </c>
      <c r="O41" s="25">
        <f t="shared" si="2"/>
        <v>320</v>
      </c>
    </row>
    <row r="42" spans="2:15" ht="15">
      <c r="B42" s="18">
        <v>8</v>
      </c>
      <c r="C42" s="18">
        <v>1940</v>
      </c>
      <c r="D42" s="19" t="s">
        <v>41</v>
      </c>
      <c r="E42" s="20">
        <f>1/5</f>
        <v>0.2</v>
      </c>
      <c r="F42" s="21">
        <f>'2006'!I42</f>
        <v>82129.91</v>
      </c>
      <c r="G42" s="21">
        <f>1007</f>
        <v>1007</v>
      </c>
      <c r="H42" s="21"/>
      <c r="I42" s="22">
        <f t="shared" si="0"/>
        <v>83136.91</v>
      </c>
      <c r="J42" s="23"/>
      <c r="K42" s="24">
        <f>'2006'!N42</f>
        <v>-58564</v>
      </c>
      <c r="L42" s="21">
        <f>-1100.68-12180-941</f>
        <v>-14221.68</v>
      </c>
      <c r="M42" s="21"/>
      <c r="N42" s="22">
        <f t="shared" si="1"/>
        <v>-72785.68</v>
      </c>
      <c r="O42" s="25">
        <f t="shared" si="2"/>
        <v>10351.23000000001</v>
      </c>
    </row>
    <row r="43" spans="2:15" ht="15">
      <c r="B43" s="18">
        <v>8</v>
      </c>
      <c r="C43" s="18">
        <v>1945</v>
      </c>
      <c r="D43" s="19" t="s">
        <v>42</v>
      </c>
      <c r="E43" s="20">
        <f>1/5</f>
        <v>0.2</v>
      </c>
      <c r="F43" s="21">
        <f>'2006'!I43</f>
        <v>11007</v>
      </c>
      <c r="G43" s="21"/>
      <c r="H43" s="21"/>
      <c r="I43" s="22">
        <f t="shared" si="0"/>
        <v>11007</v>
      </c>
      <c r="J43" s="23"/>
      <c r="K43" s="24">
        <f>'2006'!N43</f>
        <v>-83</v>
      </c>
      <c r="L43" s="21"/>
      <c r="M43" s="21"/>
      <c r="N43" s="22">
        <f t="shared" si="1"/>
        <v>-83</v>
      </c>
      <c r="O43" s="25">
        <f t="shared" si="2"/>
        <v>10924</v>
      </c>
    </row>
    <row r="44" spans="2:15" ht="15">
      <c r="B44" s="18">
        <v>8</v>
      </c>
      <c r="C44" s="18">
        <v>1950</v>
      </c>
      <c r="D44" s="19" t="s">
        <v>43</v>
      </c>
      <c r="E44" s="20">
        <f>1/5</f>
        <v>0.2</v>
      </c>
      <c r="F44" s="21">
        <f>'2006'!I44</f>
        <v>64091</v>
      </c>
      <c r="G44" s="21"/>
      <c r="H44" s="21"/>
      <c r="I44" s="22">
        <f t="shared" si="0"/>
        <v>64091</v>
      </c>
      <c r="J44" s="23"/>
      <c r="K44" s="24">
        <f>'2006'!N44</f>
        <v>-468</v>
      </c>
      <c r="L44" s="21"/>
      <c r="M44" s="21"/>
      <c r="N44" s="22">
        <f t="shared" si="1"/>
        <v>-468</v>
      </c>
      <c r="O44" s="25">
        <f t="shared" si="2"/>
        <v>63623</v>
      </c>
    </row>
    <row r="45" spans="2:15" ht="15">
      <c r="B45" s="18">
        <v>8</v>
      </c>
      <c r="C45" s="18">
        <v>1955</v>
      </c>
      <c r="D45" s="19" t="s">
        <v>44</v>
      </c>
      <c r="E45" s="20"/>
      <c r="F45" s="21">
        <f>'2006'!I45</f>
        <v>0</v>
      </c>
      <c r="G45" s="21"/>
      <c r="H45" s="21"/>
      <c r="I45" s="22">
        <f t="shared" si="0"/>
        <v>0</v>
      </c>
      <c r="J45" s="23"/>
      <c r="K45" s="24">
        <f>'2006'!N45</f>
        <v>0</v>
      </c>
      <c r="L45" s="21"/>
      <c r="M45" s="21"/>
      <c r="N45" s="22">
        <f t="shared" si="1"/>
        <v>0</v>
      </c>
      <c r="O45" s="25">
        <f t="shared" si="2"/>
        <v>0</v>
      </c>
    </row>
    <row r="46" spans="2:15" ht="15">
      <c r="B46" s="29">
        <v>8</v>
      </c>
      <c r="C46" s="29">
        <v>1955</v>
      </c>
      <c r="D46" s="30" t="s">
        <v>45</v>
      </c>
      <c r="E46" s="20"/>
      <c r="F46" s="21">
        <f>'2006'!I46</f>
        <v>0</v>
      </c>
      <c r="G46" s="21"/>
      <c r="H46" s="21"/>
      <c r="I46" s="22">
        <f t="shared" si="0"/>
        <v>0</v>
      </c>
      <c r="J46" s="23"/>
      <c r="K46" s="24">
        <f>'2006'!N46</f>
        <v>0</v>
      </c>
      <c r="L46" s="21"/>
      <c r="M46" s="21"/>
      <c r="N46" s="22">
        <f t="shared" si="1"/>
        <v>0</v>
      </c>
      <c r="O46" s="25">
        <f t="shared" si="2"/>
        <v>0</v>
      </c>
    </row>
    <row r="47" spans="2:15" ht="15">
      <c r="B47" s="27">
        <v>8</v>
      </c>
      <c r="C47" s="27">
        <v>1960</v>
      </c>
      <c r="D47" s="26" t="s">
        <v>46</v>
      </c>
      <c r="E47" s="20"/>
      <c r="F47" s="21">
        <f>'2006'!I47</f>
        <v>0</v>
      </c>
      <c r="G47" s="21"/>
      <c r="H47" s="21"/>
      <c r="I47" s="22">
        <f t="shared" si="0"/>
        <v>0</v>
      </c>
      <c r="J47" s="23"/>
      <c r="K47" s="24">
        <f>'2006'!N47</f>
        <v>0</v>
      </c>
      <c r="L47" s="21"/>
      <c r="M47" s="21"/>
      <c r="N47" s="22">
        <f t="shared" si="1"/>
        <v>0</v>
      </c>
      <c r="O47" s="25">
        <f t="shared" si="2"/>
        <v>0</v>
      </c>
    </row>
    <row r="48" spans="2:15" ht="15">
      <c r="B48" s="18">
        <v>47</v>
      </c>
      <c r="C48" s="18">
        <v>1975</v>
      </c>
      <c r="D48" s="19" t="s">
        <v>47</v>
      </c>
      <c r="E48" s="20"/>
      <c r="F48" s="21">
        <f>'2006'!I48</f>
        <v>0</v>
      </c>
      <c r="G48" s="21"/>
      <c r="H48" s="21"/>
      <c r="I48" s="22">
        <f t="shared" si="0"/>
        <v>0</v>
      </c>
      <c r="J48" s="23"/>
      <c r="K48" s="24">
        <f>'2006'!N48</f>
        <v>0</v>
      </c>
      <c r="L48" s="21"/>
      <c r="M48" s="21"/>
      <c r="N48" s="22">
        <f t="shared" si="1"/>
        <v>0</v>
      </c>
      <c r="O48" s="25">
        <f t="shared" si="2"/>
        <v>0</v>
      </c>
    </row>
    <row r="49" spans="2:15" ht="15">
      <c r="B49" s="18">
        <v>47</v>
      </c>
      <c r="C49" s="18">
        <v>1980</v>
      </c>
      <c r="D49" s="19" t="s">
        <v>48</v>
      </c>
      <c r="E49" s="20"/>
      <c r="F49" s="21">
        <f>'2006'!I49</f>
        <v>0</v>
      </c>
      <c r="G49" s="21"/>
      <c r="H49" s="21"/>
      <c r="I49" s="22">
        <f t="shared" si="0"/>
        <v>0</v>
      </c>
      <c r="J49" s="23"/>
      <c r="K49" s="24">
        <f>'2006'!N49</f>
        <v>0</v>
      </c>
      <c r="L49" s="21"/>
      <c r="M49" s="21"/>
      <c r="N49" s="22">
        <f t="shared" si="1"/>
        <v>0</v>
      </c>
      <c r="O49" s="25">
        <f t="shared" si="2"/>
        <v>0</v>
      </c>
    </row>
    <row r="50" spans="2:15" ht="15">
      <c r="B50" s="18">
        <v>47</v>
      </c>
      <c r="C50" s="18">
        <v>1985</v>
      </c>
      <c r="D50" s="19" t="s">
        <v>49</v>
      </c>
      <c r="E50" s="20"/>
      <c r="F50" s="21">
        <f>'2006'!I50</f>
        <v>0</v>
      </c>
      <c r="G50" s="21"/>
      <c r="H50" s="21"/>
      <c r="I50" s="22">
        <f t="shared" si="0"/>
        <v>0</v>
      </c>
      <c r="J50" s="23"/>
      <c r="K50" s="24">
        <f>'2006'!N50</f>
        <v>0</v>
      </c>
      <c r="L50" s="21"/>
      <c r="M50" s="21"/>
      <c r="N50" s="22">
        <f t="shared" si="1"/>
        <v>0</v>
      </c>
      <c r="O50" s="25">
        <f t="shared" si="2"/>
        <v>0</v>
      </c>
    </row>
    <row r="51" spans="2:15" ht="15">
      <c r="B51" s="18">
        <v>47</v>
      </c>
      <c r="C51" s="18">
        <v>1995</v>
      </c>
      <c r="D51" s="19" t="s">
        <v>50</v>
      </c>
      <c r="E51" s="20">
        <f>1/25</f>
        <v>0.04</v>
      </c>
      <c r="F51" s="21">
        <f>'2006'!I51</f>
        <v>-857316.435</v>
      </c>
      <c r="G51" s="21">
        <f>-880600.95</f>
        <v>-880600.95</v>
      </c>
      <c r="H51" s="21"/>
      <c r="I51" s="22">
        <f t="shared" si="0"/>
        <v>-1737917.385</v>
      </c>
      <c r="J51" s="23"/>
      <c r="K51" s="24">
        <f>'2006'!N51</f>
        <v>52461</v>
      </c>
      <c r="L51" s="21">
        <f>46371.76+9319+123</f>
        <v>55813.76</v>
      </c>
      <c r="M51" s="21"/>
      <c r="N51" s="22">
        <f t="shared" si="1"/>
        <v>108274.76000000001</v>
      </c>
      <c r="O51" s="25">
        <f t="shared" si="2"/>
        <v>-1629642.625</v>
      </c>
    </row>
    <row r="52" spans="2:15" ht="15">
      <c r="B52" s="18"/>
      <c r="C52" s="18" t="s">
        <v>51</v>
      </c>
      <c r="D52" s="19"/>
      <c r="E52" s="20"/>
      <c r="F52" s="21"/>
      <c r="G52" s="21"/>
      <c r="H52" s="21"/>
      <c r="I52" s="22">
        <f t="shared" si="0"/>
        <v>0</v>
      </c>
      <c r="K52" s="24">
        <f>'2006'!N52</f>
        <v>0</v>
      </c>
      <c r="L52" s="21"/>
      <c r="M52" s="21"/>
      <c r="N52" s="22">
        <f t="shared" si="1"/>
        <v>0</v>
      </c>
      <c r="O52" s="25">
        <f t="shared" si="2"/>
        <v>0</v>
      </c>
    </row>
    <row r="53" spans="2:15" ht="15">
      <c r="B53" s="18"/>
      <c r="C53" s="18"/>
      <c r="D53" s="19"/>
      <c r="E53" s="20"/>
      <c r="F53" s="31"/>
      <c r="G53" s="31"/>
      <c r="H53" s="31"/>
      <c r="I53" s="19"/>
      <c r="K53" s="24">
        <f>'2006'!N53</f>
        <v>0</v>
      </c>
      <c r="L53" s="31"/>
      <c r="M53" s="31"/>
      <c r="N53" s="19"/>
      <c r="O53" s="19"/>
    </row>
    <row r="54" spans="2:15" ht="15">
      <c r="B54" s="18"/>
      <c r="C54" s="18"/>
      <c r="D54" s="32" t="s">
        <v>52</v>
      </c>
      <c r="E54" s="32"/>
      <c r="F54" s="33">
        <f>SUM(F16:F52)</f>
        <v>25905592.525000002</v>
      </c>
      <c r="G54" s="33">
        <f>SUM(G16:G52)</f>
        <v>1415165.9600000002</v>
      </c>
      <c r="H54" s="33">
        <f>SUM(H16:H52)</f>
        <v>0</v>
      </c>
      <c r="I54" s="33">
        <f>SUM(I16:I52)</f>
        <v>27320758.485000003</v>
      </c>
      <c r="J54" s="34"/>
      <c r="K54" s="35">
        <f>SUM(K16:K52)</f>
        <v>-6702040</v>
      </c>
      <c r="L54" s="35">
        <f>SUM(L16:L52)</f>
        <v>-1142522.38</v>
      </c>
      <c r="M54" s="35">
        <f>SUM(M16:M52)</f>
        <v>0</v>
      </c>
      <c r="N54" s="35">
        <f>SUM(N16:N52)</f>
        <v>-7844562.38</v>
      </c>
      <c r="O54" s="33">
        <f t="shared" si="2"/>
        <v>19476196.105000004</v>
      </c>
    </row>
    <row r="56" spans="5:12" ht="15">
      <c r="E56" s="2"/>
      <c r="K56" s="36" t="s">
        <v>53</v>
      </c>
      <c r="L56" s="36"/>
    </row>
    <row r="57" spans="2:13" ht="15">
      <c r="B57" s="18">
        <v>10</v>
      </c>
      <c r="C57" s="18"/>
      <c r="D57" s="19" t="s">
        <v>54</v>
      </c>
      <c r="E57" s="2"/>
      <c r="K57" s="36" t="s">
        <v>54</v>
      </c>
      <c r="L57" s="36"/>
      <c r="M57" s="28"/>
    </row>
    <row r="58" spans="2:13" ht="15">
      <c r="B58" s="18">
        <v>8</v>
      </c>
      <c r="C58" s="18"/>
      <c r="D58" s="19" t="s">
        <v>40</v>
      </c>
      <c r="K58" s="36" t="s">
        <v>40</v>
      </c>
      <c r="L58" s="36"/>
      <c r="M58" s="37"/>
    </row>
    <row r="59" spans="11:13" ht="15">
      <c r="K59" s="38" t="s">
        <v>55</v>
      </c>
      <c r="M59" s="39">
        <f>M54-M57-M58</f>
        <v>0</v>
      </c>
    </row>
    <row r="61" spans="2:6" ht="15">
      <c r="B61" s="62" t="s">
        <v>56</v>
      </c>
      <c r="C61" s="63"/>
      <c r="D61" s="63"/>
      <c r="E61" s="63"/>
      <c r="F61" s="63"/>
    </row>
    <row r="63" ht="15">
      <c r="B63" s="40" t="s">
        <v>57</v>
      </c>
    </row>
    <row r="65" spans="2:15" ht="15">
      <c r="B65" s="1">
        <v>1</v>
      </c>
      <c r="C65" s="64" t="s">
        <v>58</v>
      </c>
      <c r="D65" s="64"/>
      <c r="E65" s="64"/>
      <c r="F65" s="64"/>
      <c r="G65" s="64"/>
      <c r="H65" s="64"/>
      <c r="I65" s="64"/>
      <c r="J65" s="64"/>
      <c r="K65" s="64"/>
      <c r="L65" s="64"/>
      <c r="M65" s="64"/>
      <c r="N65" s="64"/>
      <c r="O65" s="64"/>
    </row>
    <row r="66" spans="3:15" ht="15">
      <c r="C66" s="64"/>
      <c r="D66" s="64"/>
      <c r="E66" s="64"/>
      <c r="F66" s="64"/>
      <c r="G66" s="64"/>
      <c r="H66" s="64"/>
      <c r="I66" s="64"/>
      <c r="J66" s="64"/>
      <c r="K66" s="64"/>
      <c r="L66" s="64"/>
      <c r="M66" s="64"/>
      <c r="N66" s="64"/>
      <c r="O66" s="64"/>
    </row>
    <row r="68" ht="12.75" customHeight="1"/>
    <row r="69" spans="2:15" ht="15">
      <c r="B69" s="1">
        <v>2</v>
      </c>
      <c r="C69" s="55" t="s">
        <v>59</v>
      </c>
      <c r="D69" s="55"/>
      <c r="E69" s="55"/>
      <c r="F69" s="55"/>
      <c r="G69" s="55"/>
      <c r="H69" s="55"/>
      <c r="I69" s="55"/>
      <c r="J69" s="55"/>
      <c r="K69" s="55"/>
      <c r="L69" s="55"/>
      <c r="M69" s="55"/>
      <c r="N69" s="55"/>
      <c r="O69" s="55"/>
    </row>
    <row r="70" spans="3:15" ht="15">
      <c r="C70" s="55"/>
      <c r="D70" s="55"/>
      <c r="E70" s="55"/>
      <c r="F70" s="55"/>
      <c r="G70" s="55"/>
      <c r="H70" s="55"/>
      <c r="I70" s="55"/>
      <c r="J70" s="55"/>
      <c r="K70" s="55"/>
      <c r="L70" s="55"/>
      <c r="M70" s="55"/>
      <c r="N70" s="55"/>
      <c r="O70" s="55"/>
    </row>
    <row r="72" spans="2:15" ht="15">
      <c r="B72" s="1">
        <v>3</v>
      </c>
      <c r="C72" s="56" t="s">
        <v>60</v>
      </c>
      <c r="D72" s="56"/>
      <c r="E72" s="56"/>
      <c r="F72" s="56"/>
      <c r="G72" s="56"/>
      <c r="H72" s="56"/>
      <c r="I72" s="56"/>
      <c r="J72" s="56"/>
      <c r="K72" s="56"/>
      <c r="L72" s="56"/>
      <c r="M72" s="56"/>
      <c r="N72" s="56"/>
      <c r="O72" s="56"/>
    </row>
  </sheetData>
  <sheetProtection/>
  <mergeCells count="8">
    <mergeCell ref="C69:O70"/>
    <mergeCell ref="C72:O72"/>
    <mergeCell ref="F9:I9"/>
    <mergeCell ref="F10:J10"/>
    <mergeCell ref="G12:H12"/>
    <mergeCell ref="F14:I14"/>
    <mergeCell ref="B61:F61"/>
    <mergeCell ref="C65:O66"/>
  </mergeCells>
  <dataValidations count="1">
    <dataValidation allowBlank="1" showInputMessage="1" showErrorMessage="1" promptTitle="Date Format" prompt="E.g:  &quot;August 1, 2011&quot;" sqref="O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72"/>
  <sheetViews>
    <sheetView zoomScalePageLayoutView="0" workbookViewId="0" topLeftCell="A1">
      <selection activeCell="A1" sqref="A1:IV7"/>
    </sheetView>
  </sheetViews>
  <sheetFormatPr defaultColWidth="9.140625" defaultRowHeight="15"/>
  <cols>
    <col min="1" max="1" width="2.8515625" style="0" customWidth="1"/>
    <col min="2" max="2" width="7.7109375" style="1" customWidth="1"/>
    <col min="3" max="3" width="6.421875" style="1" customWidth="1"/>
    <col min="4" max="4" width="37.8515625" style="0" customWidth="1"/>
    <col min="5" max="5" width="12.7109375" style="0" customWidth="1"/>
    <col min="6" max="6" width="14.421875" style="0" customWidth="1"/>
    <col min="7" max="7" width="13.00390625" style="0" customWidth="1"/>
    <col min="8" max="8" width="11.7109375" style="0" customWidth="1"/>
    <col min="9" max="9" width="13.57421875" style="0" customWidth="1"/>
    <col min="10" max="10" width="1.7109375" style="2" customWidth="1"/>
    <col min="11" max="11" width="14.28125" style="0" customWidth="1"/>
    <col min="12" max="12" width="13.421875" style="0" customWidth="1"/>
    <col min="13" max="13" width="11.8515625" style="0" customWidth="1"/>
    <col min="14" max="14" width="14.57421875" style="0" bestFit="1" customWidth="1"/>
    <col min="15" max="15" width="14.140625" style="0" bestFit="1" customWidth="1"/>
    <col min="16" max="16" width="12.57421875" style="0" bestFit="1" customWidth="1"/>
  </cols>
  <sheetData>
    <row r="1" spans="2:15" ht="15">
      <c r="B1" s="54"/>
      <c r="C1" s="54"/>
      <c r="N1" s="3" t="s">
        <v>0</v>
      </c>
      <c r="O1" s="4" t="s">
        <v>61</v>
      </c>
    </row>
    <row r="2" spans="2:14" s="66" customFormat="1" ht="15">
      <c r="B2" s="65"/>
      <c r="C2" s="65"/>
      <c r="J2" s="7"/>
      <c r="N2" s="67"/>
    </row>
    <row r="3" spans="2:14" s="66" customFormat="1" ht="15">
      <c r="B3" s="65"/>
      <c r="C3" s="65"/>
      <c r="J3" s="7"/>
      <c r="N3" s="67"/>
    </row>
    <row r="4" spans="2:14" s="66" customFormat="1" ht="15">
      <c r="B4" s="65"/>
      <c r="C4" s="65"/>
      <c r="J4" s="7"/>
      <c r="N4" s="67"/>
    </row>
    <row r="5" spans="2:14" s="66" customFormat="1" ht="15">
      <c r="B5" s="65"/>
      <c r="C5" s="65"/>
      <c r="J5" s="7"/>
      <c r="N5" s="67"/>
    </row>
    <row r="6" spans="2:14" s="66" customFormat="1" ht="9" customHeight="1">
      <c r="B6" s="65"/>
      <c r="C6" s="65"/>
      <c r="J6" s="7"/>
      <c r="N6" s="67"/>
    </row>
    <row r="7" spans="2:15" s="66" customFormat="1" ht="15">
      <c r="B7" s="65"/>
      <c r="C7" s="65"/>
      <c r="J7" s="7"/>
      <c r="N7" s="67"/>
      <c r="O7" s="68"/>
    </row>
    <row r="8" ht="9" customHeight="1"/>
    <row r="9" spans="6:9" ht="20.25" customHeight="1">
      <c r="F9" s="57" t="s">
        <v>1</v>
      </c>
      <c r="G9" s="57"/>
      <c r="H9" s="57"/>
      <c r="I9" s="57"/>
    </row>
    <row r="10" spans="6:10" ht="18">
      <c r="F10" s="57" t="s">
        <v>2</v>
      </c>
      <c r="G10" s="57"/>
      <c r="H10" s="57"/>
      <c r="I10" s="57"/>
      <c r="J10" s="57"/>
    </row>
    <row r="12" spans="6:9" ht="15">
      <c r="F12" s="5" t="s">
        <v>3</v>
      </c>
      <c r="G12" s="58">
        <v>2008</v>
      </c>
      <c r="H12" s="58"/>
      <c r="I12" s="6"/>
    </row>
    <row r="14" spans="5:15" ht="15">
      <c r="E14" s="7"/>
      <c r="F14" s="59" t="s">
        <v>4</v>
      </c>
      <c r="G14" s="60"/>
      <c r="H14" s="60"/>
      <c r="I14" s="61"/>
      <c r="K14" s="8"/>
      <c r="L14" s="9" t="s">
        <v>5</v>
      </c>
      <c r="M14" s="9"/>
      <c r="N14" s="10"/>
      <c r="O14" s="2"/>
    </row>
    <row r="15" spans="2:15" ht="26.25">
      <c r="B15" s="11" t="s">
        <v>6</v>
      </c>
      <c r="C15" s="12" t="s">
        <v>7</v>
      </c>
      <c r="D15" s="13" t="s">
        <v>8</v>
      </c>
      <c r="E15" s="11" t="s">
        <v>9</v>
      </c>
      <c r="F15" s="11" t="s">
        <v>10</v>
      </c>
      <c r="G15" s="12" t="s">
        <v>11</v>
      </c>
      <c r="H15" s="12" t="s">
        <v>12</v>
      </c>
      <c r="I15" s="11" t="s">
        <v>13</v>
      </c>
      <c r="J15" s="14"/>
      <c r="K15" s="15" t="s">
        <v>10</v>
      </c>
      <c r="L15" s="16" t="s">
        <v>11</v>
      </c>
      <c r="M15" s="16" t="s">
        <v>12</v>
      </c>
      <c r="N15" s="17" t="s">
        <v>13</v>
      </c>
      <c r="O15" s="11" t="s">
        <v>14</v>
      </c>
    </row>
    <row r="16" spans="2:15" ht="15">
      <c r="B16" s="18" t="s">
        <v>15</v>
      </c>
      <c r="C16" s="18">
        <v>1805</v>
      </c>
      <c r="D16" s="19" t="s">
        <v>16</v>
      </c>
      <c r="E16" s="20"/>
      <c r="F16" s="21">
        <f>'2007'!I16</f>
        <v>150428.71000000002</v>
      </c>
      <c r="G16" s="21"/>
      <c r="H16" s="21"/>
      <c r="I16" s="22">
        <f>F16+G16+H16</f>
        <v>150428.71000000002</v>
      </c>
      <c r="J16" s="23"/>
      <c r="K16" s="24">
        <f>'2007'!N16</f>
        <v>0</v>
      </c>
      <c r="L16" s="21"/>
      <c r="M16" s="21"/>
      <c r="N16" s="22">
        <f>K16+L16+M16</f>
        <v>0</v>
      </c>
      <c r="O16" s="25">
        <f>I16+N16</f>
        <v>150428.71000000002</v>
      </c>
    </row>
    <row r="17" spans="2:15" ht="15">
      <c r="B17" s="18">
        <v>47</v>
      </c>
      <c r="C17" s="18">
        <v>1808</v>
      </c>
      <c r="D17" s="19" t="s">
        <v>17</v>
      </c>
      <c r="E17" s="20">
        <f>1/25</f>
        <v>0.04</v>
      </c>
      <c r="F17" s="21">
        <f>'2007'!I17</f>
        <v>125849</v>
      </c>
      <c r="G17" s="21">
        <v>10160</v>
      </c>
      <c r="H17" s="21"/>
      <c r="I17" s="22">
        <f aca="true" t="shared" si="0" ref="I17:I52">F17+G17+H17</f>
        <v>136009</v>
      </c>
      <c r="J17" s="23"/>
      <c r="K17" s="24">
        <f>'2007'!N17</f>
        <v>-32610.75</v>
      </c>
      <c r="L17" s="21">
        <f>-4712.69-462.26</f>
        <v>-5174.95</v>
      </c>
      <c r="M17" s="21"/>
      <c r="N17" s="22">
        <f aca="true" t="shared" si="1" ref="N17:N52">K17+L17+M17</f>
        <v>-37785.7</v>
      </c>
      <c r="O17" s="25">
        <f aca="true" t="shared" si="2" ref="O17:O54">I17+N17</f>
        <v>98223.3</v>
      </c>
    </row>
    <row r="18" spans="2:15" ht="15">
      <c r="B18" s="18">
        <v>13</v>
      </c>
      <c r="C18" s="18">
        <v>1810</v>
      </c>
      <c r="D18" s="19" t="s">
        <v>18</v>
      </c>
      <c r="E18" s="20">
        <f>1/10</f>
        <v>0.1</v>
      </c>
      <c r="F18" s="21">
        <f>'2007'!I18</f>
        <v>7040</v>
      </c>
      <c r="G18" s="21"/>
      <c r="H18" s="21"/>
      <c r="I18" s="22">
        <f t="shared" si="0"/>
        <v>7040</v>
      </c>
      <c r="J18" s="23"/>
      <c r="K18" s="24">
        <f>'2007'!N18</f>
        <v>-2816</v>
      </c>
      <c r="L18" s="21">
        <v>-1408</v>
      </c>
      <c r="M18" s="21"/>
      <c r="N18" s="22">
        <f t="shared" si="1"/>
        <v>-4224</v>
      </c>
      <c r="O18" s="25">
        <f t="shared" si="2"/>
        <v>2816</v>
      </c>
    </row>
    <row r="19" spans="2:15" ht="15">
      <c r="B19" s="18">
        <v>47</v>
      </c>
      <c r="C19" s="18">
        <v>1815</v>
      </c>
      <c r="D19" s="19" t="s">
        <v>19</v>
      </c>
      <c r="E19" s="20"/>
      <c r="F19" s="21">
        <f>'2007'!I19</f>
        <v>0</v>
      </c>
      <c r="G19" s="21"/>
      <c r="H19" s="21"/>
      <c r="I19" s="22">
        <f t="shared" si="0"/>
        <v>0</v>
      </c>
      <c r="J19" s="23"/>
      <c r="K19" s="24">
        <f>'2007'!N19</f>
        <v>0</v>
      </c>
      <c r="L19" s="21"/>
      <c r="M19" s="21"/>
      <c r="N19" s="22">
        <f t="shared" si="1"/>
        <v>0</v>
      </c>
      <c r="O19" s="25">
        <f t="shared" si="2"/>
        <v>0</v>
      </c>
    </row>
    <row r="20" spans="2:15" ht="15">
      <c r="B20" s="18">
        <v>47</v>
      </c>
      <c r="C20" s="18">
        <v>1820</v>
      </c>
      <c r="D20" s="26" t="s">
        <v>20</v>
      </c>
      <c r="E20" s="20">
        <f>1/25</f>
        <v>0.04</v>
      </c>
      <c r="F20" s="21">
        <f>'2007'!I20</f>
        <v>474668.78</v>
      </c>
      <c r="G20" s="21">
        <f>23486.98+1073</f>
        <v>24559.98</v>
      </c>
      <c r="H20" s="21"/>
      <c r="I20" s="22">
        <f t="shared" si="0"/>
        <v>499228.76</v>
      </c>
      <c r="J20" s="23"/>
      <c r="K20" s="24">
        <f>'2007'!N20</f>
        <v>-163651.86</v>
      </c>
      <c r="L20" s="21">
        <f>-7897.61-2952.73-6595</f>
        <v>-17445.34</v>
      </c>
      <c r="M20" s="21"/>
      <c r="N20" s="22">
        <f t="shared" si="1"/>
        <v>-181097.19999999998</v>
      </c>
      <c r="O20" s="25">
        <f t="shared" si="2"/>
        <v>318131.56000000006</v>
      </c>
    </row>
    <row r="21" spans="2:15" ht="15">
      <c r="B21" s="18">
        <v>47</v>
      </c>
      <c r="C21" s="18">
        <v>1825</v>
      </c>
      <c r="D21" s="19" t="s">
        <v>21</v>
      </c>
      <c r="E21" s="20">
        <f aca="true" t="shared" si="3" ref="E21:E28">1/25</f>
        <v>0.04</v>
      </c>
      <c r="F21" s="21">
        <f>'2007'!I21</f>
        <v>0</v>
      </c>
      <c r="G21" s="21"/>
      <c r="H21" s="21"/>
      <c r="I21" s="22">
        <f t="shared" si="0"/>
        <v>0</v>
      </c>
      <c r="J21" s="23"/>
      <c r="K21" s="24">
        <f>'2007'!N21</f>
        <v>0</v>
      </c>
      <c r="L21" s="21"/>
      <c r="M21" s="21"/>
      <c r="N21" s="22">
        <f t="shared" si="1"/>
        <v>0</v>
      </c>
      <c r="O21" s="25">
        <f t="shared" si="2"/>
        <v>0</v>
      </c>
    </row>
    <row r="22" spans="2:15" ht="15">
      <c r="B22" s="18">
        <v>47</v>
      </c>
      <c r="C22" s="18">
        <v>1830</v>
      </c>
      <c r="D22" s="19" t="s">
        <v>22</v>
      </c>
      <c r="E22" s="20">
        <f t="shared" si="3"/>
        <v>0.04</v>
      </c>
      <c r="F22" s="21">
        <f>'2007'!I22</f>
        <v>3969488.63</v>
      </c>
      <c r="G22" s="21">
        <f>297662.68+14507+55053</f>
        <v>367222.68</v>
      </c>
      <c r="H22" s="21"/>
      <c r="I22" s="22">
        <f t="shared" si="0"/>
        <v>4336711.31</v>
      </c>
      <c r="J22" s="23"/>
      <c r="K22" s="24">
        <f>'2007'!N22</f>
        <v>-1377081.52</v>
      </c>
      <c r="L22" s="21">
        <f>-121213.06-56369-13762</f>
        <v>-191344.06</v>
      </c>
      <c r="M22" s="21"/>
      <c r="N22" s="22">
        <f t="shared" si="1"/>
        <v>-1568425.58</v>
      </c>
      <c r="O22" s="25">
        <f t="shared" si="2"/>
        <v>2768285.7299999995</v>
      </c>
    </row>
    <row r="23" spans="2:15" ht="15">
      <c r="B23" s="18">
        <v>47</v>
      </c>
      <c r="C23" s="18">
        <v>1835</v>
      </c>
      <c r="D23" s="19" t="s">
        <v>23</v>
      </c>
      <c r="E23" s="20">
        <f t="shared" si="3"/>
        <v>0.04</v>
      </c>
      <c r="F23" s="21">
        <f>'2007'!I23</f>
        <v>8153106.88</v>
      </c>
      <c r="G23" s="21">
        <f>758227.38+25314+27571</f>
        <v>811112.38</v>
      </c>
      <c r="H23" s="21"/>
      <c r="I23" s="22">
        <f t="shared" si="0"/>
        <v>8964219.26</v>
      </c>
      <c r="J23" s="23"/>
      <c r="K23" s="24">
        <f>'2007'!N23</f>
        <v>-1725100.67</v>
      </c>
      <c r="L23" s="21">
        <f>-296716.57-16208-2174</f>
        <v>-315098.57</v>
      </c>
      <c r="M23" s="21"/>
      <c r="N23" s="22">
        <f t="shared" si="1"/>
        <v>-2040199.24</v>
      </c>
      <c r="O23" s="25">
        <f t="shared" si="2"/>
        <v>6924020.02</v>
      </c>
    </row>
    <row r="24" spans="2:15" ht="15">
      <c r="B24" s="18">
        <v>47</v>
      </c>
      <c r="C24" s="18">
        <v>1840</v>
      </c>
      <c r="D24" s="19" t="s">
        <v>24</v>
      </c>
      <c r="E24" s="20">
        <f t="shared" si="3"/>
        <v>0.04</v>
      </c>
      <c r="F24" s="21">
        <f>'2007'!I24</f>
        <v>2042487.395</v>
      </c>
      <c r="G24" s="21">
        <f>81734.61+20886+2252</f>
        <v>104872.61</v>
      </c>
      <c r="H24" s="21"/>
      <c r="I24" s="22">
        <f t="shared" si="0"/>
        <v>2147360.005</v>
      </c>
      <c r="J24" s="23"/>
      <c r="K24" s="24">
        <f>'2007'!N24</f>
        <v>-759876.58</v>
      </c>
      <c r="L24" s="21">
        <f>-57568.21-20885-18218</f>
        <v>-96671.20999999999</v>
      </c>
      <c r="M24" s="21"/>
      <c r="N24" s="22">
        <f t="shared" si="1"/>
        <v>-856547.7899999999</v>
      </c>
      <c r="O24" s="25">
        <f t="shared" si="2"/>
        <v>1290812.2149999999</v>
      </c>
    </row>
    <row r="25" spans="2:15" ht="15">
      <c r="B25" s="18">
        <v>47</v>
      </c>
      <c r="C25" s="18">
        <v>1845</v>
      </c>
      <c r="D25" s="19" t="s">
        <v>25</v>
      </c>
      <c r="E25" s="20">
        <f t="shared" si="3"/>
        <v>0.04</v>
      </c>
      <c r="F25" s="21">
        <f>'2007'!I25</f>
        <v>3626061.1</v>
      </c>
      <c r="G25" s="21">
        <f>631559.29+7069+9773</f>
        <v>648401.29</v>
      </c>
      <c r="H25" s="21"/>
      <c r="I25" s="22">
        <f t="shared" si="0"/>
        <v>4274462.390000001</v>
      </c>
      <c r="J25" s="23"/>
      <c r="K25" s="24">
        <f>'2007'!N25</f>
        <v>-760817.8200000001</v>
      </c>
      <c r="L25" s="21">
        <f>-144787.47-9901-2055</f>
        <v>-156743.47</v>
      </c>
      <c r="M25" s="21"/>
      <c r="N25" s="22">
        <f t="shared" si="1"/>
        <v>-917561.29</v>
      </c>
      <c r="O25" s="25">
        <f t="shared" si="2"/>
        <v>3356901.1000000006</v>
      </c>
    </row>
    <row r="26" spans="2:15" ht="15">
      <c r="B26" s="18">
        <v>47</v>
      </c>
      <c r="C26" s="18">
        <v>1850</v>
      </c>
      <c r="D26" s="19" t="s">
        <v>26</v>
      </c>
      <c r="E26" s="20">
        <f t="shared" si="3"/>
        <v>0.04</v>
      </c>
      <c r="F26" s="21">
        <f>'2007'!I26</f>
        <v>5154368.08</v>
      </c>
      <c r="G26" s="21">
        <f>494091.18+39834+10881</f>
        <v>544806.1799999999</v>
      </c>
      <c r="H26" s="21"/>
      <c r="I26" s="22">
        <f t="shared" si="0"/>
        <v>5699174.26</v>
      </c>
      <c r="J26" s="23"/>
      <c r="K26" s="24">
        <f>'2007'!N26</f>
        <v>-1552582.3599999999</v>
      </c>
      <c r="L26" s="21">
        <f>-172106.76-47826-5399</f>
        <v>-225331.76</v>
      </c>
      <c r="M26" s="21"/>
      <c r="N26" s="22">
        <f t="shared" si="1"/>
        <v>-1777914.1199999999</v>
      </c>
      <c r="O26" s="25">
        <f t="shared" si="2"/>
        <v>3921260.1399999997</v>
      </c>
    </row>
    <row r="27" spans="2:15" ht="15">
      <c r="B27" s="18">
        <v>47</v>
      </c>
      <c r="C27" s="18">
        <v>1855</v>
      </c>
      <c r="D27" s="19" t="s">
        <v>27</v>
      </c>
      <c r="E27" s="20">
        <f t="shared" si="3"/>
        <v>0.04</v>
      </c>
      <c r="F27" s="21">
        <f>'2007'!I27</f>
        <v>2178275.85</v>
      </c>
      <c r="G27" s="21">
        <f>83405.53+167300.13+18816+40362</f>
        <v>309883.66000000003</v>
      </c>
      <c r="H27" s="21"/>
      <c r="I27" s="22">
        <f t="shared" si="0"/>
        <v>2488159.5100000002</v>
      </c>
      <c r="J27" s="23"/>
      <c r="K27" s="24">
        <f>'2007'!N27</f>
        <v>-452734.98</v>
      </c>
      <c r="L27" s="21">
        <f>-80701.12-2913-2269</f>
        <v>-85883.12</v>
      </c>
      <c r="M27" s="21"/>
      <c r="N27" s="22">
        <f t="shared" si="1"/>
        <v>-538618.1</v>
      </c>
      <c r="O27" s="25">
        <f t="shared" si="2"/>
        <v>1949541.4100000001</v>
      </c>
    </row>
    <row r="28" spans="2:15" ht="15">
      <c r="B28" s="18">
        <v>47</v>
      </c>
      <c r="C28" s="18">
        <v>1860</v>
      </c>
      <c r="D28" s="19" t="s">
        <v>28</v>
      </c>
      <c r="E28" s="20">
        <f t="shared" si="3"/>
        <v>0.04</v>
      </c>
      <c r="F28" s="21">
        <f>'2007'!I28</f>
        <v>2438265.0250000004</v>
      </c>
      <c r="G28" s="21">
        <f>57383.36+26002+45561</f>
        <v>128946.36</v>
      </c>
      <c r="H28" s="21"/>
      <c r="I28" s="22">
        <f t="shared" si="0"/>
        <v>2567211.3850000002</v>
      </c>
      <c r="J28" s="23"/>
      <c r="K28" s="24">
        <f>'2007'!N28</f>
        <v>-622525.17</v>
      </c>
      <c r="L28" s="21">
        <f>-74343.91-12254-4552</f>
        <v>-91149.91</v>
      </c>
      <c r="M28" s="21"/>
      <c r="N28" s="22">
        <f t="shared" si="1"/>
        <v>-713675.0800000001</v>
      </c>
      <c r="O28" s="25">
        <f t="shared" si="2"/>
        <v>1853536.3050000002</v>
      </c>
    </row>
    <row r="29" spans="2:16" ht="15">
      <c r="B29" s="18">
        <v>47</v>
      </c>
      <c r="C29" s="18">
        <v>1860</v>
      </c>
      <c r="D29" s="19" t="s">
        <v>29</v>
      </c>
      <c r="E29" s="20"/>
      <c r="F29" s="21">
        <f>'2007'!I29</f>
        <v>0</v>
      </c>
      <c r="G29" s="21"/>
      <c r="H29" s="21"/>
      <c r="I29" s="22">
        <f t="shared" si="0"/>
        <v>0</v>
      </c>
      <c r="J29" s="23"/>
      <c r="K29" s="24">
        <f>'2007'!N29</f>
        <v>0</v>
      </c>
      <c r="L29" s="21"/>
      <c r="M29" s="21"/>
      <c r="N29" s="22">
        <f t="shared" si="1"/>
        <v>0</v>
      </c>
      <c r="O29" s="25">
        <f t="shared" si="2"/>
        <v>0</v>
      </c>
      <c r="P29" s="41"/>
    </row>
    <row r="30" spans="2:15" ht="15">
      <c r="B30" s="18" t="s">
        <v>15</v>
      </c>
      <c r="C30" s="18">
        <v>1905</v>
      </c>
      <c r="D30" s="19" t="s">
        <v>16</v>
      </c>
      <c r="E30" s="20"/>
      <c r="F30" s="21">
        <f>'2007'!I30</f>
        <v>0</v>
      </c>
      <c r="G30" s="21"/>
      <c r="H30" s="21"/>
      <c r="I30" s="22">
        <f t="shared" si="0"/>
        <v>0</v>
      </c>
      <c r="J30" s="23"/>
      <c r="K30" s="24">
        <f>'2007'!N30</f>
        <v>0</v>
      </c>
      <c r="L30" s="21"/>
      <c r="M30" s="21"/>
      <c r="N30" s="22">
        <f t="shared" si="1"/>
        <v>0</v>
      </c>
      <c r="O30" s="25">
        <f t="shared" si="2"/>
        <v>0</v>
      </c>
    </row>
    <row r="31" spans="2:15" ht="15">
      <c r="B31" s="18" t="s">
        <v>30</v>
      </c>
      <c r="C31" s="18">
        <v>1906</v>
      </c>
      <c r="D31" s="19" t="s">
        <v>31</v>
      </c>
      <c r="E31" s="20"/>
      <c r="F31" s="21">
        <f>'2007'!I31</f>
        <v>0</v>
      </c>
      <c r="G31" s="21"/>
      <c r="H31" s="21"/>
      <c r="I31" s="22">
        <f t="shared" si="0"/>
        <v>0</v>
      </c>
      <c r="J31" s="23"/>
      <c r="K31" s="24">
        <f>'2007'!N31</f>
        <v>0</v>
      </c>
      <c r="L31" s="21"/>
      <c r="M31" s="21"/>
      <c r="N31" s="22">
        <f t="shared" si="1"/>
        <v>0</v>
      </c>
      <c r="O31" s="25">
        <f t="shared" si="2"/>
        <v>0</v>
      </c>
    </row>
    <row r="32" spans="2:15" ht="15">
      <c r="B32" s="18">
        <v>47</v>
      </c>
      <c r="C32" s="18">
        <v>1908</v>
      </c>
      <c r="D32" s="19" t="s">
        <v>32</v>
      </c>
      <c r="E32" s="20"/>
      <c r="F32" s="21">
        <f>'2007'!I32</f>
        <v>0</v>
      </c>
      <c r="G32" s="21"/>
      <c r="H32" s="21"/>
      <c r="I32" s="22">
        <f t="shared" si="0"/>
        <v>0</v>
      </c>
      <c r="J32" s="23"/>
      <c r="K32" s="24">
        <f>'2007'!N32</f>
        <v>0</v>
      </c>
      <c r="L32" s="21"/>
      <c r="M32" s="21"/>
      <c r="N32" s="22">
        <f t="shared" si="1"/>
        <v>0</v>
      </c>
      <c r="O32" s="25">
        <f t="shared" si="2"/>
        <v>0</v>
      </c>
    </row>
    <row r="33" spans="2:15" ht="15">
      <c r="B33" s="18">
        <v>13</v>
      </c>
      <c r="C33" s="18">
        <v>1910</v>
      </c>
      <c r="D33" s="19" t="s">
        <v>18</v>
      </c>
      <c r="E33" s="20"/>
      <c r="F33" s="21">
        <f>'2007'!I33</f>
        <v>0</v>
      </c>
      <c r="G33" s="21"/>
      <c r="H33" s="21"/>
      <c r="I33" s="22">
        <f t="shared" si="0"/>
        <v>0</v>
      </c>
      <c r="J33" s="23"/>
      <c r="K33" s="24">
        <f>'2007'!N33</f>
        <v>0</v>
      </c>
      <c r="L33" s="21"/>
      <c r="M33" s="21"/>
      <c r="N33" s="22">
        <f t="shared" si="1"/>
        <v>0</v>
      </c>
      <c r="O33" s="25">
        <f t="shared" si="2"/>
        <v>0</v>
      </c>
    </row>
    <row r="34" spans="2:15" ht="15">
      <c r="B34" s="18">
        <v>8</v>
      </c>
      <c r="C34" s="18">
        <v>1915</v>
      </c>
      <c r="D34" s="19" t="s">
        <v>33</v>
      </c>
      <c r="E34" s="20">
        <f>1/10</f>
        <v>0.1</v>
      </c>
      <c r="F34" s="21">
        <f>'2007'!I34</f>
        <v>56550.34</v>
      </c>
      <c r="G34" s="21">
        <f>1323</f>
        <v>1323</v>
      </c>
      <c r="H34" s="21"/>
      <c r="I34" s="22">
        <f t="shared" si="0"/>
        <v>57873.34</v>
      </c>
      <c r="J34" s="23"/>
      <c r="K34" s="24">
        <f>'2007'!N34</f>
        <v>-45429.35</v>
      </c>
      <c r="L34" s="21">
        <f>-1850.58-132-826</f>
        <v>-2808.58</v>
      </c>
      <c r="M34" s="21"/>
      <c r="N34" s="22">
        <f t="shared" si="1"/>
        <v>-48237.93</v>
      </c>
      <c r="O34" s="25">
        <f t="shared" si="2"/>
        <v>9635.409999999996</v>
      </c>
    </row>
    <row r="35" spans="2:15" ht="15">
      <c r="B35" s="18">
        <v>8</v>
      </c>
      <c r="C35" s="18">
        <v>1915</v>
      </c>
      <c r="D35" s="19" t="s">
        <v>34</v>
      </c>
      <c r="E35" s="20">
        <f>1/5</f>
        <v>0.2</v>
      </c>
      <c r="F35" s="21">
        <f>'2007'!I35</f>
        <v>0</v>
      </c>
      <c r="G35" s="21">
        <v>5594.49</v>
      </c>
      <c r="H35" s="21"/>
      <c r="I35" s="22">
        <f t="shared" si="0"/>
        <v>5594.49</v>
      </c>
      <c r="J35" s="23"/>
      <c r="K35" s="24">
        <f>'2007'!N35</f>
        <v>0</v>
      </c>
      <c r="L35" s="21"/>
      <c r="M35" s="21"/>
      <c r="N35" s="22">
        <f t="shared" si="1"/>
        <v>0</v>
      </c>
      <c r="O35" s="25">
        <f t="shared" si="2"/>
        <v>5594.49</v>
      </c>
    </row>
    <row r="36" spans="2:15" ht="15">
      <c r="B36" s="18">
        <v>10</v>
      </c>
      <c r="C36" s="18">
        <v>1920</v>
      </c>
      <c r="D36" s="19" t="s">
        <v>35</v>
      </c>
      <c r="E36" s="20">
        <f>1/5</f>
        <v>0.2</v>
      </c>
      <c r="F36" s="21">
        <f>'2007'!I36</f>
        <v>71043.85</v>
      </c>
      <c r="G36" s="21">
        <v>4868.89</v>
      </c>
      <c r="H36" s="21"/>
      <c r="I36" s="22">
        <f t="shared" si="0"/>
        <v>75912.74</v>
      </c>
      <c r="J36" s="23"/>
      <c r="K36" s="24">
        <f>'2007'!N36</f>
        <v>-67275.77</v>
      </c>
      <c r="L36" s="21">
        <f>-5963.04-192</f>
        <v>-6155.04</v>
      </c>
      <c r="M36" s="21"/>
      <c r="N36" s="22">
        <f t="shared" si="1"/>
        <v>-73430.81</v>
      </c>
      <c r="O36" s="25">
        <f t="shared" si="2"/>
        <v>2481.9300000000076</v>
      </c>
    </row>
    <row r="37" spans="2:15" ht="15">
      <c r="B37" s="18">
        <v>45</v>
      </c>
      <c r="C37" s="27">
        <v>1920</v>
      </c>
      <c r="D37" s="26" t="s">
        <v>36</v>
      </c>
      <c r="E37" s="20"/>
      <c r="F37" s="21">
        <f>'2007'!I37</f>
        <v>0</v>
      </c>
      <c r="G37" s="21"/>
      <c r="H37" s="21"/>
      <c r="I37" s="22">
        <f t="shared" si="0"/>
        <v>0</v>
      </c>
      <c r="J37" s="23"/>
      <c r="K37" s="24">
        <f>'2007'!N37</f>
        <v>0</v>
      </c>
      <c r="L37" s="21"/>
      <c r="M37" s="21"/>
      <c r="N37" s="22">
        <f t="shared" si="1"/>
        <v>0</v>
      </c>
      <c r="O37" s="25">
        <f t="shared" si="2"/>
        <v>0</v>
      </c>
    </row>
    <row r="38" spans="2:15" ht="15">
      <c r="B38" s="18">
        <v>45.1</v>
      </c>
      <c r="C38" s="27">
        <v>1920</v>
      </c>
      <c r="D38" s="26" t="s">
        <v>37</v>
      </c>
      <c r="E38" s="20"/>
      <c r="F38" s="21">
        <f>'2007'!I38</f>
        <v>0</v>
      </c>
      <c r="G38" s="21"/>
      <c r="H38" s="21"/>
      <c r="I38" s="22">
        <f t="shared" si="0"/>
        <v>0</v>
      </c>
      <c r="J38" s="23"/>
      <c r="K38" s="24">
        <f>'2007'!N38</f>
        <v>0</v>
      </c>
      <c r="L38" s="21"/>
      <c r="M38" s="21"/>
      <c r="N38" s="22">
        <f t="shared" si="1"/>
        <v>0</v>
      </c>
      <c r="O38" s="25">
        <f t="shared" si="2"/>
        <v>0</v>
      </c>
    </row>
    <row r="39" spans="2:15" ht="15">
      <c r="B39" s="18">
        <v>12</v>
      </c>
      <c r="C39" s="18">
        <v>1925</v>
      </c>
      <c r="D39" s="19" t="s">
        <v>38</v>
      </c>
      <c r="E39" s="20">
        <f>1/5</f>
        <v>0.2</v>
      </c>
      <c r="F39" s="21">
        <f>'2007'!I39</f>
        <v>422172.01999999996</v>
      </c>
      <c r="G39" s="21">
        <v>143626.1</v>
      </c>
      <c r="H39" s="21"/>
      <c r="I39" s="22">
        <f t="shared" si="0"/>
        <v>565798.12</v>
      </c>
      <c r="J39" s="23"/>
      <c r="K39" s="24">
        <f>'2007'!N39</f>
        <v>-300831.7</v>
      </c>
      <c r="L39" s="21">
        <f>-71795.5</f>
        <v>-71795.5</v>
      </c>
      <c r="M39" s="21"/>
      <c r="N39" s="22">
        <f t="shared" si="1"/>
        <v>-372627.2</v>
      </c>
      <c r="O39" s="25">
        <f t="shared" si="2"/>
        <v>193170.91999999998</v>
      </c>
    </row>
    <row r="40" spans="2:16" ht="15">
      <c r="B40" s="18">
        <v>10</v>
      </c>
      <c r="C40" s="18">
        <v>1930</v>
      </c>
      <c r="D40" s="19" t="s">
        <v>39</v>
      </c>
      <c r="E40" s="20">
        <f>1/8</f>
        <v>0.125</v>
      </c>
      <c r="F40" s="21">
        <f>'2007'!I40</f>
        <v>30177.3</v>
      </c>
      <c r="G40" s="21">
        <f>52785+13371</f>
        <v>66156</v>
      </c>
      <c r="H40" s="21"/>
      <c r="I40" s="22">
        <f t="shared" si="0"/>
        <v>96333.3</v>
      </c>
      <c r="J40" s="23"/>
      <c r="K40" s="24">
        <f>'2007'!N40</f>
        <v>-16027.93</v>
      </c>
      <c r="L40" s="21">
        <f>-2184.52-2813-5279</f>
        <v>-10276.52</v>
      </c>
      <c r="M40" s="21"/>
      <c r="N40" s="22">
        <f t="shared" si="1"/>
        <v>-26304.45</v>
      </c>
      <c r="O40" s="25">
        <f t="shared" si="2"/>
        <v>70028.85</v>
      </c>
      <c r="P40" s="41"/>
    </row>
    <row r="41" spans="2:15" ht="15">
      <c r="B41" s="18">
        <v>8</v>
      </c>
      <c r="C41" s="18">
        <v>1935</v>
      </c>
      <c r="D41" s="19" t="s">
        <v>40</v>
      </c>
      <c r="E41" s="20">
        <f>1/5</f>
        <v>0.2</v>
      </c>
      <c r="F41" s="21">
        <f>'2007'!I41</f>
        <v>458</v>
      </c>
      <c r="G41" s="21"/>
      <c r="H41" s="21"/>
      <c r="I41" s="22">
        <f t="shared" si="0"/>
        <v>458</v>
      </c>
      <c r="J41" s="23"/>
      <c r="K41" s="24">
        <f>'2007'!N41</f>
        <v>-138</v>
      </c>
      <c r="L41" s="21">
        <f>-183</f>
        <v>-183</v>
      </c>
      <c r="M41" s="21"/>
      <c r="N41" s="22">
        <f t="shared" si="1"/>
        <v>-321</v>
      </c>
      <c r="O41" s="25">
        <f t="shared" si="2"/>
        <v>137</v>
      </c>
    </row>
    <row r="42" spans="2:15" ht="15">
      <c r="B42" s="18">
        <v>8</v>
      </c>
      <c r="C42" s="18">
        <v>1940</v>
      </c>
      <c r="D42" s="19" t="s">
        <v>41</v>
      </c>
      <c r="E42" s="20">
        <f>1/5</f>
        <v>0.2</v>
      </c>
      <c r="F42" s="21">
        <f>'2007'!I42</f>
        <v>83136.91</v>
      </c>
      <c r="G42" s="21">
        <f>6019+1478</f>
        <v>7497</v>
      </c>
      <c r="H42" s="21"/>
      <c r="I42" s="22">
        <f t="shared" si="0"/>
        <v>90633.91</v>
      </c>
      <c r="J42" s="23"/>
      <c r="K42" s="24">
        <f>'2007'!N42</f>
        <v>-72785.68</v>
      </c>
      <c r="L42" s="21">
        <f>-1100.68-4487-1015</f>
        <v>-6602.68</v>
      </c>
      <c r="M42" s="21"/>
      <c r="N42" s="22">
        <f t="shared" si="1"/>
        <v>-79388.35999999999</v>
      </c>
      <c r="O42" s="25">
        <f t="shared" si="2"/>
        <v>11245.550000000017</v>
      </c>
    </row>
    <row r="43" spans="2:15" ht="15">
      <c r="B43" s="18">
        <v>8</v>
      </c>
      <c r="C43" s="18">
        <v>1945</v>
      </c>
      <c r="D43" s="19" t="s">
        <v>42</v>
      </c>
      <c r="E43" s="20">
        <f>1/5</f>
        <v>0.2</v>
      </c>
      <c r="F43" s="21">
        <f>'2007'!I43</f>
        <v>11007</v>
      </c>
      <c r="G43" s="21"/>
      <c r="H43" s="21"/>
      <c r="I43" s="22">
        <f t="shared" si="0"/>
        <v>11007</v>
      </c>
      <c r="J43" s="23"/>
      <c r="K43" s="24">
        <f>'2007'!N43</f>
        <v>-83</v>
      </c>
      <c r="L43" s="21"/>
      <c r="M43" s="21"/>
      <c r="N43" s="22">
        <f t="shared" si="1"/>
        <v>-83</v>
      </c>
      <c r="O43" s="25">
        <f t="shared" si="2"/>
        <v>10924</v>
      </c>
    </row>
    <row r="44" spans="2:15" ht="15">
      <c r="B44" s="18">
        <v>8</v>
      </c>
      <c r="C44" s="18">
        <v>1950</v>
      </c>
      <c r="D44" s="19" t="s">
        <v>43</v>
      </c>
      <c r="E44" s="20">
        <f>1/5</f>
        <v>0.2</v>
      </c>
      <c r="F44" s="21">
        <f>'2007'!I44</f>
        <v>64091</v>
      </c>
      <c r="G44" s="21"/>
      <c r="H44" s="21"/>
      <c r="I44" s="22">
        <f t="shared" si="0"/>
        <v>64091</v>
      </c>
      <c r="J44" s="23"/>
      <c r="K44" s="24">
        <f>'2007'!N44</f>
        <v>-468</v>
      </c>
      <c r="L44" s="21"/>
      <c r="M44" s="21"/>
      <c r="N44" s="22">
        <f t="shared" si="1"/>
        <v>-468</v>
      </c>
      <c r="O44" s="25">
        <f t="shared" si="2"/>
        <v>63623</v>
      </c>
    </row>
    <row r="45" spans="2:15" ht="15">
      <c r="B45" s="18">
        <v>8</v>
      </c>
      <c r="C45" s="18">
        <v>1955</v>
      </c>
      <c r="D45" s="19" t="s">
        <v>44</v>
      </c>
      <c r="E45" s="20"/>
      <c r="F45" s="21">
        <f>'2007'!I45</f>
        <v>0</v>
      </c>
      <c r="G45" s="21"/>
      <c r="H45" s="21"/>
      <c r="I45" s="22">
        <f t="shared" si="0"/>
        <v>0</v>
      </c>
      <c r="J45" s="23"/>
      <c r="K45" s="24">
        <f>'2007'!N45</f>
        <v>0</v>
      </c>
      <c r="L45" s="21"/>
      <c r="M45" s="21"/>
      <c r="N45" s="22">
        <f t="shared" si="1"/>
        <v>0</v>
      </c>
      <c r="O45" s="25">
        <f t="shared" si="2"/>
        <v>0</v>
      </c>
    </row>
    <row r="46" spans="2:15" ht="15">
      <c r="B46" s="29">
        <v>8</v>
      </c>
      <c r="C46" s="29">
        <v>1955</v>
      </c>
      <c r="D46" s="30" t="s">
        <v>45</v>
      </c>
      <c r="E46" s="20"/>
      <c r="F46" s="21">
        <f>'2007'!I46</f>
        <v>0</v>
      </c>
      <c r="G46" s="21"/>
      <c r="H46" s="21"/>
      <c r="I46" s="22">
        <f t="shared" si="0"/>
        <v>0</v>
      </c>
      <c r="J46" s="23"/>
      <c r="K46" s="24">
        <f>'2007'!N46</f>
        <v>0</v>
      </c>
      <c r="L46" s="21"/>
      <c r="M46" s="21"/>
      <c r="N46" s="22">
        <f t="shared" si="1"/>
        <v>0</v>
      </c>
      <c r="O46" s="25">
        <f t="shared" si="2"/>
        <v>0</v>
      </c>
    </row>
    <row r="47" spans="2:15" ht="15">
      <c r="B47" s="27">
        <v>8</v>
      </c>
      <c r="C47" s="27">
        <v>1960</v>
      </c>
      <c r="D47" s="26" t="s">
        <v>46</v>
      </c>
      <c r="E47" s="20"/>
      <c r="F47" s="21">
        <f>'2007'!I47</f>
        <v>0</v>
      </c>
      <c r="G47" s="21"/>
      <c r="H47" s="21"/>
      <c r="I47" s="22">
        <f t="shared" si="0"/>
        <v>0</v>
      </c>
      <c r="J47" s="23"/>
      <c r="K47" s="24">
        <f>'2007'!N47</f>
        <v>0</v>
      </c>
      <c r="L47" s="21"/>
      <c r="M47" s="21"/>
      <c r="N47" s="22">
        <f t="shared" si="1"/>
        <v>0</v>
      </c>
      <c r="O47" s="25">
        <f t="shared" si="2"/>
        <v>0</v>
      </c>
    </row>
    <row r="48" spans="2:15" ht="15">
      <c r="B48" s="18">
        <v>47</v>
      </c>
      <c r="C48" s="18">
        <v>1975</v>
      </c>
      <c r="D48" s="19" t="s">
        <v>47</v>
      </c>
      <c r="E48" s="20"/>
      <c r="F48" s="21">
        <f>'2007'!I48</f>
        <v>0</v>
      </c>
      <c r="G48" s="21"/>
      <c r="H48" s="21"/>
      <c r="I48" s="22">
        <f t="shared" si="0"/>
        <v>0</v>
      </c>
      <c r="J48" s="23"/>
      <c r="K48" s="24">
        <f>'2007'!N48</f>
        <v>0</v>
      </c>
      <c r="L48" s="21"/>
      <c r="M48" s="21"/>
      <c r="N48" s="22">
        <f t="shared" si="1"/>
        <v>0</v>
      </c>
      <c r="O48" s="25">
        <f t="shared" si="2"/>
        <v>0</v>
      </c>
    </row>
    <row r="49" spans="2:15" ht="15">
      <c r="B49" s="18">
        <v>47</v>
      </c>
      <c r="C49" s="18">
        <v>1980</v>
      </c>
      <c r="D49" s="19" t="s">
        <v>48</v>
      </c>
      <c r="E49" s="20"/>
      <c r="F49" s="21">
        <f>'2007'!I49</f>
        <v>0</v>
      </c>
      <c r="G49" s="21"/>
      <c r="H49" s="21"/>
      <c r="I49" s="22">
        <f t="shared" si="0"/>
        <v>0</v>
      </c>
      <c r="J49" s="23"/>
      <c r="K49" s="24">
        <f>'2007'!N49</f>
        <v>0</v>
      </c>
      <c r="L49" s="21"/>
      <c r="M49" s="21"/>
      <c r="N49" s="22">
        <f t="shared" si="1"/>
        <v>0</v>
      </c>
      <c r="O49" s="25">
        <f t="shared" si="2"/>
        <v>0</v>
      </c>
    </row>
    <row r="50" spans="2:15" ht="15">
      <c r="B50" s="18">
        <v>47</v>
      </c>
      <c r="C50" s="18">
        <v>1985</v>
      </c>
      <c r="D50" s="19" t="s">
        <v>49</v>
      </c>
      <c r="E50" s="20"/>
      <c r="F50" s="21">
        <f>'2007'!I50</f>
        <v>0</v>
      </c>
      <c r="G50" s="21"/>
      <c r="H50" s="21"/>
      <c r="I50" s="22">
        <f t="shared" si="0"/>
        <v>0</v>
      </c>
      <c r="J50" s="23"/>
      <c r="K50" s="24">
        <f>'2007'!N50</f>
        <v>0</v>
      </c>
      <c r="L50" s="21"/>
      <c r="M50" s="21"/>
      <c r="N50" s="22">
        <f t="shared" si="1"/>
        <v>0</v>
      </c>
      <c r="O50" s="25">
        <f t="shared" si="2"/>
        <v>0</v>
      </c>
    </row>
    <row r="51" spans="2:15" ht="15">
      <c r="B51" s="18">
        <v>47</v>
      </c>
      <c r="C51" s="18">
        <v>1995</v>
      </c>
      <c r="D51" s="19" t="s">
        <v>50</v>
      </c>
      <c r="E51" s="20">
        <f>1/25</f>
        <v>0.04</v>
      </c>
      <c r="F51" s="21">
        <f>'2007'!I51</f>
        <v>-1737917.385</v>
      </c>
      <c r="G51" s="21">
        <f>-638578.25-49619</f>
        <v>-688197.25</v>
      </c>
      <c r="H51" s="21"/>
      <c r="I51" s="22">
        <f t="shared" si="0"/>
        <v>-2426114.635</v>
      </c>
      <c r="J51" s="23"/>
      <c r="K51" s="24">
        <f>'2007'!N51</f>
        <v>108274.76000000001</v>
      </c>
      <c r="L51" s="21">
        <f>88357.44+10312+123</f>
        <v>98792.44</v>
      </c>
      <c r="M51" s="21"/>
      <c r="N51" s="22">
        <f t="shared" si="1"/>
        <v>207067.2</v>
      </c>
      <c r="O51" s="25">
        <f t="shared" si="2"/>
        <v>-2219047.4349999996</v>
      </c>
    </row>
    <row r="52" spans="2:15" ht="15">
      <c r="B52" s="18"/>
      <c r="C52" s="18" t="s">
        <v>51</v>
      </c>
      <c r="D52" s="19"/>
      <c r="E52" s="20"/>
      <c r="F52" s="21"/>
      <c r="G52" s="21"/>
      <c r="H52" s="21"/>
      <c r="I52" s="22">
        <f t="shared" si="0"/>
        <v>0</v>
      </c>
      <c r="K52" s="24">
        <f>'2007'!N52</f>
        <v>0</v>
      </c>
      <c r="L52" s="21"/>
      <c r="M52" s="21"/>
      <c r="N52" s="22">
        <f t="shared" si="1"/>
        <v>0</v>
      </c>
      <c r="O52" s="25">
        <f t="shared" si="2"/>
        <v>0</v>
      </c>
    </row>
    <row r="53" spans="2:15" ht="15">
      <c r="B53" s="18"/>
      <c r="C53" s="18"/>
      <c r="D53" s="19"/>
      <c r="E53" s="20"/>
      <c r="F53" s="31"/>
      <c r="G53" s="31"/>
      <c r="H53" s="31"/>
      <c r="I53" s="19"/>
      <c r="K53" s="24">
        <f>'2007'!N53</f>
        <v>0</v>
      </c>
      <c r="L53" s="31"/>
      <c r="M53" s="31"/>
      <c r="N53" s="19"/>
      <c r="O53" s="19"/>
    </row>
    <row r="54" spans="2:15" ht="15">
      <c r="B54" s="18"/>
      <c r="C54" s="18"/>
      <c r="D54" s="32" t="s">
        <v>52</v>
      </c>
      <c r="E54" s="32"/>
      <c r="F54" s="33">
        <f>SUM(F16:F52)</f>
        <v>27320758.485000003</v>
      </c>
      <c r="G54" s="33">
        <f>SUM(G16:G52)</f>
        <v>2490833.3700000006</v>
      </c>
      <c r="H54" s="33">
        <f>SUM(H16:H52)</f>
        <v>0</v>
      </c>
      <c r="I54" s="33">
        <f>SUM(I16:I52)</f>
        <v>29811591.855000004</v>
      </c>
      <c r="J54" s="34"/>
      <c r="K54" s="35">
        <f>SUM(K16:K52)</f>
        <v>-7844562.38</v>
      </c>
      <c r="L54" s="35">
        <f>SUM(L16:L52)</f>
        <v>-1185279.27</v>
      </c>
      <c r="M54" s="35">
        <f>SUM(M16:M52)</f>
        <v>0</v>
      </c>
      <c r="N54" s="35">
        <f>SUM(N16:N52)</f>
        <v>-9029841.649999999</v>
      </c>
      <c r="O54" s="33">
        <f t="shared" si="2"/>
        <v>20781750.205000006</v>
      </c>
    </row>
    <row r="55" ht="15">
      <c r="L55" s="42"/>
    </row>
    <row r="56" spans="5:12" ht="15">
      <c r="E56" s="2"/>
      <c r="G56" s="41">
        <f>G54-G51</f>
        <v>3179030.6200000006</v>
      </c>
      <c r="K56" s="36" t="s">
        <v>53</v>
      </c>
      <c r="L56" s="36"/>
    </row>
    <row r="57" spans="2:13" ht="15">
      <c r="B57" s="18">
        <v>10</v>
      </c>
      <c r="C57" s="18"/>
      <c r="D57" s="19" t="s">
        <v>54</v>
      </c>
      <c r="E57" s="2"/>
      <c r="G57" s="41">
        <f>G56-'[2]CCA'!$D$47</f>
        <v>0</v>
      </c>
      <c r="K57" s="36" t="s">
        <v>54</v>
      </c>
      <c r="L57" s="36"/>
      <c r="M57" s="28"/>
    </row>
    <row r="58" spans="2:13" ht="15">
      <c r="B58" s="18">
        <v>8</v>
      </c>
      <c r="C58" s="18"/>
      <c r="D58" s="19" t="s">
        <v>40</v>
      </c>
      <c r="K58" s="36" t="s">
        <v>40</v>
      </c>
      <c r="L58" s="36"/>
      <c r="M58" s="37"/>
    </row>
    <row r="59" spans="11:13" ht="15">
      <c r="K59" s="38" t="s">
        <v>55</v>
      </c>
      <c r="M59" s="39">
        <f>M54-M57-M58</f>
        <v>0</v>
      </c>
    </row>
    <row r="61" spans="2:6" ht="15">
      <c r="B61" s="62" t="s">
        <v>56</v>
      </c>
      <c r="C61" s="63"/>
      <c r="D61" s="63"/>
      <c r="E61" s="63"/>
      <c r="F61" s="63"/>
    </row>
    <row r="63" ht="15">
      <c r="B63" s="40" t="s">
        <v>57</v>
      </c>
    </row>
    <row r="65" spans="2:15" ht="15">
      <c r="B65" s="1">
        <v>1</v>
      </c>
      <c r="C65" s="64" t="s">
        <v>58</v>
      </c>
      <c r="D65" s="64"/>
      <c r="E65" s="64"/>
      <c r="F65" s="64"/>
      <c r="G65" s="64"/>
      <c r="H65" s="64"/>
      <c r="I65" s="64"/>
      <c r="J65" s="64"/>
      <c r="K65" s="64"/>
      <c r="L65" s="64"/>
      <c r="M65" s="64"/>
      <c r="N65" s="64"/>
      <c r="O65" s="64"/>
    </row>
    <row r="66" spans="3:15" ht="15">
      <c r="C66" s="64"/>
      <c r="D66" s="64"/>
      <c r="E66" s="64"/>
      <c r="F66" s="64"/>
      <c r="G66" s="64"/>
      <c r="H66" s="64"/>
      <c r="I66" s="64"/>
      <c r="J66" s="64"/>
      <c r="K66" s="64"/>
      <c r="L66" s="64"/>
      <c r="M66" s="64"/>
      <c r="N66" s="64"/>
      <c r="O66" s="64"/>
    </row>
    <row r="68" ht="12.75" customHeight="1"/>
    <row r="69" spans="2:15" ht="15">
      <c r="B69" s="1">
        <v>2</v>
      </c>
      <c r="C69" s="55" t="s">
        <v>59</v>
      </c>
      <c r="D69" s="55"/>
      <c r="E69" s="55"/>
      <c r="F69" s="55"/>
      <c r="G69" s="55"/>
      <c r="H69" s="55"/>
      <c r="I69" s="55"/>
      <c r="J69" s="55"/>
      <c r="K69" s="55"/>
      <c r="L69" s="55"/>
      <c r="M69" s="55"/>
      <c r="N69" s="55"/>
      <c r="O69" s="55"/>
    </row>
    <row r="70" spans="3:15" ht="15">
      <c r="C70" s="55"/>
      <c r="D70" s="55"/>
      <c r="E70" s="55"/>
      <c r="F70" s="55"/>
      <c r="G70" s="55"/>
      <c r="H70" s="55"/>
      <c r="I70" s="55"/>
      <c r="J70" s="55"/>
      <c r="K70" s="55"/>
      <c r="L70" s="55"/>
      <c r="M70" s="55"/>
      <c r="N70" s="55"/>
      <c r="O70" s="55"/>
    </row>
    <row r="72" spans="2:15" ht="15">
      <c r="B72" s="1">
        <v>3</v>
      </c>
      <c r="C72" s="56" t="s">
        <v>60</v>
      </c>
      <c r="D72" s="56"/>
      <c r="E72" s="56"/>
      <c r="F72" s="56"/>
      <c r="G72" s="56"/>
      <c r="H72" s="56"/>
      <c r="I72" s="56"/>
      <c r="J72" s="56"/>
      <c r="K72" s="56"/>
      <c r="L72" s="56"/>
      <c r="M72" s="56"/>
      <c r="N72" s="56"/>
      <c r="O72" s="56"/>
    </row>
  </sheetData>
  <sheetProtection/>
  <mergeCells count="8">
    <mergeCell ref="C69:O70"/>
    <mergeCell ref="C72:O72"/>
    <mergeCell ref="F9:I9"/>
    <mergeCell ref="F10:J10"/>
    <mergeCell ref="G12:H12"/>
    <mergeCell ref="F14:I14"/>
    <mergeCell ref="B61:F61"/>
    <mergeCell ref="C65:O66"/>
  </mergeCells>
  <dataValidations count="1">
    <dataValidation allowBlank="1" showInputMessage="1" showErrorMessage="1" promptTitle="Date Format" prompt="E.g:  &quot;August 1, 2011&quot;" sqref="O7"/>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O72"/>
  <sheetViews>
    <sheetView zoomScalePageLayoutView="0" workbookViewId="0" topLeftCell="A1">
      <selection activeCell="A1" sqref="A1:IV7"/>
    </sheetView>
  </sheetViews>
  <sheetFormatPr defaultColWidth="9.140625" defaultRowHeight="15"/>
  <cols>
    <col min="1" max="1" width="2.8515625" style="0" customWidth="1"/>
    <col min="2" max="2" width="7.7109375" style="1" customWidth="1"/>
    <col min="3" max="3" width="6.421875" style="1" customWidth="1"/>
    <col min="4" max="4" width="37.8515625" style="0" customWidth="1"/>
    <col min="5" max="5" width="12.7109375" style="0" customWidth="1"/>
    <col min="6" max="6" width="14.421875" style="0" customWidth="1"/>
    <col min="7" max="7" width="13.00390625" style="0" customWidth="1"/>
    <col min="8" max="8" width="11.7109375" style="0" customWidth="1"/>
    <col min="9" max="9" width="13.57421875" style="0" customWidth="1"/>
    <col min="10" max="10" width="1.7109375" style="2" customWidth="1"/>
    <col min="11" max="11" width="14.28125" style="0" customWidth="1"/>
    <col min="12" max="12" width="13.421875" style="0" customWidth="1"/>
    <col min="13" max="13" width="11.8515625" style="0" customWidth="1"/>
    <col min="14" max="14" width="14.57421875" style="0" bestFit="1" customWidth="1"/>
    <col min="15" max="15" width="14.140625" style="0" bestFit="1" customWidth="1"/>
  </cols>
  <sheetData>
    <row r="1" spans="2:15" ht="15">
      <c r="B1" s="54"/>
      <c r="C1" s="54"/>
      <c r="N1" s="3" t="s">
        <v>0</v>
      </c>
      <c r="O1" s="4" t="s">
        <v>61</v>
      </c>
    </row>
    <row r="2" spans="2:14" s="66" customFormat="1" ht="15">
      <c r="B2" s="65"/>
      <c r="C2" s="65"/>
      <c r="J2" s="7"/>
      <c r="N2" s="67"/>
    </row>
    <row r="3" spans="2:14" s="66" customFormat="1" ht="15">
      <c r="B3" s="65"/>
      <c r="C3" s="65"/>
      <c r="J3" s="7"/>
      <c r="N3" s="67"/>
    </row>
    <row r="4" spans="2:14" s="66" customFormat="1" ht="15">
      <c r="B4" s="65"/>
      <c r="C4" s="65"/>
      <c r="J4" s="7"/>
      <c r="N4" s="67"/>
    </row>
    <row r="5" spans="2:14" s="66" customFormat="1" ht="15">
      <c r="B5" s="65"/>
      <c r="C5" s="65"/>
      <c r="J5" s="7"/>
      <c r="N5" s="67"/>
    </row>
    <row r="6" spans="2:14" s="66" customFormat="1" ht="9" customHeight="1">
      <c r="B6" s="65"/>
      <c r="C6" s="65"/>
      <c r="J6" s="7"/>
      <c r="N6" s="67"/>
    </row>
    <row r="7" spans="2:15" s="66" customFormat="1" ht="15">
      <c r="B7" s="65"/>
      <c r="C7" s="65"/>
      <c r="J7" s="7"/>
      <c r="N7" s="67"/>
      <c r="O7" s="68"/>
    </row>
    <row r="8" ht="9" customHeight="1"/>
    <row r="9" spans="6:9" ht="20.25" customHeight="1">
      <c r="F9" s="57" t="s">
        <v>1</v>
      </c>
      <c r="G9" s="57"/>
      <c r="H9" s="57"/>
      <c r="I9" s="57"/>
    </row>
    <row r="10" spans="6:10" ht="18">
      <c r="F10" s="57" t="s">
        <v>2</v>
      </c>
      <c r="G10" s="57"/>
      <c r="H10" s="57"/>
      <c r="I10" s="57"/>
      <c r="J10" s="57"/>
    </row>
    <row r="12" spans="6:9" ht="15">
      <c r="F12" s="5" t="s">
        <v>3</v>
      </c>
      <c r="G12" s="58">
        <v>2009</v>
      </c>
      <c r="H12" s="58"/>
      <c r="I12" s="6"/>
    </row>
    <row r="14" spans="5:15" ht="15">
      <c r="E14" s="7"/>
      <c r="F14" s="59" t="s">
        <v>4</v>
      </c>
      <c r="G14" s="60"/>
      <c r="H14" s="60"/>
      <c r="I14" s="61"/>
      <c r="K14" s="8"/>
      <c r="L14" s="9" t="s">
        <v>5</v>
      </c>
      <c r="M14" s="9"/>
      <c r="N14" s="10"/>
      <c r="O14" s="2"/>
    </row>
    <row r="15" spans="2:15" ht="26.25">
      <c r="B15" s="11" t="s">
        <v>6</v>
      </c>
      <c r="C15" s="12" t="s">
        <v>7</v>
      </c>
      <c r="D15" s="13" t="s">
        <v>8</v>
      </c>
      <c r="E15" s="11" t="s">
        <v>9</v>
      </c>
      <c r="F15" s="11" t="s">
        <v>10</v>
      </c>
      <c r="G15" s="12" t="s">
        <v>11</v>
      </c>
      <c r="H15" s="12" t="s">
        <v>12</v>
      </c>
      <c r="I15" s="11" t="s">
        <v>13</v>
      </c>
      <c r="J15" s="14"/>
      <c r="K15" s="15" t="s">
        <v>10</v>
      </c>
      <c r="L15" s="16" t="s">
        <v>11</v>
      </c>
      <c r="M15" s="16" t="s">
        <v>12</v>
      </c>
      <c r="N15" s="17" t="s">
        <v>13</v>
      </c>
      <c r="O15" s="11" t="s">
        <v>14</v>
      </c>
    </row>
    <row r="16" spans="2:15" ht="15">
      <c r="B16" s="18" t="s">
        <v>15</v>
      </c>
      <c r="C16" s="18">
        <v>1805</v>
      </c>
      <c r="D16" s="19" t="s">
        <v>16</v>
      </c>
      <c r="E16" s="20"/>
      <c r="F16" s="21">
        <f>'2008'!I16</f>
        <v>150428.71000000002</v>
      </c>
      <c r="G16" s="21"/>
      <c r="H16" s="21"/>
      <c r="I16" s="22">
        <f>F16+G16+H16</f>
        <v>150428.71000000002</v>
      </c>
      <c r="J16" s="23"/>
      <c r="K16" s="24">
        <f>'2008'!N16</f>
        <v>0</v>
      </c>
      <c r="L16" s="21">
        <f>'2008'!L16-(('2009'!G16*'2009'!E16)/2)-(('2008'!G16*'2009'!E16)/2)</f>
        <v>0</v>
      </c>
      <c r="M16" s="21"/>
      <c r="N16" s="22">
        <f>K16+L16+M16</f>
        <v>0</v>
      </c>
      <c r="O16" s="25">
        <f>I16+N16</f>
        <v>150428.71000000002</v>
      </c>
    </row>
    <row r="17" spans="2:15" ht="15">
      <c r="B17" s="18">
        <v>47</v>
      </c>
      <c r="C17" s="18">
        <v>1808</v>
      </c>
      <c r="D17" s="19" t="s">
        <v>17</v>
      </c>
      <c r="E17" s="20">
        <f>1/25</f>
        <v>0.04</v>
      </c>
      <c r="F17" s="21">
        <f>'2008'!I17</f>
        <v>136009</v>
      </c>
      <c r="G17" s="21">
        <f>12254.12</f>
        <v>12254.12</v>
      </c>
      <c r="H17" s="21"/>
      <c r="I17" s="22">
        <f aca="true" t="shared" si="0" ref="I17:I52">F17+G17+H17</f>
        <v>148263.12</v>
      </c>
      <c r="J17" s="23"/>
      <c r="K17" s="24">
        <f>'2008'!N17</f>
        <v>-37785.7</v>
      </c>
      <c r="L17" s="21">
        <f>'2008'!L17-(('2009'!G17*'2009'!E17)/2)-(('2008'!G17*'2009'!E17)/2)</f>
        <v>-5623.2324</v>
      </c>
      <c r="M17" s="21"/>
      <c r="N17" s="22">
        <f aca="true" t="shared" si="1" ref="N17:N52">K17+L17+M17</f>
        <v>-43408.9324</v>
      </c>
      <c r="O17" s="25">
        <f aca="true" t="shared" si="2" ref="O17:O54">I17+N17</f>
        <v>104854.1876</v>
      </c>
    </row>
    <row r="18" spans="2:15" ht="15">
      <c r="B18" s="18">
        <v>13</v>
      </c>
      <c r="C18" s="18">
        <v>1810</v>
      </c>
      <c r="D18" s="19" t="s">
        <v>18</v>
      </c>
      <c r="E18" s="20">
        <f>1/10</f>
        <v>0.1</v>
      </c>
      <c r="F18" s="21">
        <f>'2008'!I18</f>
        <v>7040</v>
      </c>
      <c r="G18" s="21"/>
      <c r="H18" s="21"/>
      <c r="I18" s="22">
        <f t="shared" si="0"/>
        <v>7040</v>
      </c>
      <c r="J18" s="23"/>
      <c r="K18" s="24">
        <f>'2008'!N18</f>
        <v>-4224</v>
      </c>
      <c r="L18" s="21">
        <f>'2008'!L18-(('2009'!G18*'2009'!E18)/2)-(('2008'!G18*'2009'!E18)/2)</f>
        <v>-1408</v>
      </c>
      <c r="M18" s="21"/>
      <c r="N18" s="22">
        <f t="shared" si="1"/>
        <v>-5632</v>
      </c>
      <c r="O18" s="25">
        <f t="shared" si="2"/>
        <v>1408</v>
      </c>
    </row>
    <row r="19" spans="2:15" ht="15">
      <c r="B19" s="18">
        <v>47</v>
      </c>
      <c r="C19" s="18">
        <v>1815</v>
      </c>
      <c r="D19" s="19" t="s">
        <v>19</v>
      </c>
      <c r="E19" s="20"/>
      <c r="F19" s="21">
        <f>'2008'!I19</f>
        <v>0</v>
      </c>
      <c r="G19" s="21"/>
      <c r="H19" s="21"/>
      <c r="I19" s="22">
        <f t="shared" si="0"/>
        <v>0</v>
      </c>
      <c r="J19" s="23"/>
      <c r="K19" s="24">
        <f>'2008'!N19</f>
        <v>0</v>
      </c>
      <c r="L19" s="21">
        <f>'2008'!L19-(('2009'!G19*'2009'!E19)/2)-(('2008'!G19*'2009'!E19)/2)</f>
        <v>0</v>
      </c>
      <c r="M19" s="21"/>
      <c r="N19" s="22">
        <f t="shared" si="1"/>
        <v>0</v>
      </c>
      <c r="O19" s="25">
        <f t="shared" si="2"/>
        <v>0</v>
      </c>
    </row>
    <row r="20" spans="2:15" ht="15">
      <c r="B20" s="18">
        <v>47</v>
      </c>
      <c r="C20" s="18">
        <v>1820</v>
      </c>
      <c r="D20" s="26" t="s">
        <v>20</v>
      </c>
      <c r="E20" s="20">
        <f>1/25</f>
        <v>0.04</v>
      </c>
      <c r="F20" s="21">
        <f>'2008'!I20</f>
        <v>499228.76</v>
      </c>
      <c r="G20" s="21"/>
      <c r="H20" s="21"/>
      <c r="I20" s="22">
        <f t="shared" si="0"/>
        <v>499228.76</v>
      </c>
      <c r="J20" s="23"/>
      <c r="K20" s="24">
        <f>'2008'!N20</f>
        <v>-181097.19999999998</v>
      </c>
      <c r="L20" s="21">
        <f>'2008'!L20-(('2009'!G20*'2009'!E20)/2)-(('2008'!G20*'2009'!E20)/2)</f>
        <v>-17936.5396</v>
      </c>
      <c r="M20" s="21"/>
      <c r="N20" s="22">
        <f t="shared" si="1"/>
        <v>-199033.73959999997</v>
      </c>
      <c r="O20" s="25">
        <f t="shared" si="2"/>
        <v>300195.02040000004</v>
      </c>
    </row>
    <row r="21" spans="2:15" ht="15">
      <c r="B21" s="18">
        <v>47</v>
      </c>
      <c r="C21" s="18">
        <v>1825</v>
      </c>
      <c r="D21" s="19" t="s">
        <v>21</v>
      </c>
      <c r="E21" s="20">
        <f aca="true" t="shared" si="3" ref="E21:E28">1/25</f>
        <v>0.04</v>
      </c>
      <c r="F21" s="21">
        <f>'2008'!I21</f>
        <v>0</v>
      </c>
      <c r="G21" s="21"/>
      <c r="H21" s="21"/>
      <c r="I21" s="22">
        <f t="shared" si="0"/>
        <v>0</v>
      </c>
      <c r="J21" s="23"/>
      <c r="K21" s="24">
        <f>'2008'!N21</f>
        <v>0</v>
      </c>
      <c r="L21" s="21">
        <f>'2008'!L21-(('2009'!G21*'2009'!E21)/2)-(('2008'!G21*'2009'!E21)/2)</f>
        <v>0</v>
      </c>
      <c r="M21" s="21"/>
      <c r="N21" s="22">
        <f t="shared" si="1"/>
        <v>0</v>
      </c>
      <c r="O21" s="25">
        <f t="shared" si="2"/>
        <v>0</v>
      </c>
    </row>
    <row r="22" spans="2:15" ht="15">
      <c r="B22" s="18">
        <v>47</v>
      </c>
      <c r="C22" s="18">
        <v>1830</v>
      </c>
      <c r="D22" s="19" t="s">
        <v>22</v>
      </c>
      <c r="E22" s="20">
        <f t="shared" si="3"/>
        <v>0.04</v>
      </c>
      <c r="F22" s="21">
        <f>'2008'!I22</f>
        <v>4336711.31</v>
      </c>
      <c r="G22" s="21">
        <f>218447.6+53787.36+51892.32</f>
        <v>324127.28</v>
      </c>
      <c r="H22" s="21"/>
      <c r="I22" s="22">
        <f t="shared" si="0"/>
        <v>4660838.59</v>
      </c>
      <c r="J22" s="23"/>
      <c r="K22" s="24">
        <f>'2008'!N22</f>
        <v>-1568425.58</v>
      </c>
      <c r="L22" s="21">
        <f>'2008'!L22-(('2009'!G22*'2009'!E22)/2)-(('2008'!G22*'2009'!E22)/2)</f>
        <v>-205171.05920000002</v>
      </c>
      <c r="M22" s="21"/>
      <c r="N22" s="22">
        <f t="shared" si="1"/>
        <v>-1773596.6392</v>
      </c>
      <c r="O22" s="25">
        <f t="shared" si="2"/>
        <v>2887241.9507999998</v>
      </c>
    </row>
    <row r="23" spans="2:15" ht="15">
      <c r="B23" s="18">
        <v>47</v>
      </c>
      <c r="C23" s="18">
        <v>1835</v>
      </c>
      <c r="D23" s="19" t="s">
        <v>23</v>
      </c>
      <c r="E23" s="20">
        <f t="shared" si="3"/>
        <v>0.04</v>
      </c>
      <c r="F23" s="21">
        <f>'2008'!I23</f>
        <v>8964219.26</v>
      </c>
      <c r="G23" s="21">
        <f>488489.3+55061.98+23661.16</f>
        <v>567212.4400000001</v>
      </c>
      <c r="H23" s="21"/>
      <c r="I23" s="22">
        <f t="shared" si="0"/>
        <v>9531431.7</v>
      </c>
      <c r="J23" s="23"/>
      <c r="K23" s="24">
        <f>'2008'!N23</f>
        <v>-2040199.24</v>
      </c>
      <c r="L23" s="21">
        <f>'2008'!L23-(('2009'!G23*'2009'!E23)/2)-(('2008'!G23*'2009'!E23)/2)</f>
        <v>-342665.0664</v>
      </c>
      <c r="M23" s="21"/>
      <c r="N23" s="22">
        <f t="shared" si="1"/>
        <v>-2382864.3064</v>
      </c>
      <c r="O23" s="25">
        <f t="shared" si="2"/>
        <v>7148567.393599999</v>
      </c>
    </row>
    <row r="24" spans="2:15" ht="15">
      <c r="B24" s="18">
        <v>47</v>
      </c>
      <c r="C24" s="18">
        <v>1840</v>
      </c>
      <c r="D24" s="19" t="s">
        <v>24</v>
      </c>
      <c r="E24" s="20">
        <f t="shared" si="3"/>
        <v>0.04</v>
      </c>
      <c r="F24" s="21">
        <f>'2008'!I24</f>
        <v>2147360.005</v>
      </c>
      <c r="G24" s="21">
        <f>12062.05+21678.49+31519.52</f>
        <v>65260.06</v>
      </c>
      <c r="H24" s="21"/>
      <c r="I24" s="22">
        <f t="shared" si="0"/>
        <v>2212620.065</v>
      </c>
      <c r="J24" s="23"/>
      <c r="K24" s="24">
        <f>'2008'!N24</f>
        <v>-856547.7899999999</v>
      </c>
      <c r="L24" s="21">
        <f>'2008'!L24-(('2009'!G24*'2009'!E24)/2)-(('2008'!G24*'2009'!E24)/2)</f>
        <v>-100073.86339999999</v>
      </c>
      <c r="M24" s="21"/>
      <c r="N24" s="22">
        <f t="shared" si="1"/>
        <v>-956621.6534</v>
      </c>
      <c r="O24" s="25">
        <f t="shared" si="2"/>
        <v>1255998.4116</v>
      </c>
    </row>
    <row r="25" spans="2:15" ht="15">
      <c r="B25" s="18">
        <v>47</v>
      </c>
      <c r="C25" s="18">
        <v>1845</v>
      </c>
      <c r="D25" s="19" t="s">
        <v>25</v>
      </c>
      <c r="E25" s="20">
        <f t="shared" si="3"/>
        <v>0.04</v>
      </c>
      <c r="F25" s="21">
        <f>'2008'!I25</f>
        <v>4274462.390000001</v>
      </c>
      <c r="G25" s="21">
        <f>418746.8+27169.11+27793.64</f>
        <v>473709.55</v>
      </c>
      <c r="H25" s="21"/>
      <c r="I25" s="22">
        <f t="shared" si="0"/>
        <v>4748171.94</v>
      </c>
      <c r="J25" s="23"/>
      <c r="K25" s="24">
        <f>'2008'!N25</f>
        <v>-917561.29</v>
      </c>
      <c r="L25" s="21">
        <f>'2008'!L25-(('2009'!G25*'2009'!E25)/2)-(('2008'!G25*'2009'!E25)/2)</f>
        <v>-179185.6868</v>
      </c>
      <c r="M25" s="21"/>
      <c r="N25" s="22">
        <f t="shared" si="1"/>
        <v>-1096746.9768</v>
      </c>
      <c r="O25" s="25">
        <f t="shared" si="2"/>
        <v>3651424.9632</v>
      </c>
    </row>
    <row r="26" spans="2:15" ht="15">
      <c r="B26" s="18">
        <v>47</v>
      </c>
      <c r="C26" s="18">
        <v>1850</v>
      </c>
      <c r="D26" s="19" t="s">
        <v>26</v>
      </c>
      <c r="E26" s="20">
        <f t="shared" si="3"/>
        <v>0.04</v>
      </c>
      <c r="F26" s="21">
        <f>'2008'!I26</f>
        <v>5699174.26</v>
      </c>
      <c r="G26" s="21">
        <f>144125.7+129174.87+3110.32</f>
        <v>276410.89</v>
      </c>
      <c r="H26" s="21"/>
      <c r="I26" s="22">
        <f t="shared" si="0"/>
        <v>5975585.149999999</v>
      </c>
      <c r="J26" s="23"/>
      <c r="K26" s="24">
        <f>'2008'!N26</f>
        <v>-1777914.1199999999</v>
      </c>
      <c r="L26" s="21">
        <f>'2008'!L26-(('2009'!G26*'2009'!E26)/2)-(('2008'!G26*'2009'!E26)/2)</f>
        <v>-241756.1014</v>
      </c>
      <c r="M26" s="21"/>
      <c r="N26" s="22">
        <f t="shared" si="1"/>
        <v>-2019670.2214</v>
      </c>
      <c r="O26" s="25">
        <f t="shared" si="2"/>
        <v>3955914.9285999993</v>
      </c>
    </row>
    <row r="27" spans="2:15" ht="15">
      <c r="B27" s="18">
        <v>47</v>
      </c>
      <c r="C27" s="18">
        <v>1855</v>
      </c>
      <c r="D27" s="19" t="s">
        <v>27</v>
      </c>
      <c r="E27" s="20">
        <f t="shared" si="3"/>
        <v>0.04</v>
      </c>
      <c r="F27" s="21">
        <f>'2008'!I27</f>
        <v>2488159.5100000002</v>
      </c>
      <c r="G27" s="21">
        <f>237217.9+21766.85+23026.88+499.41+26603.33</f>
        <v>309114.37</v>
      </c>
      <c r="H27" s="21"/>
      <c r="I27" s="22">
        <f t="shared" si="0"/>
        <v>2797273.8800000004</v>
      </c>
      <c r="J27" s="23"/>
      <c r="K27" s="24">
        <f>'2008'!N27</f>
        <v>-538618.1</v>
      </c>
      <c r="L27" s="21">
        <f>'2008'!L27-(('2009'!G27*'2009'!E27)/2)-(('2008'!G27*'2009'!E27)/2)</f>
        <v>-98263.0806</v>
      </c>
      <c r="M27" s="21"/>
      <c r="N27" s="22">
        <f t="shared" si="1"/>
        <v>-636881.1806</v>
      </c>
      <c r="O27" s="25">
        <f t="shared" si="2"/>
        <v>2160392.6994000003</v>
      </c>
    </row>
    <row r="28" spans="2:15" ht="15">
      <c r="B28" s="18">
        <v>47</v>
      </c>
      <c r="C28" s="18">
        <v>1860</v>
      </c>
      <c r="D28" s="19" t="s">
        <v>28</v>
      </c>
      <c r="E28" s="20">
        <f t="shared" si="3"/>
        <v>0.04</v>
      </c>
      <c r="F28" s="21">
        <f>'2008'!I28</f>
        <v>2567211.3850000002</v>
      </c>
      <c r="G28" s="21">
        <f>23144.57+122234.31+8941.82</f>
        <v>154320.7</v>
      </c>
      <c r="H28" s="21"/>
      <c r="I28" s="22">
        <f t="shared" si="0"/>
        <v>2721532.0850000004</v>
      </c>
      <c r="J28" s="23"/>
      <c r="K28" s="24">
        <f>'2008'!N28</f>
        <v>-713675.0800000001</v>
      </c>
      <c r="L28" s="21">
        <f>'2008'!L28-(('2009'!G28*'2009'!E28)/2)-(('2008'!G28*'2009'!E28)/2)</f>
        <v>-96815.25120000001</v>
      </c>
      <c r="M28" s="21"/>
      <c r="N28" s="22">
        <f t="shared" si="1"/>
        <v>-810490.3312000001</v>
      </c>
      <c r="O28" s="25">
        <f t="shared" si="2"/>
        <v>1911041.7538000003</v>
      </c>
    </row>
    <row r="29" spans="2:15" ht="15">
      <c r="B29" s="18">
        <v>47</v>
      </c>
      <c r="C29" s="18">
        <v>1860</v>
      </c>
      <c r="D29" s="19" t="s">
        <v>29</v>
      </c>
      <c r="E29" s="20"/>
      <c r="F29" s="21">
        <f>'2008'!I29</f>
        <v>0</v>
      </c>
      <c r="G29" s="21"/>
      <c r="H29" s="21"/>
      <c r="I29" s="22">
        <f t="shared" si="0"/>
        <v>0</v>
      </c>
      <c r="J29" s="23"/>
      <c r="K29" s="24">
        <f>'2008'!N29</f>
        <v>0</v>
      </c>
      <c r="L29" s="21">
        <f>'2008'!L29-(('2009'!G29*'2009'!E29)/2)-(('2008'!G29*'2009'!E29)/2)</f>
        <v>0</v>
      </c>
      <c r="M29" s="21"/>
      <c r="N29" s="22">
        <f t="shared" si="1"/>
        <v>0</v>
      </c>
      <c r="O29" s="25">
        <f t="shared" si="2"/>
        <v>0</v>
      </c>
    </row>
    <row r="30" spans="2:15" ht="15">
      <c r="B30" s="18" t="s">
        <v>15</v>
      </c>
      <c r="C30" s="18">
        <v>1905</v>
      </c>
      <c r="D30" s="19" t="s">
        <v>16</v>
      </c>
      <c r="E30" s="20"/>
      <c r="F30" s="21">
        <f>'2008'!I30</f>
        <v>0</v>
      </c>
      <c r="G30" s="21"/>
      <c r="H30" s="21"/>
      <c r="I30" s="22">
        <f t="shared" si="0"/>
        <v>0</v>
      </c>
      <c r="J30" s="23"/>
      <c r="K30" s="24">
        <f>'2008'!N30</f>
        <v>0</v>
      </c>
      <c r="L30" s="21">
        <f>'2008'!L30-(('2009'!G30*'2009'!E30)/2)-(('2008'!G30*'2009'!E30)/2)</f>
        <v>0</v>
      </c>
      <c r="M30" s="21"/>
      <c r="N30" s="22">
        <f t="shared" si="1"/>
        <v>0</v>
      </c>
      <c r="O30" s="25">
        <f t="shared" si="2"/>
        <v>0</v>
      </c>
    </row>
    <row r="31" spans="2:15" ht="15">
      <c r="B31" s="18" t="s">
        <v>30</v>
      </c>
      <c r="C31" s="18">
        <v>1906</v>
      </c>
      <c r="D31" s="19" t="s">
        <v>31</v>
      </c>
      <c r="E31" s="20"/>
      <c r="F31" s="21">
        <f>'2008'!I31</f>
        <v>0</v>
      </c>
      <c r="G31" s="21"/>
      <c r="H31" s="21"/>
      <c r="I31" s="22">
        <f t="shared" si="0"/>
        <v>0</v>
      </c>
      <c r="J31" s="23"/>
      <c r="K31" s="24">
        <f>'2008'!N31</f>
        <v>0</v>
      </c>
      <c r="L31" s="21">
        <f>'2008'!L31-(('2009'!G31*'2009'!E31)/2)-(('2008'!G31*'2009'!E31)/2)</f>
        <v>0</v>
      </c>
      <c r="M31" s="21"/>
      <c r="N31" s="22">
        <f t="shared" si="1"/>
        <v>0</v>
      </c>
      <c r="O31" s="25">
        <f t="shared" si="2"/>
        <v>0</v>
      </c>
    </row>
    <row r="32" spans="2:15" ht="15">
      <c r="B32" s="18">
        <v>47</v>
      </c>
      <c r="C32" s="18">
        <v>1908</v>
      </c>
      <c r="D32" s="19" t="s">
        <v>32</v>
      </c>
      <c r="E32" s="20"/>
      <c r="F32" s="21">
        <f>'2008'!I32</f>
        <v>0</v>
      </c>
      <c r="G32" s="21"/>
      <c r="H32" s="21"/>
      <c r="I32" s="22">
        <f t="shared" si="0"/>
        <v>0</v>
      </c>
      <c r="J32" s="23"/>
      <c r="K32" s="24">
        <f>'2008'!N32</f>
        <v>0</v>
      </c>
      <c r="L32" s="21">
        <f>'2008'!L32-(('2009'!G32*'2009'!E32)/2)-(('2008'!G32*'2009'!E32)/2)</f>
        <v>0</v>
      </c>
      <c r="M32" s="21"/>
      <c r="N32" s="22">
        <f t="shared" si="1"/>
        <v>0</v>
      </c>
      <c r="O32" s="25">
        <f t="shared" si="2"/>
        <v>0</v>
      </c>
    </row>
    <row r="33" spans="2:15" ht="15">
      <c r="B33" s="18">
        <v>13</v>
      </c>
      <c r="C33" s="18">
        <v>1910</v>
      </c>
      <c r="D33" s="19" t="s">
        <v>18</v>
      </c>
      <c r="E33" s="20"/>
      <c r="F33" s="21">
        <f>'2008'!I33</f>
        <v>0</v>
      </c>
      <c r="G33" s="21"/>
      <c r="H33" s="21"/>
      <c r="I33" s="22">
        <f t="shared" si="0"/>
        <v>0</v>
      </c>
      <c r="J33" s="23"/>
      <c r="K33" s="24">
        <f>'2008'!N33</f>
        <v>0</v>
      </c>
      <c r="L33" s="21">
        <f>'2008'!L33-(('2009'!G33*'2009'!E33)/2)-(('2008'!G33*'2009'!E33)/2)</f>
        <v>0</v>
      </c>
      <c r="M33" s="21"/>
      <c r="N33" s="22">
        <f t="shared" si="1"/>
        <v>0</v>
      </c>
      <c r="O33" s="25">
        <f t="shared" si="2"/>
        <v>0</v>
      </c>
    </row>
    <row r="34" spans="2:15" ht="15">
      <c r="B34" s="18">
        <v>8</v>
      </c>
      <c r="C34" s="18">
        <v>1915</v>
      </c>
      <c r="D34" s="19" t="s">
        <v>33</v>
      </c>
      <c r="E34" s="20">
        <f>1/10</f>
        <v>0.1</v>
      </c>
      <c r="F34" s="21">
        <f>'2008'!I34</f>
        <v>57873.34</v>
      </c>
      <c r="G34" s="21">
        <v>592.92</v>
      </c>
      <c r="H34" s="21"/>
      <c r="I34" s="22">
        <f t="shared" si="0"/>
        <v>58466.259999999995</v>
      </c>
      <c r="J34" s="23"/>
      <c r="K34" s="24">
        <f>'2008'!N34</f>
        <v>-48237.93</v>
      </c>
      <c r="L34" s="21">
        <f>'2008'!L34-(('2009'!G34*'2009'!E34)/2)-(('2008'!G34*'2009'!E34)/2)</f>
        <v>-2904.376</v>
      </c>
      <c r="M34" s="21"/>
      <c r="N34" s="22">
        <f t="shared" si="1"/>
        <v>-51142.306</v>
      </c>
      <c r="O34" s="25">
        <f t="shared" si="2"/>
        <v>7323.953999999998</v>
      </c>
    </row>
    <row r="35" spans="2:15" ht="15">
      <c r="B35" s="18">
        <v>8</v>
      </c>
      <c r="C35" s="18">
        <v>1915</v>
      </c>
      <c r="D35" s="19" t="s">
        <v>34</v>
      </c>
      <c r="E35" s="20">
        <f>1/5</f>
        <v>0.2</v>
      </c>
      <c r="F35" s="21">
        <f>'2008'!I35</f>
        <v>5594.49</v>
      </c>
      <c r="G35" s="21"/>
      <c r="H35" s="21"/>
      <c r="I35" s="22">
        <f t="shared" si="0"/>
        <v>5594.49</v>
      </c>
      <c r="J35" s="23"/>
      <c r="K35" s="24">
        <f>'2008'!N35</f>
        <v>0</v>
      </c>
      <c r="L35" s="21">
        <f>'2008'!L35-(('2009'!G35*'2009'!E35)/2)-(('2008'!G35*'2009'!E35)/2)</f>
        <v>-559.449</v>
      </c>
      <c r="M35" s="21"/>
      <c r="N35" s="22">
        <f t="shared" si="1"/>
        <v>-559.449</v>
      </c>
      <c r="O35" s="25">
        <f t="shared" si="2"/>
        <v>5035.041</v>
      </c>
    </row>
    <row r="36" spans="2:15" ht="15">
      <c r="B36" s="18">
        <v>10</v>
      </c>
      <c r="C36" s="18">
        <v>1920</v>
      </c>
      <c r="D36" s="19" t="s">
        <v>35</v>
      </c>
      <c r="E36" s="20">
        <f>1/5</f>
        <v>0.2</v>
      </c>
      <c r="F36" s="21">
        <f>'2008'!I36</f>
        <v>75912.74</v>
      </c>
      <c r="G36" s="21">
        <v>4720.04</v>
      </c>
      <c r="H36" s="21"/>
      <c r="I36" s="22">
        <f t="shared" si="0"/>
        <v>80632.78</v>
      </c>
      <c r="J36" s="23"/>
      <c r="K36" s="24">
        <f>'2008'!N36</f>
        <v>-73430.81</v>
      </c>
      <c r="L36" s="21">
        <f>'2008'!L36-(('2009'!G36*'2009'!E36)/2)-(('2008'!G36*'2009'!E36)/2)</f>
        <v>-7113.933</v>
      </c>
      <c r="M36" s="21"/>
      <c r="N36" s="22">
        <f t="shared" si="1"/>
        <v>-80544.743</v>
      </c>
      <c r="O36" s="25">
        <f t="shared" si="2"/>
        <v>88.03699999999662</v>
      </c>
    </row>
    <row r="37" spans="2:15" ht="15">
      <c r="B37" s="18">
        <v>45</v>
      </c>
      <c r="C37" s="27">
        <v>1920</v>
      </c>
      <c r="D37" s="26" t="s">
        <v>36</v>
      </c>
      <c r="E37" s="20"/>
      <c r="F37" s="21">
        <f>'2008'!I37</f>
        <v>0</v>
      </c>
      <c r="G37" s="21"/>
      <c r="H37" s="21"/>
      <c r="I37" s="22">
        <f t="shared" si="0"/>
        <v>0</v>
      </c>
      <c r="J37" s="23"/>
      <c r="K37" s="24">
        <f>'2008'!N37</f>
        <v>0</v>
      </c>
      <c r="L37" s="21">
        <f>'2008'!L37-(('2009'!G37*'2009'!E37)/2)-(('2008'!G37*'2009'!E37)/2)</f>
        <v>0</v>
      </c>
      <c r="M37" s="21"/>
      <c r="N37" s="22">
        <f t="shared" si="1"/>
        <v>0</v>
      </c>
      <c r="O37" s="25">
        <f t="shared" si="2"/>
        <v>0</v>
      </c>
    </row>
    <row r="38" spans="2:15" ht="15">
      <c r="B38" s="18">
        <v>45.1</v>
      </c>
      <c r="C38" s="27">
        <v>1920</v>
      </c>
      <c r="D38" s="26" t="s">
        <v>37</v>
      </c>
      <c r="E38" s="20"/>
      <c r="F38" s="21">
        <f>'2008'!I38</f>
        <v>0</v>
      </c>
      <c r="G38" s="21"/>
      <c r="H38" s="21"/>
      <c r="I38" s="22">
        <f t="shared" si="0"/>
        <v>0</v>
      </c>
      <c r="J38" s="23"/>
      <c r="K38" s="24">
        <f>'2008'!N38</f>
        <v>0</v>
      </c>
      <c r="L38" s="21">
        <f>'2008'!L38-(('2009'!G38*'2009'!E38)/2)-(('2008'!G38*'2009'!E38)/2)</f>
        <v>0</v>
      </c>
      <c r="M38" s="21"/>
      <c r="N38" s="22">
        <f t="shared" si="1"/>
        <v>0</v>
      </c>
      <c r="O38" s="25">
        <f t="shared" si="2"/>
        <v>0</v>
      </c>
    </row>
    <row r="39" spans="2:15" ht="15">
      <c r="B39" s="18">
        <v>12</v>
      </c>
      <c r="C39" s="18">
        <v>1925</v>
      </c>
      <c r="D39" s="19" t="s">
        <v>38</v>
      </c>
      <c r="E39" s="20">
        <f>1/5</f>
        <v>0.2</v>
      </c>
      <c r="F39" s="21">
        <f>'2008'!I39</f>
        <v>565798.12</v>
      </c>
      <c r="G39" s="21">
        <f>44889.92</f>
        <v>44889.92</v>
      </c>
      <c r="H39" s="21"/>
      <c r="I39" s="22">
        <f t="shared" si="0"/>
        <v>610688.04</v>
      </c>
      <c r="J39" s="23"/>
      <c r="K39" s="24">
        <f>'2008'!N39</f>
        <v>-372627.2</v>
      </c>
      <c r="L39" s="21">
        <f>'2008'!L39-(('2009'!G39*'2009'!E39)/2)-(('2008'!G39*'2009'!E39)/2)</f>
        <v>-90647.102</v>
      </c>
      <c r="M39" s="21"/>
      <c r="N39" s="22">
        <f t="shared" si="1"/>
        <v>-463274.302</v>
      </c>
      <c r="O39" s="25">
        <f t="shared" si="2"/>
        <v>147413.738</v>
      </c>
    </row>
    <row r="40" spans="2:15" ht="15">
      <c r="B40" s="18">
        <v>10</v>
      </c>
      <c r="C40" s="18">
        <v>1930</v>
      </c>
      <c r="D40" s="19" t="s">
        <v>39</v>
      </c>
      <c r="E40" s="20">
        <f>1/8</f>
        <v>0.125</v>
      </c>
      <c r="F40" s="21">
        <f>'2008'!I40</f>
        <v>96333.3</v>
      </c>
      <c r="G40" s="21">
        <f>89418.24+38674.91</f>
        <v>128093.15000000001</v>
      </c>
      <c r="H40" s="21"/>
      <c r="I40" s="22">
        <f t="shared" si="0"/>
        <v>224426.45</v>
      </c>
      <c r="J40" s="23"/>
      <c r="K40" s="24">
        <f>'2008'!N40</f>
        <v>-26304.45</v>
      </c>
      <c r="L40" s="21">
        <f>'2008'!L40-(('2009'!G40*'2009'!E40)/2)-(('2008'!G40*'2009'!E40)/2)</f>
        <v>-22417.091875000002</v>
      </c>
      <c r="M40" s="21"/>
      <c r="N40" s="22">
        <f t="shared" si="1"/>
        <v>-48721.541875</v>
      </c>
      <c r="O40" s="25">
        <f t="shared" si="2"/>
        <v>175704.90812500002</v>
      </c>
    </row>
    <row r="41" spans="2:15" ht="15">
      <c r="B41" s="18">
        <v>8</v>
      </c>
      <c r="C41" s="18">
        <v>1935</v>
      </c>
      <c r="D41" s="19" t="s">
        <v>40</v>
      </c>
      <c r="E41" s="20">
        <f>1/5</f>
        <v>0.2</v>
      </c>
      <c r="F41" s="21">
        <f>'2008'!I41</f>
        <v>458</v>
      </c>
      <c r="G41" s="21">
        <v>73.32</v>
      </c>
      <c r="H41" s="21"/>
      <c r="I41" s="22">
        <f t="shared" si="0"/>
        <v>531.3199999999999</v>
      </c>
      <c r="J41" s="23"/>
      <c r="K41" s="24">
        <f>'2008'!N41</f>
        <v>-321</v>
      </c>
      <c r="L41" s="21">
        <f>'2008'!L41-(('2009'!G41*'2009'!E41)/2)-(('2008'!G41*'2009'!E41)/2)</f>
        <v>-190.332</v>
      </c>
      <c r="M41" s="21"/>
      <c r="N41" s="22">
        <f t="shared" si="1"/>
        <v>-511.332</v>
      </c>
      <c r="O41" s="25">
        <f t="shared" si="2"/>
        <v>19.987999999999943</v>
      </c>
    </row>
    <row r="42" spans="2:15" ht="15">
      <c r="B42" s="18">
        <v>8</v>
      </c>
      <c r="C42" s="18">
        <v>1940</v>
      </c>
      <c r="D42" s="19" t="s">
        <v>41</v>
      </c>
      <c r="E42" s="20">
        <f>1/5</f>
        <v>0.2</v>
      </c>
      <c r="F42" s="21">
        <f>'2008'!I42</f>
        <v>90633.91</v>
      </c>
      <c r="G42" s="21">
        <f>3274.29+978.48</f>
        <v>4252.77</v>
      </c>
      <c r="H42" s="21"/>
      <c r="I42" s="22">
        <f t="shared" si="0"/>
        <v>94886.68000000001</v>
      </c>
      <c r="J42" s="23"/>
      <c r="K42" s="24">
        <f>'2008'!N42</f>
        <v>-79388.35999999999</v>
      </c>
      <c r="L42" s="21">
        <f>'2008'!L42-(('2009'!G42*'2009'!E42)/2)-(('2008'!G42*'2009'!E42)/2)</f>
        <v>-7777.657</v>
      </c>
      <c r="M42" s="21"/>
      <c r="N42" s="22">
        <f t="shared" si="1"/>
        <v>-87166.01699999999</v>
      </c>
      <c r="O42" s="25">
        <f t="shared" si="2"/>
        <v>7720.663000000015</v>
      </c>
    </row>
    <row r="43" spans="2:15" ht="15">
      <c r="B43" s="18">
        <v>8</v>
      </c>
      <c r="C43" s="18">
        <v>1945</v>
      </c>
      <c r="D43" s="19" t="s">
        <v>42</v>
      </c>
      <c r="E43" s="20">
        <f>1/5</f>
        <v>0.2</v>
      </c>
      <c r="F43" s="21">
        <f>'2008'!I43</f>
        <v>11007</v>
      </c>
      <c r="G43" s="21">
        <f>3399.3</f>
        <v>3399.3</v>
      </c>
      <c r="H43" s="21"/>
      <c r="I43" s="22">
        <f t="shared" si="0"/>
        <v>14406.3</v>
      </c>
      <c r="J43" s="23"/>
      <c r="K43" s="24">
        <f>'2008'!N43</f>
        <v>-83</v>
      </c>
      <c r="L43" s="21">
        <f>'2008'!L43-(('2009'!G43*'2009'!E43)/2)-(('2008'!G43*'2009'!E43)/2)</f>
        <v>-339.93000000000006</v>
      </c>
      <c r="M43" s="21"/>
      <c r="N43" s="22">
        <f t="shared" si="1"/>
        <v>-422.93000000000006</v>
      </c>
      <c r="O43" s="25">
        <f t="shared" si="2"/>
        <v>13983.369999999999</v>
      </c>
    </row>
    <row r="44" spans="2:15" ht="15">
      <c r="B44" s="18">
        <v>8</v>
      </c>
      <c r="C44" s="18">
        <v>1950</v>
      </c>
      <c r="D44" s="19" t="s">
        <v>43</v>
      </c>
      <c r="E44" s="20">
        <f>1/5</f>
        <v>0.2</v>
      </c>
      <c r="F44" s="21">
        <f>'2008'!I44</f>
        <v>64091</v>
      </c>
      <c r="G44" s="21"/>
      <c r="H44" s="21"/>
      <c r="I44" s="22">
        <f t="shared" si="0"/>
        <v>64091</v>
      </c>
      <c r="J44" s="23"/>
      <c r="K44" s="24">
        <f>'2008'!N44</f>
        <v>-468</v>
      </c>
      <c r="L44" s="21">
        <f>'2008'!L44-(('2009'!G44*'2009'!E44)/2)-(('2008'!G44*'2009'!E44)/2)</f>
        <v>0</v>
      </c>
      <c r="M44" s="21"/>
      <c r="N44" s="22">
        <f t="shared" si="1"/>
        <v>-468</v>
      </c>
      <c r="O44" s="25">
        <f t="shared" si="2"/>
        <v>63623</v>
      </c>
    </row>
    <row r="45" spans="2:15" ht="15">
      <c r="B45" s="18">
        <v>8</v>
      </c>
      <c r="C45" s="18">
        <v>1955</v>
      </c>
      <c r="D45" s="19" t="s">
        <v>44</v>
      </c>
      <c r="E45" s="20"/>
      <c r="F45" s="21">
        <f>'2008'!I45</f>
        <v>0</v>
      </c>
      <c r="G45" s="21"/>
      <c r="H45" s="21"/>
      <c r="I45" s="22">
        <f t="shared" si="0"/>
        <v>0</v>
      </c>
      <c r="J45" s="23"/>
      <c r="K45" s="24">
        <f>'2008'!N45</f>
        <v>0</v>
      </c>
      <c r="L45" s="21">
        <f>'2008'!L45-(('2009'!G45*'2009'!E45)/2)-(('2008'!G45*'2009'!E45)/2)</f>
        <v>0</v>
      </c>
      <c r="M45" s="21"/>
      <c r="N45" s="22">
        <f t="shared" si="1"/>
        <v>0</v>
      </c>
      <c r="O45" s="25">
        <f t="shared" si="2"/>
        <v>0</v>
      </c>
    </row>
    <row r="46" spans="2:15" ht="15">
      <c r="B46" s="29">
        <v>8</v>
      </c>
      <c r="C46" s="29">
        <v>1955</v>
      </c>
      <c r="D46" s="30" t="s">
        <v>45</v>
      </c>
      <c r="E46" s="20"/>
      <c r="F46" s="21">
        <f>'2008'!I46</f>
        <v>0</v>
      </c>
      <c r="G46" s="21"/>
      <c r="H46" s="21"/>
      <c r="I46" s="22">
        <f t="shared" si="0"/>
        <v>0</v>
      </c>
      <c r="J46" s="23"/>
      <c r="K46" s="24">
        <f>'2008'!N46</f>
        <v>0</v>
      </c>
      <c r="L46" s="21">
        <f>'2008'!L46-(('2009'!G46*'2009'!E46)/2)-(('2008'!G46*'2009'!E46)/2)</f>
        <v>0</v>
      </c>
      <c r="M46" s="21"/>
      <c r="N46" s="22">
        <f t="shared" si="1"/>
        <v>0</v>
      </c>
      <c r="O46" s="25">
        <f t="shared" si="2"/>
        <v>0</v>
      </c>
    </row>
    <row r="47" spans="2:15" ht="15">
      <c r="B47" s="27">
        <v>8</v>
      </c>
      <c r="C47" s="27">
        <v>1960</v>
      </c>
      <c r="D47" s="26" t="s">
        <v>46</v>
      </c>
      <c r="E47" s="20"/>
      <c r="F47" s="21">
        <f>'2008'!I47</f>
        <v>0</v>
      </c>
      <c r="G47" s="21"/>
      <c r="H47" s="21"/>
      <c r="I47" s="22">
        <f t="shared" si="0"/>
        <v>0</v>
      </c>
      <c r="J47" s="23"/>
      <c r="K47" s="24">
        <f>'2008'!N47</f>
        <v>0</v>
      </c>
      <c r="L47" s="21">
        <f>'2008'!L47-(('2009'!G47*'2009'!E47)/2)-(('2008'!G47*'2009'!E47)/2)</f>
        <v>0</v>
      </c>
      <c r="M47" s="21"/>
      <c r="N47" s="22">
        <f t="shared" si="1"/>
        <v>0</v>
      </c>
      <c r="O47" s="25">
        <f t="shared" si="2"/>
        <v>0</v>
      </c>
    </row>
    <row r="48" spans="2:15" ht="15">
      <c r="B48" s="18">
        <v>47</v>
      </c>
      <c r="C48" s="18">
        <v>1975</v>
      </c>
      <c r="D48" s="19" t="s">
        <v>47</v>
      </c>
      <c r="E48" s="20"/>
      <c r="F48" s="21">
        <f>'2008'!I48</f>
        <v>0</v>
      </c>
      <c r="G48" s="21"/>
      <c r="H48" s="21"/>
      <c r="I48" s="22">
        <f t="shared" si="0"/>
        <v>0</v>
      </c>
      <c r="J48" s="23"/>
      <c r="K48" s="24">
        <f>'2008'!N48</f>
        <v>0</v>
      </c>
      <c r="L48" s="21">
        <f>'2008'!L48-(('2009'!G48*'2009'!E48)/2)-(('2008'!G48*'2009'!E48)/2)</f>
        <v>0</v>
      </c>
      <c r="M48" s="21"/>
      <c r="N48" s="22">
        <f t="shared" si="1"/>
        <v>0</v>
      </c>
      <c r="O48" s="25">
        <f t="shared" si="2"/>
        <v>0</v>
      </c>
    </row>
    <row r="49" spans="2:15" ht="15">
      <c r="B49" s="18">
        <v>47</v>
      </c>
      <c r="C49" s="18">
        <v>1980</v>
      </c>
      <c r="D49" s="19" t="s">
        <v>48</v>
      </c>
      <c r="E49" s="20"/>
      <c r="F49" s="21">
        <f>'2008'!I49</f>
        <v>0</v>
      </c>
      <c r="G49" s="21"/>
      <c r="H49" s="21"/>
      <c r="I49" s="22">
        <f t="shared" si="0"/>
        <v>0</v>
      </c>
      <c r="J49" s="23"/>
      <c r="K49" s="24">
        <f>'2008'!N49</f>
        <v>0</v>
      </c>
      <c r="L49" s="21">
        <f>'2008'!L49-(('2009'!G49*'2009'!E49)/2)-(('2008'!G49*'2009'!E49)/2)</f>
        <v>0</v>
      </c>
      <c r="M49" s="21"/>
      <c r="N49" s="22">
        <f t="shared" si="1"/>
        <v>0</v>
      </c>
      <c r="O49" s="25">
        <f t="shared" si="2"/>
        <v>0</v>
      </c>
    </row>
    <row r="50" spans="2:15" ht="15">
      <c r="B50" s="18">
        <v>47</v>
      </c>
      <c r="C50" s="18">
        <v>1985</v>
      </c>
      <c r="D50" s="19" t="s">
        <v>49</v>
      </c>
      <c r="E50" s="20"/>
      <c r="F50" s="21">
        <f>'2008'!I50</f>
        <v>0</v>
      </c>
      <c r="G50" s="21"/>
      <c r="H50" s="21"/>
      <c r="I50" s="22">
        <f t="shared" si="0"/>
        <v>0</v>
      </c>
      <c r="J50" s="23"/>
      <c r="K50" s="24">
        <f>'2008'!N50</f>
        <v>0</v>
      </c>
      <c r="L50" s="21">
        <f>'2008'!L50-(('2009'!G50*'2009'!E50)/2)-(('2008'!G50*'2009'!E50)/2)</f>
        <v>0</v>
      </c>
      <c r="M50" s="21"/>
      <c r="N50" s="22">
        <f t="shared" si="1"/>
        <v>0</v>
      </c>
      <c r="O50" s="25">
        <f t="shared" si="2"/>
        <v>0</v>
      </c>
    </row>
    <row r="51" spans="2:15" ht="15">
      <c r="B51" s="18">
        <v>47</v>
      </c>
      <c r="C51" s="18">
        <v>1995</v>
      </c>
      <c r="D51" s="19" t="s">
        <v>50</v>
      </c>
      <c r="E51" s="20">
        <f>1/25</f>
        <v>0.04</v>
      </c>
      <c r="F51" s="21">
        <f>'2008'!I51</f>
        <v>-2426114.635</v>
      </c>
      <c r="G51" s="21">
        <f>-345890-33798-46508.05</f>
        <v>-426196.05</v>
      </c>
      <c r="H51" s="21"/>
      <c r="I51" s="22">
        <f t="shared" si="0"/>
        <v>-2852310.6849999996</v>
      </c>
      <c r="J51" s="23"/>
      <c r="K51" s="24">
        <f>'2008'!N51</f>
        <v>207067.2</v>
      </c>
      <c r="L51" s="21">
        <f>'2008'!L51-(('2009'!G51*'2009'!E51)/2)-(('2008'!G51*'2009'!E51)/2)</f>
        <v>121080.30600000001</v>
      </c>
      <c r="M51" s="21"/>
      <c r="N51" s="22">
        <f t="shared" si="1"/>
        <v>328147.50600000005</v>
      </c>
      <c r="O51" s="25">
        <f t="shared" si="2"/>
        <v>-2524163.1789999995</v>
      </c>
    </row>
    <row r="52" spans="2:15" ht="15">
      <c r="B52" s="18"/>
      <c r="C52" s="18" t="s">
        <v>51</v>
      </c>
      <c r="D52" s="19"/>
      <c r="E52" s="20"/>
      <c r="F52" s="21"/>
      <c r="G52" s="21"/>
      <c r="H52" s="21"/>
      <c r="I52" s="22">
        <f t="shared" si="0"/>
        <v>0</v>
      </c>
      <c r="K52" s="24">
        <f>'2008'!N52</f>
        <v>0</v>
      </c>
      <c r="L52" s="21"/>
      <c r="M52" s="21"/>
      <c r="N52" s="22">
        <f t="shared" si="1"/>
        <v>0</v>
      </c>
      <c r="O52" s="25">
        <f t="shared" si="2"/>
        <v>0</v>
      </c>
    </row>
    <row r="53" spans="2:15" ht="15">
      <c r="B53" s="18"/>
      <c r="C53" s="18"/>
      <c r="D53" s="19"/>
      <c r="E53" s="20"/>
      <c r="F53" s="31"/>
      <c r="G53" s="31"/>
      <c r="H53" s="31"/>
      <c r="I53" s="19"/>
      <c r="K53" s="24">
        <f>'2008'!N53</f>
        <v>0</v>
      </c>
      <c r="L53" s="31"/>
      <c r="M53" s="31"/>
      <c r="N53" s="19"/>
      <c r="O53" s="19"/>
    </row>
    <row r="54" spans="2:15" ht="15">
      <c r="B54" s="18"/>
      <c r="C54" s="18"/>
      <c r="D54" s="32" t="s">
        <v>52</v>
      </c>
      <c r="E54" s="32"/>
      <c r="F54" s="33">
        <f>SUM(F16:F52)</f>
        <v>29811591.855000004</v>
      </c>
      <c r="G54" s="33">
        <f>SUM(G16:G52)</f>
        <v>1942234.78</v>
      </c>
      <c r="H54" s="33">
        <f>SUM(H16:H52)</f>
        <v>0</v>
      </c>
      <c r="I54" s="33">
        <f>SUM(I16:I52)</f>
        <v>31753826.635</v>
      </c>
      <c r="J54" s="34"/>
      <c r="K54" s="35">
        <f>SUM(K16:K52)</f>
        <v>-9029841.649999999</v>
      </c>
      <c r="L54" s="35">
        <f>SUM(L16:L52)</f>
        <v>-1299767.4458749995</v>
      </c>
      <c r="M54" s="35">
        <f>SUM(M16:M52)</f>
        <v>0</v>
      </c>
      <c r="N54" s="35">
        <f>SUM(N16:N52)</f>
        <v>-10329609.095874999</v>
      </c>
      <c r="O54" s="33">
        <f t="shared" si="2"/>
        <v>21424217.539125003</v>
      </c>
    </row>
    <row r="56" spans="5:12" ht="15">
      <c r="E56" s="2"/>
      <c r="K56" s="36" t="s">
        <v>53</v>
      </c>
      <c r="L56" s="36"/>
    </row>
    <row r="57" spans="2:13" ht="15">
      <c r="B57" s="18">
        <v>10</v>
      </c>
      <c r="C57" s="18"/>
      <c r="D57" s="19" t="s">
        <v>54</v>
      </c>
      <c r="E57" s="2"/>
      <c r="G57" s="41"/>
      <c r="K57" s="36" t="s">
        <v>54</v>
      </c>
      <c r="L57" s="36"/>
      <c r="M57" s="28"/>
    </row>
    <row r="58" spans="2:13" ht="15">
      <c r="B58" s="18">
        <v>8</v>
      </c>
      <c r="C58" s="18"/>
      <c r="D58" s="19" t="s">
        <v>40</v>
      </c>
      <c r="G58" s="41"/>
      <c r="K58" s="36" t="s">
        <v>40</v>
      </c>
      <c r="L58" s="36"/>
      <c r="M58" s="37"/>
    </row>
    <row r="59" spans="11:13" ht="15">
      <c r="K59" s="38" t="s">
        <v>55</v>
      </c>
      <c r="M59" s="39">
        <f>M54-M57-M58</f>
        <v>0</v>
      </c>
    </row>
    <row r="61" spans="2:6" ht="15">
      <c r="B61" s="62" t="s">
        <v>56</v>
      </c>
      <c r="C61" s="63"/>
      <c r="D61" s="63"/>
      <c r="E61" s="63"/>
      <c r="F61" s="63"/>
    </row>
    <row r="63" ht="15">
      <c r="B63" s="40" t="s">
        <v>57</v>
      </c>
    </row>
    <row r="65" spans="2:15" ht="15">
      <c r="B65" s="1">
        <v>1</v>
      </c>
      <c r="C65" s="64" t="s">
        <v>58</v>
      </c>
      <c r="D65" s="64"/>
      <c r="E65" s="64"/>
      <c r="F65" s="64"/>
      <c r="G65" s="64"/>
      <c r="H65" s="64"/>
      <c r="I65" s="64"/>
      <c r="J65" s="64"/>
      <c r="K65" s="64"/>
      <c r="L65" s="64"/>
      <c r="M65" s="64"/>
      <c r="N65" s="64"/>
      <c r="O65" s="64"/>
    </row>
    <row r="66" spans="3:15" ht="15">
      <c r="C66" s="64"/>
      <c r="D66" s="64"/>
      <c r="E66" s="64"/>
      <c r="F66" s="64"/>
      <c r="G66" s="64"/>
      <c r="H66" s="64"/>
      <c r="I66" s="64"/>
      <c r="J66" s="64"/>
      <c r="K66" s="64"/>
      <c r="L66" s="64"/>
      <c r="M66" s="64"/>
      <c r="N66" s="64"/>
      <c r="O66" s="64"/>
    </row>
    <row r="68" ht="12.75" customHeight="1"/>
    <row r="69" spans="2:15" ht="15">
      <c r="B69" s="1">
        <v>2</v>
      </c>
      <c r="C69" s="55" t="s">
        <v>59</v>
      </c>
      <c r="D69" s="55"/>
      <c r="E69" s="55"/>
      <c r="F69" s="55"/>
      <c r="G69" s="55"/>
      <c r="H69" s="55"/>
      <c r="I69" s="55"/>
      <c r="J69" s="55"/>
      <c r="K69" s="55"/>
      <c r="L69" s="55"/>
      <c r="M69" s="55"/>
      <c r="N69" s="55"/>
      <c r="O69" s="55"/>
    </row>
    <row r="70" spans="3:15" ht="15">
      <c r="C70" s="55"/>
      <c r="D70" s="55"/>
      <c r="E70" s="55"/>
      <c r="F70" s="55"/>
      <c r="G70" s="55"/>
      <c r="H70" s="55"/>
      <c r="I70" s="55"/>
      <c r="J70" s="55"/>
      <c r="K70" s="55"/>
      <c r="L70" s="55"/>
      <c r="M70" s="55"/>
      <c r="N70" s="55"/>
      <c r="O70" s="55"/>
    </row>
    <row r="72" spans="2:15" ht="15">
      <c r="B72" s="1">
        <v>3</v>
      </c>
      <c r="C72" s="56" t="s">
        <v>60</v>
      </c>
      <c r="D72" s="56"/>
      <c r="E72" s="56"/>
      <c r="F72" s="56"/>
      <c r="G72" s="56"/>
      <c r="H72" s="56"/>
      <c r="I72" s="56"/>
      <c r="J72" s="56"/>
      <c r="K72" s="56"/>
      <c r="L72" s="56"/>
      <c r="M72" s="56"/>
      <c r="N72" s="56"/>
      <c r="O72" s="56"/>
    </row>
  </sheetData>
  <sheetProtection/>
  <mergeCells count="8">
    <mergeCell ref="C69:O70"/>
    <mergeCell ref="C72:O72"/>
    <mergeCell ref="F9:I9"/>
    <mergeCell ref="F10:J10"/>
    <mergeCell ref="G12:H12"/>
    <mergeCell ref="F14:I14"/>
    <mergeCell ref="B61:F61"/>
    <mergeCell ref="C65:O66"/>
  </mergeCells>
  <dataValidations count="1">
    <dataValidation allowBlank="1" showInputMessage="1" showErrorMessage="1" promptTitle="Date Format" prompt="E.g:  &quot;August 1, 2011&quot;" sqref="O7"/>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O72"/>
  <sheetViews>
    <sheetView zoomScalePageLayoutView="0" workbookViewId="0" topLeftCell="A1">
      <selection activeCell="A1" sqref="A1:IV7"/>
    </sheetView>
  </sheetViews>
  <sheetFormatPr defaultColWidth="9.140625" defaultRowHeight="15"/>
  <cols>
    <col min="1" max="1" width="2.8515625" style="0" customWidth="1"/>
    <col min="2" max="2" width="7.7109375" style="1" customWidth="1"/>
    <col min="3" max="3" width="6.421875" style="1" customWidth="1"/>
    <col min="4" max="4" width="37.8515625" style="0" customWidth="1"/>
    <col min="5" max="5" width="12.7109375" style="0" customWidth="1"/>
    <col min="6" max="6" width="14.421875" style="0" customWidth="1"/>
    <col min="7" max="7" width="13.00390625" style="0" customWidth="1"/>
    <col min="8" max="8" width="11.7109375" style="0" customWidth="1"/>
    <col min="9" max="9" width="13.57421875" style="0" customWidth="1"/>
    <col min="10" max="10" width="1.7109375" style="2" customWidth="1"/>
    <col min="11" max="11" width="14.28125" style="0" customWidth="1"/>
    <col min="12" max="12" width="13.421875" style="0" customWidth="1"/>
    <col min="13" max="13" width="11.8515625" style="0" customWidth="1"/>
    <col min="14" max="14" width="14.57421875" style="0" bestFit="1" customWidth="1"/>
    <col min="15" max="15" width="14.140625" style="0" bestFit="1" customWidth="1"/>
  </cols>
  <sheetData>
    <row r="1" spans="2:15" ht="15">
      <c r="B1" s="54"/>
      <c r="C1" s="54"/>
      <c r="N1" s="3" t="s">
        <v>0</v>
      </c>
      <c r="O1" s="4" t="s">
        <v>61</v>
      </c>
    </row>
    <row r="2" spans="2:14" s="66" customFormat="1" ht="15">
      <c r="B2" s="65"/>
      <c r="C2" s="65"/>
      <c r="J2" s="7"/>
      <c r="N2" s="67"/>
    </row>
    <row r="3" spans="2:14" s="66" customFormat="1" ht="15">
      <c r="B3" s="65"/>
      <c r="C3" s="65"/>
      <c r="J3" s="7"/>
      <c r="N3" s="67"/>
    </row>
    <row r="4" spans="2:14" s="66" customFormat="1" ht="15">
      <c r="B4" s="65"/>
      <c r="C4" s="65"/>
      <c r="J4" s="7"/>
      <c r="N4" s="67"/>
    </row>
    <row r="5" spans="2:14" s="66" customFormat="1" ht="15">
      <c r="B5" s="65"/>
      <c r="C5" s="65"/>
      <c r="J5" s="7"/>
      <c r="N5" s="67"/>
    </row>
    <row r="6" spans="2:14" s="66" customFormat="1" ht="9" customHeight="1">
      <c r="B6" s="65"/>
      <c r="C6" s="65"/>
      <c r="J6" s="7"/>
      <c r="N6" s="67"/>
    </row>
    <row r="7" spans="2:15" s="66" customFormat="1" ht="15">
      <c r="B7" s="65"/>
      <c r="C7" s="65"/>
      <c r="J7" s="7"/>
      <c r="N7" s="67"/>
      <c r="O7" s="68"/>
    </row>
    <row r="8" ht="9" customHeight="1"/>
    <row r="9" spans="6:9" ht="20.25" customHeight="1">
      <c r="F9" s="57" t="s">
        <v>1</v>
      </c>
      <c r="G9" s="57"/>
      <c r="H9" s="57"/>
      <c r="I9" s="57"/>
    </row>
    <row r="10" spans="6:10" ht="18">
      <c r="F10" s="57" t="s">
        <v>2</v>
      </c>
      <c r="G10" s="57"/>
      <c r="H10" s="57"/>
      <c r="I10" s="57"/>
      <c r="J10" s="57"/>
    </row>
    <row r="12" spans="6:9" ht="15">
      <c r="F12" s="5" t="s">
        <v>3</v>
      </c>
      <c r="G12" s="58">
        <v>2010</v>
      </c>
      <c r="H12" s="58"/>
      <c r="I12" s="6"/>
    </row>
    <row r="14" spans="5:15" ht="15">
      <c r="E14" s="7"/>
      <c r="F14" s="59" t="s">
        <v>4</v>
      </c>
      <c r="G14" s="60"/>
      <c r="H14" s="60"/>
      <c r="I14" s="61"/>
      <c r="K14" s="8"/>
      <c r="L14" s="9" t="s">
        <v>5</v>
      </c>
      <c r="M14" s="9"/>
      <c r="N14" s="10"/>
      <c r="O14" s="2"/>
    </row>
    <row r="15" spans="2:15" ht="26.25">
      <c r="B15" s="11" t="s">
        <v>6</v>
      </c>
      <c r="C15" s="12" t="s">
        <v>7</v>
      </c>
      <c r="D15" s="13" t="s">
        <v>8</v>
      </c>
      <c r="E15" s="11" t="s">
        <v>9</v>
      </c>
      <c r="F15" s="11" t="s">
        <v>10</v>
      </c>
      <c r="G15" s="12" t="s">
        <v>11</v>
      </c>
      <c r="H15" s="12" t="s">
        <v>12</v>
      </c>
      <c r="I15" s="11" t="s">
        <v>13</v>
      </c>
      <c r="J15" s="14"/>
      <c r="K15" s="15" t="s">
        <v>10</v>
      </c>
      <c r="L15" s="16" t="s">
        <v>11</v>
      </c>
      <c r="M15" s="16" t="s">
        <v>12</v>
      </c>
      <c r="N15" s="17" t="s">
        <v>13</v>
      </c>
      <c r="O15" s="11" t="s">
        <v>14</v>
      </c>
    </row>
    <row r="16" spans="2:15" ht="15">
      <c r="B16" s="18" t="s">
        <v>15</v>
      </c>
      <c r="C16" s="18">
        <v>1805</v>
      </c>
      <c r="D16" s="19" t="s">
        <v>16</v>
      </c>
      <c r="E16" s="20"/>
      <c r="F16" s="21">
        <f>'2009'!I16</f>
        <v>150428.71000000002</v>
      </c>
      <c r="G16" s="21">
        <v>244.36</v>
      </c>
      <c r="H16" s="21"/>
      <c r="I16" s="22">
        <f>F16+G16+H16</f>
        <v>150673.07</v>
      </c>
      <c r="J16" s="23"/>
      <c r="K16" s="24">
        <f>'2009'!N16</f>
        <v>0</v>
      </c>
      <c r="L16" s="21">
        <f>'2009'!L16-(('2010'!G16*'2010'!E16)/2)-(('2009'!G16*'2010'!E16)/2)</f>
        <v>0</v>
      </c>
      <c r="M16" s="21"/>
      <c r="N16" s="22">
        <f>K16+L16+M16</f>
        <v>0</v>
      </c>
      <c r="O16" s="25">
        <f>I16+N16</f>
        <v>150673.07</v>
      </c>
    </row>
    <row r="17" spans="2:15" ht="15">
      <c r="B17" s="18">
        <v>47</v>
      </c>
      <c r="C17" s="18">
        <v>1808</v>
      </c>
      <c r="D17" s="19" t="s">
        <v>17</v>
      </c>
      <c r="E17" s="20">
        <f>1/25</f>
        <v>0.04</v>
      </c>
      <c r="F17" s="21">
        <f>'2009'!I17</f>
        <v>148263.12</v>
      </c>
      <c r="G17" s="21">
        <v>6292</v>
      </c>
      <c r="H17" s="21"/>
      <c r="I17" s="22">
        <f aca="true" t="shared" si="0" ref="I17:I52">F17+G17+H17</f>
        <v>154555.12</v>
      </c>
      <c r="J17" s="23"/>
      <c r="K17" s="24">
        <f>'2009'!N17</f>
        <v>-43408.9324</v>
      </c>
      <c r="L17" s="21">
        <f>'2009'!L17-(('2010'!G17*'2010'!E17)/2)-(('2009'!G17*'2010'!E17)/2)</f>
        <v>-5994.1548</v>
      </c>
      <c r="M17" s="21"/>
      <c r="N17" s="22">
        <f aca="true" t="shared" si="1" ref="N17:N52">K17+L17+M17</f>
        <v>-49403.087199999994</v>
      </c>
      <c r="O17" s="25">
        <f aca="true" t="shared" si="2" ref="O17:O54">I17+N17</f>
        <v>105152.0328</v>
      </c>
    </row>
    <row r="18" spans="2:15" ht="15">
      <c r="B18" s="18">
        <v>13</v>
      </c>
      <c r="C18" s="18">
        <v>1810</v>
      </c>
      <c r="D18" s="19" t="s">
        <v>18</v>
      </c>
      <c r="E18" s="20">
        <f>1/10</f>
        <v>0.1</v>
      </c>
      <c r="F18" s="21">
        <f>'2009'!I18</f>
        <v>7040</v>
      </c>
      <c r="G18" s="21"/>
      <c r="H18" s="21"/>
      <c r="I18" s="22">
        <f t="shared" si="0"/>
        <v>7040</v>
      </c>
      <c r="J18" s="23"/>
      <c r="K18" s="24">
        <f>'2009'!N18</f>
        <v>-5632</v>
      </c>
      <c r="L18" s="21">
        <f>'2009'!L18-(('2010'!G18*'2010'!E18)/2)-(('2009'!G18*'2010'!E18)/2)</f>
        <v>-1408</v>
      </c>
      <c r="M18" s="21"/>
      <c r="N18" s="22">
        <f t="shared" si="1"/>
        <v>-7040</v>
      </c>
      <c r="O18" s="25">
        <f t="shared" si="2"/>
        <v>0</v>
      </c>
    </row>
    <row r="19" spans="2:15" ht="15">
      <c r="B19" s="18">
        <v>47</v>
      </c>
      <c r="C19" s="18">
        <v>1815</v>
      </c>
      <c r="D19" s="19" t="s">
        <v>19</v>
      </c>
      <c r="E19" s="20"/>
      <c r="F19" s="21">
        <f>'2009'!I19</f>
        <v>0</v>
      </c>
      <c r="G19" s="21"/>
      <c r="H19" s="21"/>
      <c r="I19" s="22">
        <f t="shared" si="0"/>
        <v>0</v>
      </c>
      <c r="J19" s="23"/>
      <c r="K19" s="24">
        <f>'2009'!N19</f>
        <v>0</v>
      </c>
      <c r="L19" s="21">
        <f>'2009'!L19-(('2010'!G19*'2010'!E19)/2)-(('2009'!G19*'2010'!E19)/2)</f>
        <v>0</v>
      </c>
      <c r="M19" s="21"/>
      <c r="N19" s="22">
        <f t="shared" si="1"/>
        <v>0</v>
      </c>
      <c r="O19" s="25">
        <f t="shared" si="2"/>
        <v>0</v>
      </c>
    </row>
    <row r="20" spans="2:15" ht="15">
      <c r="B20" s="18">
        <v>47</v>
      </c>
      <c r="C20" s="18">
        <v>1820</v>
      </c>
      <c r="D20" s="26" t="s">
        <v>20</v>
      </c>
      <c r="E20" s="20">
        <f>1/25</f>
        <v>0.04</v>
      </c>
      <c r="F20" s="21">
        <f>'2009'!I20</f>
        <v>499228.76</v>
      </c>
      <c r="G20" s="21"/>
      <c r="H20" s="21"/>
      <c r="I20" s="22">
        <f t="shared" si="0"/>
        <v>499228.76</v>
      </c>
      <c r="J20" s="23"/>
      <c r="K20" s="24">
        <f>'2009'!N20</f>
        <v>-199033.73959999997</v>
      </c>
      <c r="L20" s="21">
        <f>'2009'!L20-(('2010'!G20*'2010'!E20)/2)-(('2009'!G20*'2010'!E20)/2)</f>
        <v>-17936.5396</v>
      </c>
      <c r="M20" s="21"/>
      <c r="N20" s="22">
        <f t="shared" si="1"/>
        <v>-216970.27919999996</v>
      </c>
      <c r="O20" s="25">
        <f t="shared" si="2"/>
        <v>282258.4808</v>
      </c>
    </row>
    <row r="21" spans="2:15" ht="15">
      <c r="B21" s="18">
        <v>47</v>
      </c>
      <c r="C21" s="18">
        <v>1825</v>
      </c>
      <c r="D21" s="19" t="s">
        <v>21</v>
      </c>
      <c r="E21" s="20">
        <f aca="true" t="shared" si="3" ref="E21:E28">1/25</f>
        <v>0.04</v>
      </c>
      <c r="F21" s="21">
        <f>'2009'!I21</f>
        <v>0</v>
      </c>
      <c r="G21" s="21"/>
      <c r="H21" s="21"/>
      <c r="I21" s="22">
        <f t="shared" si="0"/>
        <v>0</v>
      </c>
      <c r="J21" s="23"/>
      <c r="K21" s="24">
        <f>'2009'!N21</f>
        <v>0</v>
      </c>
      <c r="L21" s="21">
        <f>'2009'!L21-(('2010'!G21*'2010'!E21)/2)-(('2009'!G21*'2010'!E21)/2)</f>
        <v>0</v>
      </c>
      <c r="M21" s="21"/>
      <c r="N21" s="22">
        <f t="shared" si="1"/>
        <v>0</v>
      </c>
      <c r="O21" s="25">
        <f t="shared" si="2"/>
        <v>0</v>
      </c>
    </row>
    <row r="22" spans="2:15" ht="15">
      <c r="B22" s="18">
        <v>47</v>
      </c>
      <c r="C22" s="18">
        <v>1830</v>
      </c>
      <c r="D22" s="19" t="s">
        <v>22</v>
      </c>
      <c r="E22" s="20">
        <f t="shared" si="3"/>
        <v>0.04</v>
      </c>
      <c r="F22" s="21">
        <f>'2009'!I22</f>
        <v>4660838.59</v>
      </c>
      <c r="G22" s="21">
        <f>289074.34+94090.29+24088.85</f>
        <v>407253.48</v>
      </c>
      <c r="H22" s="21"/>
      <c r="I22" s="22">
        <f t="shared" si="0"/>
        <v>5068092.07</v>
      </c>
      <c r="J22" s="23"/>
      <c r="K22" s="24">
        <f>'2009'!N22</f>
        <v>-1773596.6392</v>
      </c>
      <c r="L22" s="21">
        <f>'2009'!L22-(('2010'!G22*'2010'!E22)/2)-(('2009'!G22*'2010'!E22)/2)</f>
        <v>-219798.67440000002</v>
      </c>
      <c r="M22" s="21"/>
      <c r="N22" s="22">
        <f t="shared" si="1"/>
        <v>-1993395.3136</v>
      </c>
      <c r="O22" s="25">
        <f t="shared" si="2"/>
        <v>3074696.7564000003</v>
      </c>
    </row>
    <row r="23" spans="2:15" ht="15">
      <c r="B23" s="18">
        <v>47</v>
      </c>
      <c r="C23" s="18">
        <v>1835</v>
      </c>
      <c r="D23" s="19" t="s">
        <v>23</v>
      </c>
      <c r="E23" s="20">
        <f t="shared" si="3"/>
        <v>0.04</v>
      </c>
      <c r="F23" s="21">
        <f>'2009'!I23</f>
        <v>9531431.7</v>
      </c>
      <c r="G23" s="21">
        <f>526507.43+59628.21+37902.35</f>
        <v>624037.99</v>
      </c>
      <c r="H23" s="21"/>
      <c r="I23" s="22">
        <f t="shared" si="0"/>
        <v>10155469.69</v>
      </c>
      <c r="J23" s="23"/>
      <c r="K23" s="24">
        <f>'2009'!N23</f>
        <v>-2382864.3064</v>
      </c>
      <c r="L23" s="21">
        <f>'2009'!L23-(('2010'!G23*'2010'!E23)/2)-(('2009'!G23*'2010'!E23)/2)</f>
        <v>-366490.075</v>
      </c>
      <c r="M23" s="21"/>
      <c r="N23" s="22">
        <f t="shared" si="1"/>
        <v>-2749354.3814000003</v>
      </c>
      <c r="O23" s="25">
        <f t="shared" si="2"/>
        <v>7406115.308599999</v>
      </c>
    </row>
    <row r="24" spans="2:15" ht="15">
      <c r="B24" s="18">
        <v>47</v>
      </c>
      <c r="C24" s="18">
        <v>1840</v>
      </c>
      <c r="D24" s="19" t="s">
        <v>24</v>
      </c>
      <c r="E24" s="20">
        <f t="shared" si="3"/>
        <v>0.04</v>
      </c>
      <c r="F24" s="21">
        <f>'2009'!I24</f>
        <v>2212620.065</v>
      </c>
      <c r="G24" s="21">
        <f>45309.57+16615.64+8235.96</f>
        <v>70161.17</v>
      </c>
      <c r="H24" s="21"/>
      <c r="I24" s="22">
        <f t="shared" si="0"/>
        <v>2282781.235</v>
      </c>
      <c r="J24" s="23"/>
      <c r="K24" s="24">
        <f>'2009'!N24</f>
        <v>-956621.6534</v>
      </c>
      <c r="L24" s="21">
        <f>'2009'!L24-(('2010'!G24*'2010'!E24)/2)-(('2009'!G24*'2010'!E24)/2)</f>
        <v>-102782.28799999999</v>
      </c>
      <c r="M24" s="21"/>
      <c r="N24" s="22">
        <f t="shared" si="1"/>
        <v>-1059403.9414</v>
      </c>
      <c r="O24" s="25">
        <f t="shared" si="2"/>
        <v>1223377.2936</v>
      </c>
    </row>
    <row r="25" spans="2:15" ht="15">
      <c r="B25" s="18">
        <v>47</v>
      </c>
      <c r="C25" s="18">
        <v>1845</v>
      </c>
      <c r="D25" s="19" t="s">
        <v>25</v>
      </c>
      <c r="E25" s="20">
        <f t="shared" si="3"/>
        <v>0.04</v>
      </c>
      <c r="F25" s="21">
        <f>'2009'!I25</f>
        <v>4748171.94</v>
      </c>
      <c r="G25" s="21">
        <f>141484.39+13283.91+8877.34</f>
        <v>163645.64</v>
      </c>
      <c r="H25" s="21"/>
      <c r="I25" s="22">
        <f t="shared" si="0"/>
        <v>4911817.58</v>
      </c>
      <c r="J25" s="23"/>
      <c r="K25" s="24">
        <f>'2009'!N25</f>
        <v>-1096746.9768</v>
      </c>
      <c r="L25" s="21">
        <f>'2009'!L25-(('2010'!G25*'2010'!E25)/2)-(('2009'!G25*'2010'!E25)/2)</f>
        <v>-191932.79059999998</v>
      </c>
      <c r="M25" s="21"/>
      <c r="N25" s="22">
        <f t="shared" si="1"/>
        <v>-1288679.7674</v>
      </c>
      <c r="O25" s="25">
        <f t="shared" si="2"/>
        <v>3623137.8126</v>
      </c>
    </row>
    <row r="26" spans="2:15" ht="15">
      <c r="B26" s="18">
        <v>47</v>
      </c>
      <c r="C26" s="18">
        <v>1850</v>
      </c>
      <c r="D26" s="19" t="s">
        <v>26</v>
      </c>
      <c r="E26" s="20">
        <f t="shared" si="3"/>
        <v>0.04</v>
      </c>
      <c r="F26" s="21">
        <f>'2009'!I26</f>
        <v>5975585.149999999</v>
      </c>
      <c r="G26" s="21">
        <f>354183.76+39587.24+83982.07</f>
        <v>477753.07</v>
      </c>
      <c r="H26" s="21"/>
      <c r="I26" s="22">
        <f t="shared" si="0"/>
        <v>6453338.22</v>
      </c>
      <c r="J26" s="23"/>
      <c r="K26" s="24">
        <f>'2009'!N26</f>
        <v>-2019670.2214</v>
      </c>
      <c r="L26" s="21">
        <f>'2009'!L26-(('2010'!G26*'2010'!E26)/2)-(('2009'!G26*'2010'!E26)/2)</f>
        <v>-256839.38060000003</v>
      </c>
      <c r="M26" s="21"/>
      <c r="N26" s="22">
        <f t="shared" si="1"/>
        <v>-2276509.602</v>
      </c>
      <c r="O26" s="25">
        <f t="shared" si="2"/>
        <v>4176828.618</v>
      </c>
    </row>
    <row r="27" spans="2:15" ht="15">
      <c r="B27" s="18">
        <v>47</v>
      </c>
      <c r="C27" s="18">
        <v>1855</v>
      </c>
      <c r="D27" s="19" t="s">
        <v>27</v>
      </c>
      <c r="E27" s="20">
        <f t="shared" si="3"/>
        <v>0.04</v>
      </c>
      <c r="F27" s="21">
        <f>'2009'!I27</f>
        <v>2797273.8800000004</v>
      </c>
      <c r="G27" s="21">
        <f>206867+9001.01+5117.77+18871.82+81</f>
        <v>239938.6</v>
      </c>
      <c r="H27" s="21"/>
      <c r="I27" s="22">
        <f t="shared" si="0"/>
        <v>3037212.4800000004</v>
      </c>
      <c r="J27" s="23"/>
      <c r="K27" s="24">
        <f>'2009'!N27</f>
        <v>-636881.1806</v>
      </c>
      <c r="L27" s="21">
        <f>'2009'!L27-(('2010'!G27*'2010'!E27)/2)-(('2009'!G27*'2010'!E27)/2)</f>
        <v>-109244.14</v>
      </c>
      <c r="M27" s="21"/>
      <c r="N27" s="22">
        <f t="shared" si="1"/>
        <v>-746125.3206</v>
      </c>
      <c r="O27" s="25">
        <f t="shared" si="2"/>
        <v>2291087.1594000002</v>
      </c>
    </row>
    <row r="28" spans="2:15" ht="15">
      <c r="B28" s="18">
        <v>47</v>
      </c>
      <c r="C28" s="18">
        <v>1860</v>
      </c>
      <c r="D28" s="19" t="s">
        <v>28</v>
      </c>
      <c r="E28" s="20">
        <f t="shared" si="3"/>
        <v>0.04</v>
      </c>
      <c r="F28" s="21">
        <f>'2009'!I28</f>
        <v>2721532.0850000004</v>
      </c>
      <c r="G28" s="21">
        <f>49902.43+53306.96</f>
        <v>103209.39</v>
      </c>
      <c r="H28" s="21"/>
      <c r="I28" s="22">
        <f t="shared" si="0"/>
        <v>2824741.4750000006</v>
      </c>
      <c r="J28" s="23"/>
      <c r="K28" s="24">
        <f>'2009'!N28</f>
        <v>-810490.3312000001</v>
      </c>
      <c r="L28" s="21">
        <f>'2009'!L28-(('2010'!G28*'2010'!E28)/2)-(('2009'!G28*'2010'!E28)/2)</f>
        <v>-101965.85300000002</v>
      </c>
      <c r="M28" s="21"/>
      <c r="N28" s="22">
        <f t="shared" si="1"/>
        <v>-912456.1842000001</v>
      </c>
      <c r="O28" s="25">
        <f t="shared" si="2"/>
        <v>1912285.2908000005</v>
      </c>
    </row>
    <row r="29" spans="2:15" ht="15">
      <c r="B29" s="18">
        <v>47</v>
      </c>
      <c r="C29" s="18">
        <v>1860</v>
      </c>
      <c r="D29" s="19" t="s">
        <v>29</v>
      </c>
      <c r="E29" s="20"/>
      <c r="F29" s="21">
        <f>'2009'!I29</f>
        <v>0</v>
      </c>
      <c r="G29" s="21"/>
      <c r="H29" s="21"/>
      <c r="I29" s="22">
        <f t="shared" si="0"/>
        <v>0</v>
      </c>
      <c r="J29" s="23"/>
      <c r="K29" s="24">
        <f>'2009'!N29</f>
        <v>0</v>
      </c>
      <c r="L29" s="21">
        <f>'2009'!L29-(('2010'!G29*'2010'!E29)/2)-(('2009'!G29*'2010'!E29)/2)</f>
        <v>0</v>
      </c>
      <c r="M29" s="21"/>
      <c r="N29" s="22">
        <f t="shared" si="1"/>
        <v>0</v>
      </c>
      <c r="O29" s="25">
        <f t="shared" si="2"/>
        <v>0</v>
      </c>
    </row>
    <row r="30" spans="2:15" ht="15">
      <c r="B30" s="18" t="s">
        <v>15</v>
      </c>
      <c r="C30" s="18">
        <v>1905</v>
      </c>
      <c r="D30" s="19" t="s">
        <v>16</v>
      </c>
      <c r="E30" s="20"/>
      <c r="F30" s="21">
        <f>'2009'!I30</f>
        <v>0</v>
      </c>
      <c r="G30" s="21"/>
      <c r="H30" s="21"/>
      <c r="I30" s="22">
        <f t="shared" si="0"/>
        <v>0</v>
      </c>
      <c r="J30" s="23"/>
      <c r="K30" s="24">
        <f>'2009'!N30</f>
        <v>0</v>
      </c>
      <c r="L30" s="21">
        <f>'2009'!L30-(('2010'!G30*'2010'!E30)/2)-(('2009'!G30*'2010'!E30)/2)</f>
        <v>0</v>
      </c>
      <c r="M30" s="21"/>
      <c r="N30" s="22">
        <f t="shared" si="1"/>
        <v>0</v>
      </c>
      <c r="O30" s="25">
        <f t="shared" si="2"/>
        <v>0</v>
      </c>
    </row>
    <row r="31" spans="2:15" ht="15">
      <c r="B31" s="18" t="s">
        <v>30</v>
      </c>
      <c r="C31" s="18">
        <v>1906</v>
      </c>
      <c r="D31" s="19" t="s">
        <v>31</v>
      </c>
      <c r="E31" s="20"/>
      <c r="F31" s="21">
        <f>'2009'!I31</f>
        <v>0</v>
      </c>
      <c r="G31" s="21"/>
      <c r="H31" s="21"/>
      <c r="I31" s="22">
        <f t="shared" si="0"/>
        <v>0</v>
      </c>
      <c r="J31" s="23"/>
      <c r="K31" s="24">
        <f>'2009'!N31</f>
        <v>0</v>
      </c>
      <c r="L31" s="21">
        <f>'2009'!L31-(('2010'!G31*'2010'!E31)/2)-(('2009'!G31*'2010'!E31)/2)</f>
        <v>0</v>
      </c>
      <c r="M31" s="21"/>
      <c r="N31" s="22">
        <f t="shared" si="1"/>
        <v>0</v>
      </c>
      <c r="O31" s="25">
        <f t="shared" si="2"/>
        <v>0</v>
      </c>
    </row>
    <row r="32" spans="2:15" ht="15">
      <c r="B32" s="18">
        <v>47</v>
      </c>
      <c r="C32" s="18">
        <v>1908</v>
      </c>
      <c r="D32" s="19" t="s">
        <v>32</v>
      </c>
      <c r="E32" s="20"/>
      <c r="F32" s="21">
        <f>'2009'!I32</f>
        <v>0</v>
      </c>
      <c r="G32" s="21"/>
      <c r="H32" s="21"/>
      <c r="I32" s="22">
        <f t="shared" si="0"/>
        <v>0</v>
      </c>
      <c r="J32" s="23"/>
      <c r="K32" s="24">
        <f>'2009'!N32</f>
        <v>0</v>
      </c>
      <c r="L32" s="21">
        <f>'2009'!L32-(('2010'!G32*'2010'!E32)/2)-(('2009'!G32*'2010'!E32)/2)</f>
        <v>0</v>
      </c>
      <c r="M32" s="21"/>
      <c r="N32" s="22">
        <f t="shared" si="1"/>
        <v>0</v>
      </c>
      <c r="O32" s="25">
        <f t="shared" si="2"/>
        <v>0</v>
      </c>
    </row>
    <row r="33" spans="2:15" ht="15">
      <c r="B33" s="18">
        <v>13</v>
      </c>
      <c r="C33" s="18">
        <v>1910</v>
      </c>
      <c r="D33" s="19" t="s">
        <v>18</v>
      </c>
      <c r="E33" s="20"/>
      <c r="F33" s="21">
        <f>'2009'!I33</f>
        <v>0</v>
      </c>
      <c r="G33" s="21"/>
      <c r="H33" s="21"/>
      <c r="I33" s="22">
        <f t="shared" si="0"/>
        <v>0</v>
      </c>
      <c r="J33" s="23"/>
      <c r="K33" s="24">
        <f>'2009'!N33</f>
        <v>0</v>
      </c>
      <c r="L33" s="21">
        <f>'2009'!L33-(('2010'!G33*'2010'!E33)/2)-(('2009'!G33*'2010'!E33)/2)</f>
        <v>0</v>
      </c>
      <c r="M33" s="21"/>
      <c r="N33" s="22">
        <f t="shared" si="1"/>
        <v>0</v>
      </c>
      <c r="O33" s="25">
        <f t="shared" si="2"/>
        <v>0</v>
      </c>
    </row>
    <row r="34" spans="2:15" ht="15">
      <c r="B34" s="18">
        <v>8</v>
      </c>
      <c r="C34" s="18">
        <v>1915</v>
      </c>
      <c r="D34" s="19" t="s">
        <v>33</v>
      </c>
      <c r="E34" s="20">
        <f>1/10</f>
        <v>0.1</v>
      </c>
      <c r="F34" s="21">
        <f>'2009'!I34</f>
        <v>58466.259999999995</v>
      </c>
      <c r="G34" s="21">
        <f>6257.84+2663</f>
        <v>8920.84</v>
      </c>
      <c r="H34" s="21"/>
      <c r="I34" s="22">
        <f t="shared" si="0"/>
        <v>67387.09999999999</v>
      </c>
      <c r="J34" s="23"/>
      <c r="K34" s="24">
        <f>'2009'!N34</f>
        <v>-51142.306</v>
      </c>
      <c r="L34" s="21">
        <f>'2009'!L34-(('2010'!G34*'2010'!E34)/2)-(('2009'!G34*'2010'!E34)/2)</f>
        <v>-3380.0640000000003</v>
      </c>
      <c r="M34" s="21"/>
      <c r="N34" s="22">
        <f t="shared" si="1"/>
        <v>-54522.369999999995</v>
      </c>
      <c r="O34" s="25">
        <f t="shared" si="2"/>
        <v>12864.729999999996</v>
      </c>
    </row>
    <row r="35" spans="2:15" ht="15">
      <c r="B35" s="18">
        <v>8</v>
      </c>
      <c r="C35" s="18">
        <v>1915</v>
      </c>
      <c r="D35" s="19" t="s">
        <v>34</v>
      </c>
      <c r="E35" s="20">
        <f>1/5</f>
        <v>0.2</v>
      </c>
      <c r="F35" s="21">
        <f>'2009'!I35</f>
        <v>5594.49</v>
      </c>
      <c r="G35" s="21"/>
      <c r="H35" s="21"/>
      <c r="I35" s="22">
        <f t="shared" si="0"/>
        <v>5594.49</v>
      </c>
      <c r="J35" s="23"/>
      <c r="K35" s="24">
        <f>'2009'!N35</f>
        <v>-559.449</v>
      </c>
      <c r="L35" s="21">
        <f>'2009'!L35-(('2010'!G35*'2010'!E35)/2)-(('2009'!G35*'2010'!E35)/2)</f>
        <v>-559.449</v>
      </c>
      <c r="M35" s="21"/>
      <c r="N35" s="22">
        <f t="shared" si="1"/>
        <v>-1118.898</v>
      </c>
      <c r="O35" s="25">
        <f t="shared" si="2"/>
        <v>4475.592</v>
      </c>
    </row>
    <row r="36" spans="2:15" ht="15">
      <c r="B36" s="18">
        <v>10</v>
      </c>
      <c r="C36" s="18">
        <v>1920</v>
      </c>
      <c r="D36" s="19" t="s">
        <v>35</v>
      </c>
      <c r="E36" s="20">
        <f>1/5</f>
        <v>0.2</v>
      </c>
      <c r="F36" s="21">
        <f>'2009'!I36</f>
        <v>80632.78</v>
      </c>
      <c r="G36" s="21">
        <f>2564.35</f>
        <v>2564.35</v>
      </c>
      <c r="H36" s="21"/>
      <c r="I36" s="22">
        <f t="shared" si="0"/>
        <v>83197.13</v>
      </c>
      <c r="J36" s="23"/>
      <c r="K36" s="24">
        <f>'2009'!N36</f>
        <v>-80544.743</v>
      </c>
      <c r="L36" s="21">
        <f>'2009'!L36-(('2010'!G36*'2010'!E36)/2)-(('2009'!G36*'2010'!E36)/2)</f>
        <v>-7842.372</v>
      </c>
      <c r="M36" s="21"/>
      <c r="N36" s="22">
        <f t="shared" si="1"/>
        <v>-88387.115</v>
      </c>
      <c r="O36" s="25">
        <f t="shared" si="2"/>
        <v>-5189.985000000001</v>
      </c>
    </row>
    <row r="37" spans="2:15" ht="15">
      <c r="B37" s="18">
        <v>45</v>
      </c>
      <c r="C37" s="27">
        <v>1920</v>
      </c>
      <c r="D37" s="26" t="s">
        <v>36</v>
      </c>
      <c r="E37" s="20"/>
      <c r="F37" s="21">
        <f>'2009'!I37</f>
        <v>0</v>
      </c>
      <c r="G37" s="21"/>
      <c r="H37" s="21"/>
      <c r="I37" s="22">
        <f t="shared" si="0"/>
        <v>0</v>
      </c>
      <c r="J37" s="23"/>
      <c r="K37" s="24">
        <f>'2009'!N37</f>
        <v>0</v>
      </c>
      <c r="L37" s="21">
        <f>'2009'!L37-(('2010'!G37*'2010'!E37)/2)-(('2009'!G37*'2010'!E37)/2)</f>
        <v>0</v>
      </c>
      <c r="M37" s="21"/>
      <c r="N37" s="22">
        <f t="shared" si="1"/>
        <v>0</v>
      </c>
      <c r="O37" s="25">
        <f t="shared" si="2"/>
        <v>0</v>
      </c>
    </row>
    <row r="38" spans="2:15" ht="15">
      <c r="B38" s="18">
        <v>45.1</v>
      </c>
      <c r="C38" s="27">
        <v>1920</v>
      </c>
      <c r="D38" s="26" t="s">
        <v>37</v>
      </c>
      <c r="E38" s="20"/>
      <c r="F38" s="21">
        <f>'2009'!I38</f>
        <v>0</v>
      </c>
      <c r="G38" s="21"/>
      <c r="H38" s="21"/>
      <c r="I38" s="22">
        <f t="shared" si="0"/>
        <v>0</v>
      </c>
      <c r="J38" s="23"/>
      <c r="K38" s="24">
        <f>'2009'!N38</f>
        <v>0</v>
      </c>
      <c r="L38" s="21">
        <f>'2009'!L38-(('2010'!G38*'2010'!E38)/2)-(('2009'!G38*'2010'!E38)/2)</f>
        <v>0</v>
      </c>
      <c r="M38" s="21"/>
      <c r="N38" s="22">
        <f t="shared" si="1"/>
        <v>0</v>
      </c>
      <c r="O38" s="25">
        <f t="shared" si="2"/>
        <v>0</v>
      </c>
    </row>
    <row r="39" spans="2:15" ht="15">
      <c r="B39" s="18">
        <v>12</v>
      </c>
      <c r="C39" s="18">
        <v>1925</v>
      </c>
      <c r="D39" s="19" t="s">
        <v>38</v>
      </c>
      <c r="E39" s="20">
        <f>1/5</f>
        <v>0.2</v>
      </c>
      <c r="F39" s="21">
        <f>'2009'!I39</f>
        <v>610688.04</v>
      </c>
      <c r="G39" s="21">
        <f>61396.19</f>
        <v>61396.19</v>
      </c>
      <c r="H39" s="21"/>
      <c r="I39" s="22">
        <f t="shared" si="0"/>
        <v>672084.23</v>
      </c>
      <c r="J39" s="23"/>
      <c r="K39" s="24">
        <f>'2009'!N39</f>
        <v>-463274.302</v>
      </c>
      <c r="L39" s="21">
        <f>'2009'!L39-(('2010'!G39*'2010'!E39)/2)-(('2009'!G39*'2010'!E39)/2)</f>
        <v>-101275.713</v>
      </c>
      <c r="M39" s="21"/>
      <c r="N39" s="22">
        <f t="shared" si="1"/>
        <v>-564550.015</v>
      </c>
      <c r="O39" s="25">
        <f t="shared" si="2"/>
        <v>107534.21499999997</v>
      </c>
    </row>
    <row r="40" spans="2:15" ht="15">
      <c r="B40" s="18">
        <v>10</v>
      </c>
      <c r="C40" s="18">
        <v>1930</v>
      </c>
      <c r="D40" s="19" t="s">
        <v>39</v>
      </c>
      <c r="E40" s="20">
        <f>1/8</f>
        <v>0.125</v>
      </c>
      <c r="F40" s="21">
        <f>'2009'!I40</f>
        <v>224426.45</v>
      </c>
      <c r="G40" s="21">
        <f>1576862.06-12000+306473.38</f>
        <v>1871335.44</v>
      </c>
      <c r="H40" s="21"/>
      <c r="I40" s="22">
        <f t="shared" si="0"/>
        <v>2095761.89</v>
      </c>
      <c r="J40" s="23"/>
      <c r="K40" s="24">
        <f>'2009'!N40</f>
        <v>-48721.541875</v>
      </c>
      <c r="L40" s="21">
        <f>'2009'!L40-(('2010'!G40*'2010'!E40)/2)-(('2009'!G40*'2010'!E40)/2)</f>
        <v>-147381.37875</v>
      </c>
      <c r="M40" s="21"/>
      <c r="N40" s="22">
        <f t="shared" si="1"/>
        <v>-196102.920625</v>
      </c>
      <c r="O40" s="25">
        <f t="shared" si="2"/>
        <v>1899658.9693749999</v>
      </c>
    </row>
    <row r="41" spans="2:15" ht="15">
      <c r="B41" s="18">
        <v>8</v>
      </c>
      <c r="C41" s="18">
        <v>1935</v>
      </c>
      <c r="D41" s="19" t="s">
        <v>40</v>
      </c>
      <c r="E41" s="20">
        <f>1/5</f>
        <v>0.2</v>
      </c>
      <c r="F41" s="21">
        <f>'2009'!I41</f>
        <v>531.3199999999999</v>
      </c>
      <c r="G41" s="21">
        <v>723.1</v>
      </c>
      <c r="H41" s="21"/>
      <c r="I41" s="22">
        <f t="shared" si="0"/>
        <v>1254.42</v>
      </c>
      <c r="J41" s="23"/>
      <c r="K41" s="24">
        <f>'2009'!N41</f>
        <v>-511.332</v>
      </c>
      <c r="L41" s="21">
        <f>'2009'!L41-(('2010'!G41*'2010'!E41)/2)-(('2009'!G41*'2010'!E41)/2)</f>
        <v>-269.974</v>
      </c>
      <c r="M41" s="21"/>
      <c r="N41" s="22">
        <f t="shared" si="1"/>
        <v>-781.306</v>
      </c>
      <c r="O41" s="25">
        <f t="shared" si="2"/>
        <v>473.11400000000003</v>
      </c>
    </row>
    <row r="42" spans="2:15" ht="15">
      <c r="B42" s="18">
        <v>8</v>
      </c>
      <c r="C42" s="18">
        <v>1940</v>
      </c>
      <c r="D42" s="19" t="s">
        <v>41</v>
      </c>
      <c r="E42" s="20">
        <f>1/5</f>
        <v>0.2</v>
      </c>
      <c r="F42" s="21">
        <f>'2009'!I42</f>
        <v>94886.68000000001</v>
      </c>
      <c r="G42" s="21">
        <f>7741.62+13219.07+2660.94</f>
        <v>23621.629999999997</v>
      </c>
      <c r="H42" s="21"/>
      <c r="I42" s="22">
        <f t="shared" si="0"/>
        <v>118508.31</v>
      </c>
      <c r="J42" s="23"/>
      <c r="K42" s="24">
        <f>'2009'!N42</f>
        <v>-87166.01699999999</v>
      </c>
      <c r="L42" s="21">
        <f>'2009'!L42-(('2010'!G42*'2010'!E42)/2)-(('2009'!G42*'2010'!E42)/2)</f>
        <v>-10565.097</v>
      </c>
      <c r="M42" s="21"/>
      <c r="N42" s="22">
        <f t="shared" si="1"/>
        <v>-97731.11399999999</v>
      </c>
      <c r="O42" s="25">
        <f t="shared" si="2"/>
        <v>20777.19600000001</v>
      </c>
    </row>
    <row r="43" spans="2:15" ht="15">
      <c r="B43" s="18">
        <v>8</v>
      </c>
      <c r="C43" s="18">
        <v>1945</v>
      </c>
      <c r="D43" s="19" t="s">
        <v>42</v>
      </c>
      <c r="E43" s="20">
        <f>1/5</f>
        <v>0.2</v>
      </c>
      <c r="F43" s="21">
        <f>'2009'!I43</f>
        <v>14406.3</v>
      </c>
      <c r="G43" s="21"/>
      <c r="H43" s="21"/>
      <c r="I43" s="22">
        <f t="shared" si="0"/>
        <v>14406.3</v>
      </c>
      <c r="J43" s="23"/>
      <c r="K43" s="24">
        <f>'2009'!N43</f>
        <v>-422.93000000000006</v>
      </c>
      <c r="L43" s="21">
        <f>'2009'!L43-(('2010'!G43*'2010'!E43)/2)-(('2009'!G43*'2010'!E43)/2)</f>
        <v>-679.8600000000001</v>
      </c>
      <c r="M43" s="21"/>
      <c r="N43" s="22">
        <f t="shared" si="1"/>
        <v>-1102.7900000000002</v>
      </c>
      <c r="O43" s="25">
        <f t="shared" si="2"/>
        <v>13303.509999999998</v>
      </c>
    </row>
    <row r="44" spans="2:15" ht="15">
      <c r="B44" s="18">
        <v>8</v>
      </c>
      <c r="C44" s="18">
        <v>1950</v>
      </c>
      <c r="D44" s="19" t="s">
        <v>43</v>
      </c>
      <c r="E44" s="20">
        <f>1/5</f>
        <v>0.2</v>
      </c>
      <c r="F44" s="21">
        <f>'2009'!I44</f>
        <v>64091</v>
      </c>
      <c r="G44" s="21"/>
      <c r="H44" s="21"/>
      <c r="I44" s="22">
        <f t="shared" si="0"/>
        <v>64091</v>
      </c>
      <c r="J44" s="23"/>
      <c r="K44" s="24">
        <f>'2009'!N44</f>
        <v>-468</v>
      </c>
      <c r="L44" s="21">
        <f>'2009'!L44-(('2010'!G44*'2010'!E44)/2)-(('2009'!G44*'2010'!E44)/2)</f>
        <v>0</v>
      </c>
      <c r="M44" s="21"/>
      <c r="N44" s="22">
        <f t="shared" si="1"/>
        <v>-468</v>
      </c>
      <c r="O44" s="25">
        <f t="shared" si="2"/>
        <v>63623</v>
      </c>
    </row>
    <row r="45" spans="2:15" ht="15">
      <c r="B45" s="18">
        <v>8</v>
      </c>
      <c r="C45" s="18">
        <v>1955</v>
      </c>
      <c r="D45" s="19" t="s">
        <v>44</v>
      </c>
      <c r="E45" s="20"/>
      <c r="F45" s="21">
        <f>'2009'!I45</f>
        <v>0</v>
      </c>
      <c r="G45" s="21"/>
      <c r="H45" s="21"/>
      <c r="I45" s="22">
        <f t="shared" si="0"/>
        <v>0</v>
      </c>
      <c r="J45" s="23"/>
      <c r="K45" s="24">
        <f>'2009'!N45</f>
        <v>0</v>
      </c>
      <c r="L45" s="21">
        <f>'2009'!L45-(('2010'!G45*'2010'!E45)/2)-(('2009'!G45*'2010'!E45)/2)</f>
        <v>0</v>
      </c>
      <c r="M45" s="21"/>
      <c r="N45" s="22">
        <f t="shared" si="1"/>
        <v>0</v>
      </c>
      <c r="O45" s="25">
        <f t="shared" si="2"/>
        <v>0</v>
      </c>
    </row>
    <row r="46" spans="2:15" ht="15">
      <c r="B46" s="29">
        <v>8</v>
      </c>
      <c r="C46" s="29">
        <v>1955</v>
      </c>
      <c r="D46" s="30" t="s">
        <v>45</v>
      </c>
      <c r="E46" s="20"/>
      <c r="F46" s="21">
        <f>'2009'!I46</f>
        <v>0</v>
      </c>
      <c r="G46" s="21"/>
      <c r="H46" s="21"/>
      <c r="I46" s="22">
        <f t="shared" si="0"/>
        <v>0</v>
      </c>
      <c r="J46" s="23"/>
      <c r="K46" s="24">
        <f>'2009'!N46</f>
        <v>0</v>
      </c>
      <c r="L46" s="21">
        <f>'2009'!L46-(('2010'!G46*'2010'!E46)/2)-(('2009'!G46*'2010'!E46)/2)</f>
        <v>0</v>
      </c>
      <c r="M46" s="21"/>
      <c r="N46" s="22">
        <f t="shared" si="1"/>
        <v>0</v>
      </c>
      <c r="O46" s="25">
        <f t="shared" si="2"/>
        <v>0</v>
      </c>
    </row>
    <row r="47" spans="2:15" ht="15">
      <c r="B47" s="27">
        <v>8</v>
      </c>
      <c r="C47" s="27">
        <v>1960</v>
      </c>
      <c r="D47" s="26" t="s">
        <v>46</v>
      </c>
      <c r="E47" s="20"/>
      <c r="F47" s="21">
        <f>'2009'!I47</f>
        <v>0</v>
      </c>
      <c r="G47" s="21"/>
      <c r="H47" s="21"/>
      <c r="I47" s="22">
        <f t="shared" si="0"/>
        <v>0</v>
      </c>
      <c r="J47" s="23"/>
      <c r="K47" s="24">
        <f>'2009'!N47</f>
        <v>0</v>
      </c>
      <c r="L47" s="21">
        <f>'2009'!L47-(('2010'!G47*'2010'!E47)/2)-(('2009'!G47*'2010'!E47)/2)</f>
        <v>0</v>
      </c>
      <c r="M47" s="21"/>
      <c r="N47" s="22">
        <f t="shared" si="1"/>
        <v>0</v>
      </c>
      <c r="O47" s="25">
        <f t="shared" si="2"/>
        <v>0</v>
      </c>
    </row>
    <row r="48" spans="2:15" ht="15">
      <c r="B48" s="18">
        <v>47</v>
      </c>
      <c r="C48" s="18">
        <v>1975</v>
      </c>
      <c r="D48" s="19" t="s">
        <v>47</v>
      </c>
      <c r="E48" s="20"/>
      <c r="F48" s="21">
        <f>'2009'!I48</f>
        <v>0</v>
      </c>
      <c r="G48" s="21"/>
      <c r="H48" s="21"/>
      <c r="I48" s="22">
        <f t="shared" si="0"/>
        <v>0</v>
      </c>
      <c r="J48" s="23"/>
      <c r="K48" s="24">
        <f>'2009'!N48</f>
        <v>0</v>
      </c>
      <c r="L48" s="21">
        <f>'2009'!L48-(('2010'!G48*'2010'!E48)/2)-(('2009'!G48*'2010'!E48)/2)</f>
        <v>0</v>
      </c>
      <c r="M48" s="21"/>
      <c r="N48" s="22">
        <f t="shared" si="1"/>
        <v>0</v>
      </c>
      <c r="O48" s="25">
        <f t="shared" si="2"/>
        <v>0</v>
      </c>
    </row>
    <row r="49" spans="2:15" ht="15">
      <c r="B49" s="18">
        <v>47</v>
      </c>
      <c r="C49" s="18">
        <v>1980</v>
      </c>
      <c r="D49" s="19" t="s">
        <v>48</v>
      </c>
      <c r="E49" s="20"/>
      <c r="F49" s="21">
        <f>'2009'!I49</f>
        <v>0</v>
      </c>
      <c r="G49" s="21"/>
      <c r="H49" s="21"/>
      <c r="I49" s="22">
        <f t="shared" si="0"/>
        <v>0</v>
      </c>
      <c r="J49" s="23"/>
      <c r="K49" s="24">
        <f>'2009'!N49</f>
        <v>0</v>
      </c>
      <c r="L49" s="21">
        <f>'2009'!L49-(('2010'!G49*'2010'!E49)/2)-(('2009'!G49*'2010'!E49)/2)</f>
        <v>0</v>
      </c>
      <c r="M49" s="21"/>
      <c r="N49" s="22">
        <f t="shared" si="1"/>
        <v>0</v>
      </c>
      <c r="O49" s="25">
        <f t="shared" si="2"/>
        <v>0</v>
      </c>
    </row>
    <row r="50" spans="2:15" ht="15">
      <c r="B50" s="18">
        <v>47</v>
      </c>
      <c r="C50" s="18">
        <v>1985</v>
      </c>
      <c r="D50" s="19" t="s">
        <v>49</v>
      </c>
      <c r="E50" s="20"/>
      <c r="F50" s="21">
        <f>'2009'!I50</f>
        <v>0</v>
      </c>
      <c r="G50" s="21"/>
      <c r="H50" s="21"/>
      <c r="I50" s="22">
        <f t="shared" si="0"/>
        <v>0</v>
      </c>
      <c r="J50" s="23"/>
      <c r="K50" s="24">
        <f>'2009'!N50</f>
        <v>0</v>
      </c>
      <c r="L50" s="21">
        <f>'2009'!L50-(('2010'!G50*'2010'!E50)/2)-(('2009'!G50*'2010'!E50)/2)</f>
        <v>0</v>
      </c>
      <c r="M50" s="21"/>
      <c r="N50" s="22">
        <f t="shared" si="1"/>
        <v>0</v>
      </c>
      <c r="O50" s="25">
        <f t="shared" si="2"/>
        <v>0</v>
      </c>
    </row>
    <row r="51" spans="2:15" ht="15">
      <c r="B51" s="18">
        <v>47</v>
      </c>
      <c r="C51" s="18">
        <v>1995</v>
      </c>
      <c r="D51" s="19" t="s">
        <v>50</v>
      </c>
      <c r="E51" s="20">
        <f>1/25</f>
        <v>0.04</v>
      </c>
      <c r="F51" s="21">
        <f>'2009'!I51</f>
        <v>-2852310.6849999996</v>
      </c>
      <c r="G51" s="21">
        <f>-439700.91-3364-417.2</f>
        <v>-443482.11</v>
      </c>
      <c r="H51" s="21"/>
      <c r="I51" s="22">
        <f t="shared" si="0"/>
        <v>-3295792.7949999995</v>
      </c>
      <c r="J51" s="23"/>
      <c r="K51" s="24">
        <f>'2009'!N51</f>
        <v>328147.50600000005</v>
      </c>
      <c r="L51" s="21">
        <f>'2009'!L51-(('2010'!G51*'2010'!E51)/2)-(('2009'!G51*'2010'!E51)/2)</f>
        <v>138473.86920000002</v>
      </c>
      <c r="M51" s="21"/>
      <c r="N51" s="22">
        <f t="shared" si="1"/>
        <v>466621.37520000007</v>
      </c>
      <c r="O51" s="25">
        <f t="shared" si="2"/>
        <v>-2829171.4197999993</v>
      </c>
    </row>
    <row r="52" spans="2:15" ht="15">
      <c r="B52" s="18"/>
      <c r="C52" s="18" t="s">
        <v>51</v>
      </c>
      <c r="D52" s="19"/>
      <c r="E52" s="20"/>
      <c r="F52" s="21"/>
      <c r="G52" s="21"/>
      <c r="H52" s="21"/>
      <c r="I52" s="22">
        <f t="shared" si="0"/>
        <v>0</v>
      </c>
      <c r="K52" s="24">
        <f>'2009'!N52</f>
        <v>0</v>
      </c>
      <c r="L52" s="21"/>
      <c r="M52" s="21"/>
      <c r="N52" s="22">
        <f t="shared" si="1"/>
        <v>0</v>
      </c>
      <c r="O52" s="25">
        <f t="shared" si="2"/>
        <v>0</v>
      </c>
    </row>
    <row r="53" spans="2:15" ht="15">
      <c r="B53" s="18"/>
      <c r="C53" s="18"/>
      <c r="D53" s="19"/>
      <c r="E53" s="20"/>
      <c r="F53" s="31"/>
      <c r="G53" s="31"/>
      <c r="H53" s="31"/>
      <c r="I53" s="19"/>
      <c r="K53" s="31"/>
      <c r="L53" s="31"/>
      <c r="M53" s="31"/>
      <c r="N53" s="19"/>
      <c r="O53" s="19"/>
    </row>
    <row r="54" spans="2:15" ht="15">
      <c r="B54" s="18"/>
      <c r="C54" s="18"/>
      <c r="D54" s="32" t="s">
        <v>52</v>
      </c>
      <c r="E54" s="32"/>
      <c r="F54" s="33">
        <f>SUM(F16:F52)</f>
        <v>31753826.635</v>
      </c>
      <c r="G54" s="33">
        <f>SUM(G16:G52)</f>
        <v>3617615.14</v>
      </c>
      <c r="H54" s="33">
        <f>SUM(H16:H52)</f>
        <v>0</v>
      </c>
      <c r="I54" s="33">
        <f>SUM(I16:I52)</f>
        <v>35371441.775</v>
      </c>
      <c r="J54" s="34"/>
      <c r="K54" s="35">
        <f>SUM(K16:K52)</f>
        <v>-10329609.095874999</v>
      </c>
      <c r="L54" s="35">
        <f>SUM(L16:L52)</f>
        <v>-1507871.93455</v>
      </c>
      <c r="M54" s="35">
        <f>SUM(M16:M52)</f>
        <v>0</v>
      </c>
      <c r="N54" s="35">
        <f>SUM(N16:N52)</f>
        <v>-11837481.030425</v>
      </c>
      <c r="O54" s="33">
        <f t="shared" si="2"/>
        <v>23533960.744575</v>
      </c>
    </row>
    <row r="56" spans="5:12" ht="15">
      <c r="E56" s="2"/>
      <c r="G56" s="41"/>
      <c r="K56" s="36" t="s">
        <v>53</v>
      </c>
      <c r="L56" s="36"/>
    </row>
    <row r="57" spans="2:13" ht="15">
      <c r="B57" s="18">
        <v>10</v>
      </c>
      <c r="C57" s="18"/>
      <c r="D57" s="19" t="s">
        <v>54</v>
      </c>
      <c r="E57" s="2"/>
      <c r="G57" s="41"/>
      <c r="K57" s="36" t="s">
        <v>54</v>
      </c>
      <c r="L57" s="36"/>
      <c r="M57" s="28"/>
    </row>
    <row r="58" spans="2:13" ht="15">
      <c r="B58" s="18">
        <v>8</v>
      </c>
      <c r="C58" s="18"/>
      <c r="D58" s="19" t="s">
        <v>40</v>
      </c>
      <c r="K58" s="36" t="s">
        <v>40</v>
      </c>
      <c r="L58" s="36"/>
      <c r="M58" s="37"/>
    </row>
    <row r="59" spans="11:13" ht="15">
      <c r="K59" s="38" t="s">
        <v>55</v>
      </c>
      <c r="M59" s="39">
        <f>M54-M57-M58</f>
        <v>0</v>
      </c>
    </row>
    <row r="61" spans="2:6" ht="15">
      <c r="B61" s="62" t="s">
        <v>56</v>
      </c>
      <c r="C61" s="63"/>
      <c r="D61" s="63"/>
      <c r="E61" s="63"/>
      <c r="F61" s="63"/>
    </row>
    <row r="63" ht="15">
      <c r="B63" s="40" t="s">
        <v>57</v>
      </c>
    </row>
    <row r="65" spans="2:15" ht="15">
      <c r="B65" s="1">
        <v>1</v>
      </c>
      <c r="C65" s="64" t="s">
        <v>58</v>
      </c>
      <c r="D65" s="64"/>
      <c r="E65" s="64"/>
      <c r="F65" s="64"/>
      <c r="G65" s="64"/>
      <c r="H65" s="64"/>
      <c r="I65" s="64"/>
      <c r="J65" s="64"/>
      <c r="K65" s="64"/>
      <c r="L65" s="64"/>
      <c r="M65" s="64"/>
      <c r="N65" s="64"/>
      <c r="O65" s="64"/>
    </row>
    <row r="66" spans="3:15" ht="15">
      <c r="C66" s="64"/>
      <c r="D66" s="64"/>
      <c r="E66" s="64"/>
      <c r="F66" s="64"/>
      <c r="G66" s="64"/>
      <c r="H66" s="64"/>
      <c r="I66" s="64"/>
      <c r="J66" s="64"/>
      <c r="K66" s="64"/>
      <c r="L66" s="64"/>
      <c r="M66" s="64"/>
      <c r="N66" s="64"/>
      <c r="O66" s="64"/>
    </row>
    <row r="68" ht="12.75" customHeight="1"/>
    <row r="69" spans="2:15" ht="15">
      <c r="B69" s="1">
        <v>2</v>
      </c>
      <c r="C69" s="55" t="s">
        <v>59</v>
      </c>
      <c r="D69" s="55"/>
      <c r="E69" s="55"/>
      <c r="F69" s="55"/>
      <c r="G69" s="55"/>
      <c r="H69" s="55"/>
      <c r="I69" s="55"/>
      <c r="J69" s="55"/>
      <c r="K69" s="55"/>
      <c r="L69" s="55"/>
      <c r="M69" s="55"/>
      <c r="N69" s="55"/>
      <c r="O69" s="55"/>
    </row>
    <row r="70" spans="3:15" ht="15">
      <c r="C70" s="55"/>
      <c r="D70" s="55"/>
      <c r="E70" s="55"/>
      <c r="F70" s="55"/>
      <c r="G70" s="55"/>
      <c r="H70" s="55"/>
      <c r="I70" s="55"/>
      <c r="J70" s="55"/>
      <c r="K70" s="55"/>
      <c r="L70" s="55"/>
      <c r="M70" s="55"/>
      <c r="N70" s="55"/>
      <c r="O70" s="55"/>
    </row>
    <row r="72" spans="2:15" ht="15">
      <c r="B72" s="1">
        <v>3</v>
      </c>
      <c r="C72" s="56" t="s">
        <v>60</v>
      </c>
      <c r="D72" s="56"/>
      <c r="E72" s="56"/>
      <c r="F72" s="56"/>
      <c r="G72" s="56"/>
      <c r="H72" s="56"/>
      <c r="I72" s="56"/>
      <c r="J72" s="56"/>
      <c r="K72" s="56"/>
      <c r="L72" s="56"/>
      <c r="M72" s="56"/>
      <c r="N72" s="56"/>
      <c r="O72" s="56"/>
    </row>
  </sheetData>
  <sheetProtection/>
  <mergeCells count="8">
    <mergeCell ref="C69:O70"/>
    <mergeCell ref="C72:O72"/>
    <mergeCell ref="F9:I9"/>
    <mergeCell ref="F10:J10"/>
    <mergeCell ref="G12:H12"/>
    <mergeCell ref="F14:I14"/>
    <mergeCell ref="B61:F61"/>
    <mergeCell ref="C65:O66"/>
  </mergeCells>
  <dataValidations count="1">
    <dataValidation allowBlank="1" showInputMessage="1" showErrorMessage="1" promptTitle="Date Format" prompt="E.g:  &quot;August 1, 2011&quot;" sqref="O7"/>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R72"/>
  <sheetViews>
    <sheetView tabSelected="1" zoomScalePageLayoutView="0" workbookViewId="0" topLeftCell="A1">
      <selection activeCell="A1" sqref="A1:IV7"/>
    </sheetView>
  </sheetViews>
  <sheetFormatPr defaultColWidth="9.140625" defaultRowHeight="15"/>
  <cols>
    <col min="1" max="1" width="2.8515625" style="0" customWidth="1"/>
    <col min="2" max="2" width="7.7109375" style="1" customWidth="1"/>
    <col min="3" max="3" width="6.421875" style="1" customWidth="1"/>
    <col min="4" max="4" width="37.8515625" style="0" customWidth="1"/>
    <col min="5" max="5" width="12.7109375" style="0" customWidth="1"/>
    <col min="6" max="6" width="14.421875" style="0" customWidth="1"/>
    <col min="7" max="7" width="13.00390625" style="0" customWidth="1"/>
    <col min="8" max="8" width="11.7109375" style="0" customWidth="1"/>
    <col min="9" max="9" width="13.57421875" style="0" customWidth="1"/>
    <col min="10" max="10" width="1.7109375" style="2" customWidth="1"/>
    <col min="11" max="11" width="14.28125" style="0" customWidth="1"/>
    <col min="12" max="12" width="13.421875" style="0" customWidth="1"/>
    <col min="13" max="13" width="11.8515625" style="0" customWidth="1"/>
    <col min="14" max="14" width="14.57421875" style="0" bestFit="1" customWidth="1"/>
    <col min="15" max="15" width="14.140625" style="0" bestFit="1" customWidth="1"/>
    <col min="17" max="18" width="12.57421875" style="0" bestFit="1" customWidth="1"/>
  </cols>
  <sheetData>
    <row r="1" spans="2:15" ht="15">
      <c r="B1" s="54"/>
      <c r="C1" s="54"/>
      <c r="N1" s="3" t="s">
        <v>0</v>
      </c>
      <c r="O1" s="4" t="s">
        <v>61</v>
      </c>
    </row>
    <row r="2" spans="2:14" s="66" customFormat="1" ht="15">
      <c r="B2" s="65"/>
      <c r="C2" s="65"/>
      <c r="J2" s="7"/>
      <c r="N2" s="67"/>
    </row>
    <row r="3" spans="2:14" s="66" customFormat="1" ht="15">
      <c r="B3" s="65"/>
      <c r="C3" s="65"/>
      <c r="J3" s="7"/>
      <c r="N3" s="67"/>
    </row>
    <row r="4" spans="2:14" s="66" customFormat="1" ht="15">
      <c r="B4" s="65"/>
      <c r="C4" s="65"/>
      <c r="J4" s="7"/>
      <c r="N4" s="67"/>
    </row>
    <row r="5" spans="2:14" s="66" customFormat="1" ht="15">
      <c r="B5" s="65"/>
      <c r="C5" s="65"/>
      <c r="J5" s="7"/>
      <c r="N5" s="67"/>
    </row>
    <row r="6" spans="2:14" s="66" customFormat="1" ht="9" customHeight="1">
      <c r="B6" s="65"/>
      <c r="C6" s="65"/>
      <c r="J6" s="7"/>
      <c r="N6" s="67"/>
    </row>
    <row r="7" spans="2:15" s="66" customFormat="1" ht="15">
      <c r="B7" s="65"/>
      <c r="C7" s="65"/>
      <c r="J7" s="7"/>
      <c r="N7" s="67"/>
      <c r="O7" s="68"/>
    </row>
    <row r="8" ht="9" customHeight="1"/>
    <row r="9" spans="6:9" ht="20.25" customHeight="1">
      <c r="F9" s="57" t="s">
        <v>1</v>
      </c>
      <c r="G9" s="57"/>
      <c r="H9" s="57"/>
      <c r="I9" s="57"/>
    </row>
    <row r="10" spans="6:10" ht="18">
      <c r="F10" s="57" t="s">
        <v>2</v>
      </c>
      <c r="G10" s="57"/>
      <c r="H10" s="57"/>
      <c r="I10" s="57"/>
      <c r="J10" s="57"/>
    </row>
    <row r="12" spans="6:9" ht="15">
      <c r="F12" s="5" t="s">
        <v>3</v>
      </c>
      <c r="G12" s="58">
        <v>2011</v>
      </c>
      <c r="H12" s="58"/>
      <c r="I12" s="6"/>
    </row>
    <row r="14" spans="5:15" ht="15">
      <c r="E14" s="7"/>
      <c r="F14" s="59" t="s">
        <v>4</v>
      </c>
      <c r="G14" s="60"/>
      <c r="H14" s="60"/>
      <c r="I14" s="61"/>
      <c r="K14" s="8"/>
      <c r="L14" s="9" t="s">
        <v>5</v>
      </c>
      <c r="M14" s="9"/>
      <c r="N14" s="10"/>
      <c r="O14" s="2"/>
    </row>
    <row r="15" spans="2:15" ht="26.25">
      <c r="B15" s="11" t="s">
        <v>6</v>
      </c>
      <c r="C15" s="12" t="s">
        <v>7</v>
      </c>
      <c r="D15" s="13" t="s">
        <v>8</v>
      </c>
      <c r="E15" s="11" t="s">
        <v>9</v>
      </c>
      <c r="F15" s="11" t="s">
        <v>10</v>
      </c>
      <c r="G15" s="12" t="s">
        <v>11</v>
      </c>
      <c r="H15" s="12" t="s">
        <v>12</v>
      </c>
      <c r="I15" s="11" t="s">
        <v>13</v>
      </c>
      <c r="J15" s="14"/>
      <c r="K15" s="15" t="s">
        <v>10</v>
      </c>
      <c r="L15" s="16" t="s">
        <v>11</v>
      </c>
      <c r="M15" s="16" t="s">
        <v>12</v>
      </c>
      <c r="N15" s="17" t="s">
        <v>13</v>
      </c>
      <c r="O15" s="11" t="s">
        <v>14</v>
      </c>
    </row>
    <row r="16" spans="2:17" ht="15">
      <c r="B16" s="18" t="s">
        <v>15</v>
      </c>
      <c r="C16" s="18">
        <v>1805</v>
      </c>
      <c r="D16" s="19" t="s">
        <v>16</v>
      </c>
      <c r="E16" s="20"/>
      <c r="F16" s="21">
        <f>'2010'!I16</f>
        <v>150673.07</v>
      </c>
      <c r="G16" s="21">
        <v>8270.89</v>
      </c>
      <c r="H16" s="21"/>
      <c r="I16" s="22">
        <f>F16+G16+H16</f>
        <v>158943.96000000002</v>
      </c>
      <c r="J16" s="23"/>
      <c r="K16" s="24">
        <f>'2010'!N16</f>
        <v>0</v>
      </c>
      <c r="L16" s="21">
        <f>'2010'!L16-((Bridge!G16*Bridge!E16)/2)-(('2010'!G16*Bridge!E16)/2)</f>
        <v>0</v>
      </c>
      <c r="M16" s="21"/>
      <c r="N16" s="22">
        <f>K16+L16+M16</f>
        <v>0</v>
      </c>
      <c r="O16" s="25">
        <f>I16+N16</f>
        <v>158943.96000000002</v>
      </c>
      <c r="P16">
        <f>C16</f>
        <v>1805</v>
      </c>
      <c r="Q16" s="41">
        <f>AVERAGE(I16,Test!I16)</f>
        <v>158943.96000000002</v>
      </c>
    </row>
    <row r="17" spans="2:17" ht="15">
      <c r="B17" s="18">
        <v>47</v>
      </c>
      <c r="C17" s="18">
        <v>1808</v>
      </c>
      <c r="D17" s="19" t="s">
        <v>17</v>
      </c>
      <c r="E17" s="20">
        <f>1/25</f>
        <v>0.04</v>
      </c>
      <c r="F17" s="21">
        <f>'2010'!I17</f>
        <v>154555.12</v>
      </c>
      <c r="G17" s="21">
        <v>20326.58</v>
      </c>
      <c r="H17" s="21"/>
      <c r="I17" s="22">
        <f aca="true" t="shared" si="0" ref="I17:I52">F17+G17+H17</f>
        <v>174881.7</v>
      </c>
      <c r="J17" s="23"/>
      <c r="K17" s="24">
        <f>'2010'!N17</f>
        <v>-49403.087199999994</v>
      </c>
      <c r="L17" s="21">
        <f>'2010'!L17-((Bridge!G17*Bridge!E17)/2)-(('2010'!G17*Bridge!E17)/2)</f>
        <v>-6526.526400000001</v>
      </c>
      <c r="M17" s="21"/>
      <c r="N17" s="22">
        <f aca="true" t="shared" si="1" ref="N17:N52">K17+L17+M17</f>
        <v>-55929.6136</v>
      </c>
      <c r="O17" s="25">
        <f aca="true" t="shared" si="2" ref="O17:O54">I17+N17</f>
        <v>118952.08640000001</v>
      </c>
      <c r="P17">
        <f aca="true" t="shared" si="3" ref="P17:P49">C17</f>
        <v>1808</v>
      </c>
      <c r="Q17" s="41">
        <f>AVERAGE(I17,Test!I17)</f>
        <v>174881.7</v>
      </c>
    </row>
    <row r="18" spans="2:17" ht="15">
      <c r="B18" s="18">
        <v>13</v>
      </c>
      <c r="C18" s="18">
        <v>1810</v>
      </c>
      <c r="D18" s="19" t="s">
        <v>18</v>
      </c>
      <c r="E18" s="20">
        <f>1/10</f>
        <v>0.1</v>
      </c>
      <c r="F18" s="21">
        <f>'2010'!I18</f>
        <v>7040</v>
      </c>
      <c r="G18" s="21">
        <v>0</v>
      </c>
      <c r="H18" s="21"/>
      <c r="I18" s="22">
        <f t="shared" si="0"/>
        <v>7040</v>
      </c>
      <c r="J18" s="23"/>
      <c r="K18" s="24">
        <f>'2010'!N18</f>
        <v>-7040</v>
      </c>
      <c r="L18" s="21">
        <f>'2010'!L18-((Bridge!G18*Bridge!E18)/2)-(('2010'!G18*Bridge!E18)/2)</f>
        <v>-1408</v>
      </c>
      <c r="M18" s="21"/>
      <c r="N18" s="22">
        <f t="shared" si="1"/>
        <v>-8448</v>
      </c>
      <c r="O18" s="25">
        <f t="shared" si="2"/>
        <v>-1408</v>
      </c>
      <c r="P18">
        <f t="shared" si="3"/>
        <v>1810</v>
      </c>
      <c r="Q18" s="41">
        <f>AVERAGE(I18,Test!I18)</f>
        <v>7040</v>
      </c>
    </row>
    <row r="19" spans="2:17" ht="15">
      <c r="B19" s="18">
        <v>47</v>
      </c>
      <c r="C19" s="18">
        <v>1815</v>
      </c>
      <c r="D19" s="19" t="s">
        <v>19</v>
      </c>
      <c r="E19" s="20"/>
      <c r="F19" s="21">
        <f>'2010'!I19</f>
        <v>0</v>
      </c>
      <c r="G19" s="21">
        <v>0</v>
      </c>
      <c r="H19" s="21"/>
      <c r="I19" s="22">
        <f t="shared" si="0"/>
        <v>0</v>
      </c>
      <c r="J19" s="23"/>
      <c r="K19" s="24">
        <f>'2010'!N19</f>
        <v>0</v>
      </c>
      <c r="L19" s="21">
        <f>'2010'!L19-((Bridge!G19*Bridge!E19)/2)-(('2010'!G19*Bridge!E19)/2)</f>
        <v>0</v>
      </c>
      <c r="M19" s="21"/>
      <c r="N19" s="22">
        <f t="shared" si="1"/>
        <v>0</v>
      </c>
      <c r="O19" s="25">
        <f t="shared" si="2"/>
        <v>0</v>
      </c>
      <c r="P19">
        <f t="shared" si="3"/>
        <v>1815</v>
      </c>
      <c r="Q19" s="41">
        <f>AVERAGE(I19,Test!I19)</f>
        <v>0</v>
      </c>
    </row>
    <row r="20" spans="2:17" ht="15">
      <c r="B20" s="18">
        <v>47</v>
      </c>
      <c r="C20" s="18">
        <v>1820</v>
      </c>
      <c r="D20" s="26" t="s">
        <v>20</v>
      </c>
      <c r="E20" s="20">
        <f>1/25</f>
        <v>0.04</v>
      </c>
      <c r="F20" s="21">
        <f>'2010'!I20</f>
        <v>499228.76</v>
      </c>
      <c r="G20" s="21"/>
      <c r="H20" s="21"/>
      <c r="I20" s="22">
        <f t="shared" si="0"/>
        <v>499228.76</v>
      </c>
      <c r="J20" s="23"/>
      <c r="K20" s="24">
        <f>'2010'!N20</f>
        <v>-216970.27919999996</v>
      </c>
      <c r="L20" s="21">
        <f>'2010'!L20-((Bridge!G20*Bridge!E20)/2)-(('2010'!G20*Bridge!E20)/2)</f>
        <v>-17936.5396</v>
      </c>
      <c r="M20" s="21"/>
      <c r="N20" s="22">
        <f t="shared" si="1"/>
        <v>-234906.81879999995</v>
      </c>
      <c r="O20" s="25">
        <f t="shared" si="2"/>
        <v>264321.94120000006</v>
      </c>
      <c r="P20">
        <f t="shared" si="3"/>
        <v>1820</v>
      </c>
      <c r="Q20" s="41">
        <f>AVERAGE(I20,Test!I20)</f>
        <v>499228.76</v>
      </c>
    </row>
    <row r="21" spans="2:17" ht="15">
      <c r="B21" s="18">
        <v>47</v>
      </c>
      <c r="C21" s="18">
        <v>1825</v>
      </c>
      <c r="D21" s="19" t="s">
        <v>21</v>
      </c>
      <c r="E21" s="20">
        <f aca="true" t="shared" si="4" ref="E21:E28">1/25</f>
        <v>0.04</v>
      </c>
      <c r="F21" s="21">
        <f>'2010'!I21</f>
        <v>0</v>
      </c>
      <c r="G21" s="21"/>
      <c r="H21" s="21"/>
      <c r="I21" s="22">
        <f t="shared" si="0"/>
        <v>0</v>
      </c>
      <c r="J21" s="23"/>
      <c r="K21" s="24">
        <f>'2010'!N21</f>
        <v>0</v>
      </c>
      <c r="L21" s="21">
        <f>'2010'!L21-((Bridge!G21*Bridge!E21)/2)-(('2010'!G21*Bridge!E21)/2)</f>
        <v>0</v>
      </c>
      <c r="M21" s="21"/>
      <c r="N21" s="22">
        <f t="shared" si="1"/>
        <v>0</v>
      </c>
      <c r="O21" s="25">
        <f t="shared" si="2"/>
        <v>0</v>
      </c>
      <c r="P21">
        <f t="shared" si="3"/>
        <v>1825</v>
      </c>
      <c r="Q21" s="41">
        <f>AVERAGE(I21,Test!I21)</f>
        <v>0</v>
      </c>
    </row>
    <row r="22" spans="2:17" ht="15">
      <c r="B22" s="18">
        <v>47</v>
      </c>
      <c r="C22" s="18">
        <v>1830</v>
      </c>
      <c r="D22" s="19" t="s">
        <v>22</v>
      </c>
      <c r="E22" s="20">
        <f t="shared" si="4"/>
        <v>0.04</v>
      </c>
      <c r="F22" s="21">
        <f>'2010'!I22</f>
        <v>5068092.07</v>
      </c>
      <c r="G22" s="21">
        <v>350281.3399999998</v>
      </c>
      <c r="H22" s="21"/>
      <c r="I22" s="22">
        <f t="shared" si="0"/>
        <v>5418373.41</v>
      </c>
      <c r="J22" s="23"/>
      <c r="K22" s="24">
        <f>'2010'!N22</f>
        <v>-1993395.3136</v>
      </c>
      <c r="L22" s="21">
        <f>'2010'!L22-((Bridge!G22*Bridge!E22)/2)-(('2010'!G22*Bridge!E22)/2)</f>
        <v>-234949.3708</v>
      </c>
      <c r="M22" s="21"/>
      <c r="N22" s="22">
        <f t="shared" si="1"/>
        <v>-2228344.6844</v>
      </c>
      <c r="O22" s="25">
        <f t="shared" si="2"/>
        <v>3190028.7256</v>
      </c>
      <c r="P22">
        <f t="shared" si="3"/>
        <v>1830</v>
      </c>
      <c r="Q22" s="41">
        <f>AVERAGE(I22,Test!I22)</f>
        <v>5784873.41</v>
      </c>
    </row>
    <row r="23" spans="2:17" ht="15">
      <c r="B23" s="18">
        <v>47</v>
      </c>
      <c r="C23" s="18">
        <v>1835</v>
      </c>
      <c r="D23" s="19" t="s">
        <v>23</v>
      </c>
      <c r="E23" s="20">
        <f t="shared" si="4"/>
        <v>0.04</v>
      </c>
      <c r="F23" s="21">
        <f>'2010'!I23</f>
        <v>10155469.69</v>
      </c>
      <c r="G23" s="21">
        <v>335000.4200000001</v>
      </c>
      <c r="H23" s="21"/>
      <c r="I23" s="22">
        <f t="shared" si="0"/>
        <v>10490470.11</v>
      </c>
      <c r="J23" s="23"/>
      <c r="K23" s="24">
        <f>'2010'!N23</f>
        <v>-2749354.3814000003</v>
      </c>
      <c r="L23" s="21">
        <f>'2010'!L23-((Bridge!G23*Bridge!E23)/2)-(('2010'!G23*Bridge!E23)/2)</f>
        <v>-385670.8432</v>
      </c>
      <c r="M23" s="21"/>
      <c r="N23" s="22">
        <f t="shared" si="1"/>
        <v>-3135025.2246000003</v>
      </c>
      <c r="O23" s="25">
        <f t="shared" si="2"/>
        <v>7355444.885399999</v>
      </c>
      <c r="P23">
        <f t="shared" si="3"/>
        <v>1835</v>
      </c>
      <c r="Q23" s="41">
        <f>AVERAGE(I23,Test!I23)</f>
        <v>10742970.11</v>
      </c>
    </row>
    <row r="24" spans="2:17" ht="15">
      <c r="B24" s="18">
        <v>47</v>
      </c>
      <c r="C24" s="18">
        <v>1840</v>
      </c>
      <c r="D24" s="19" t="s">
        <v>24</v>
      </c>
      <c r="E24" s="20">
        <f t="shared" si="4"/>
        <v>0.04</v>
      </c>
      <c r="F24" s="21">
        <f>'2010'!I24</f>
        <v>2282781.235</v>
      </c>
      <c r="G24" s="21">
        <v>50266.88999999999</v>
      </c>
      <c r="H24" s="21"/>
      <c r="I24" s="22">
        <f t="shared" si="0"/>
        <v>2333048.125</v>
      </c>
      <c r="J24" s="23"/>
      <c r="K24" s="24">
        <f>'2010'!N24</f>
        <v>-1059403.9414</v>
      </c>
      <c r="L24" s="21">
        <f>'2010'!L24-((Bridge!G24*Bridge!E24)/2)-(('2010'!G24*Bridge!E24)/2)</f>
        <v>-105190.84919999998</v>
      </c>
      <c r="M24" s="21"/>
      <c r="N24" s="22">
        <f t="shared" si="1"/>
        <v>-1164594.7906</v>
      </c>
      <c r="O24" s="25">
        <f t="shared" si="2"/>
        <v>1168453.3344</v>
      </c>
      <c r="P24">
        <f t="shared" si="3"/>
        <v>1840</v>
      </c>
      <c r="Q24" s="41">
        <f>AVERAGE(I24,Test!I24)</f>
        <v>2473548.125</v>
      </c>
    </row>
    <row r="25" spans="2:17" ht="15">
      <c r="B25" s="18">
        <v>47</v>
      </c>
      <c r="C25" s="18">
        <v>1845</v>
      </c>
      <c r="D25" s="19" t="s">
        <v>25</v>
      </c>
      <c r="E25" s="20">
        <f t="shared" si="4"/>
        <v>0.04</v>
      </c>
      <c r="F25" s="21">
        <f>'2010'!I25</f>
        <v>4911817.58</v>
      </c>
      <c r="G25" s="21">
        <v>256072.03999999998</v>
      </c>
      <c r="H25" s="21"/>
      <c r="I25" s="22">
        <f t="shared" si="0"/>
        <v>5167889.62</v>
      </c>
      <c r="J25" s="23"/>
      <c r="K25" s="24">
        <f>'2010'!N25</f>
        <v>-1288679.7674</v>
      </c>
      <c r="L25" s="21">
        <f>'2010'!L25-((Bridge!G25*Bridge!E25)/2)-(('2010'!G25*Bridge!E25)/2)</f>
        <v>-200327.14419999998</v>
      </c>
      <c r="M25" s="21"/>
      <c r="N25" s="22">
        <f t="shared" si="1"/>
        <v>-1489006.9116</v>
      </c>
      <c r="O25" s="25">
        <f t="shared" si="2"/>
        <v>3678882.7084</v>
      </c>
      <c r="P25">
        <f t="shared" si="3"/>
        <v>1845</v>
      </c>
      <c r="Q25" s="41">
        <f>AVERAGE(I25,Test!I25)</f>
        <v>5257889.62</v>
      </c>
    </row>
    <row r="26" spans="2:17" ht="15">
      <c r="B26" s="18">
        <v>47</v>
      </c>
      <c r="C26" s="18">
        <v>1850</v>
      </c>
      <c r="D26" s="19" t="s">
        <v>26</v>
      </c>
      <c r="E26" s="20">
        <f t="shared" si="4"/>
        <v>0.04</v>
      </c>
      <c r="F26" s="21">
        <f>'2010'!I26</f>
        <v>6453338.22</v>
      </c>
      <c r="G26" s="21">
        <v>693252.1200000001</v>
      </c>
      <c r="H26" s="21"/>
      <c r="I26" s="22">
        <f t="shared" si="0"/>
        <v>7146590.34</v>
      </c>
      <c r="J26" s="23"/>
      <c r="K26" s="24">
        <f>'2010'!N26</f>
        <v>-2276509.602</v>
      </c>
      <c r="L26" s="21">
        <f>'2010'!L26-((Bridge!G26*Bridge!E26)/2)-(('2010'!G26*Bridge!E26)/2)</f>
        <v>-280259.4844</v>
      </c>
      <c r="M26" s="21"/>
      <c r="N26" s="22">
        <f t="shared" si="1"/>
        <v>-2556769.0864</v>
      </c>
      <c r="O26" s="25">
        <f t="shared" si="2"/>
        <v>4589821.2535999995</v>
      </c>
      <c r="P26">
        <f t="shared" si="3"/>
        <v>1850</v>
      </c>
      <c r="Q26" s="41">
        <f>AVERAGE(I26,Test!I26)</f>
        <v>7387590.34</v>
      </c>
    </row>
    <row r="27" spans="2:17" ht="15">
      <c r="B27" s="18">
        <v>47</v>
      </c>
      <c r="C27" s="18">
        <v>1855</v>
      </c>
      <c r="D27" s="19" t="s">
        <v>27</v>
      </c>
      <c r="E27" s="20">
        <f t="shared" si="4"/>
        <v>0.04</v>
      </c>
      <c r="F27" s="21">
        <f>'2010'!I27</f>
        <v>3037212.4800000004</v>
      </c>
      <c r="G27" s="21">
        <v>267697.82999999996</v>
      </c>
      <c r="H27" s="21"/>
      <c r="I27" s="22">
        <f t="shared" si="0"/>
        <v>3304910.3100000005</v>
      </c>
      <c r="J27" s="23"/>
      <c r="K27" s="24">
        <f>'2010'!N27</f>
        <v>-746125.3206</v>
      </c>
      <c r="L27" s="21">
        <f>'2010'!L27-((Bridge!G27*Bridge!E27)/2)-(('2010'!G27*Bridge!E27)/2)</f>
        <v>-119396.8686</v>
      </c>
      <c r="M27" s="21"/>
      <c r="N27" s="22">
        <f t="shared" si="1"/>
        <v>-865522.1892</v>
      </c>
      <c r="O27" s="25">
        <f t="shared" si="2"/>
        <v>2439388.1208000006</v>
      </c>
      <c r="P27">
        <f t="shared" si="3"/>
        <v>1855</v>
      </c>
      <c r="Q27" s="41">
        <f>AVERAGE(I27,Test!I27)</f>
        <v>3491910.3100000005</v>
      </c>
    </row>
    <row r="28" spans="2:17" ht="15">
      <c r="B28" s="18">
        <v>47</v>
      </c>
      <c r="C28" s="18">
        <v>1860</v>
      </c>
      <c r="D28" s="19" t="s">
        <v>28</v>
      </c>
      <c r="E28" s="20">
        <f t="shared" si="4"/>
        <v>0.04</v>
      </c>
      <c r="F28" s="21">
        <f>'2010'!I28</f>
        <v>2824741.4750000006</v>
      </c>
      <c r="G28" s="21">
        <v>78815.13999999998</v>
      </c>
      <c r="H28" s="21"/>
      <c r="I28" s="22">
        <f t="shared" si="0"/>
        <v>2903556.6150000007</v>
      </c>
      <c r="J28" s="23"/>
      <c r="K28" s="24">
        <f>'2010'!N28</f>
        <v>-912456.1842000001</v>
      </c>
      <c r="L28" s="21">
        <f>'2010'!L28-((Bridge!G28*Bridge!E28)/2)-(('2010'!G28*Bridge!E28)/2)</f>
        <v>-105606.34360000002</v>
      </c>
      <c r="M28" s="21"/>
      <c r="N28" s="22">
        <f t="shared" si="1"/>
        <v>-1018062.5278000002</v>
      </c>
      <c r="O28" s="25">
        <f t="shared" si="2"/>
        <v>1885494.0872000004</v>
      </c>
      <c r="P28">
        <f t="shared" si="3"/>
        <v>1860</v>
      </c>
      <c r="Q28" s="41">
        <f>AVERAGE(I28,Test!I28)</f>
        <v>2938556.6150000007</v>
      </c>
    </row>
    <row r="29" spans="2:17" ht="15">
      <c r="B29" s="18">
        <v>47</v>
      </c>
      <c r="C29" s="18">
        <v>1860</v>
      </c>
      <c r="D29" s="19" t="s">
        <v>29</v>
      </c>
      <c r="E29" s="20"/>
      <c r="F29" s="21">
        <f>'2010'!I29</f>
        <v>0</v>
      </c>
      <c r="G29" s="21"/>
      <c r="H29" s="21"/>
      <c r="I29" s="22">
        <f t="shared" si="0"/>
        <v>0</v>
      </c>
      <c r="J29" s="23"/>
      <c r="K29" s="24">
        <f>'2010'!N29</f>
        <v>0</v>
      </c>
      <c r="L29" s="21">
        <f>'2010'!L29-((Bridge!G29*Bridge!E29)/2)-(('2010'!G29*Bridge!E29)/2)</f>
        <v>0</v>
      </c>
      <c r="M29" s="21"/>
      <c r="N29" s="22">
        <f t="shared" si="1"/>
        <v>0</v>
      </c>
      <c r="O29" s="25">
        <f t="shared" si="2"/>
        <v>0</v>
      </c>
      <c r="P29">
        <f t="shared" si="3"/>
        <v>1860</v>
      </c>
      <c r="Q29" s="41">
        <f>AVERAGE(I29,Test!I29)</f>
        <v>0</v>
      </c>
    </row>
    <row r="30" spans="2:17" ht="15">
      <c r="B30" s="18" t="s">
        <v>15</v>
      </c>
      <c r="C30" s="18">
        <v>1905</v>
      </c>
      <c r="D30" s="19" t="s">
        <v>16</v>
      </c>
      <c r="E30" s="20"/>
      <c r="F30" s="21">
        <f>'2010'!I30</f>
        <v>0</v>
      </c>
      <c r="G30" s="21"/>
      <c r="H30" s="21"/>
      <c r="I30" s="22">
        <f t="shared" si="0"/>
        <v>0</v>
      </c>
      <c r="J30" s="23"/>
      <c r="K30" s="24">
        <f>'2010'!N30</f>
        <v>0</v>
      </c>
      <c r="L30" s="21">
        <f>'2010'!L30-((Bridge!G30*Bridge!E30)/2)-(('2010'!G30*Bridge!E30)/2)</f>
        <v>0</v>
      </c>
      <c r="M30" s="21"/>
      <c r="N30" s="22">
        <f t="shared" si="1"/>
        <v>0</v>
      </c>
      <c r="O30" s="25">
        <f t="shared" si="2"/>
        <v>0</v>
      </c>
      <c r="P30">
        <f t="shared" si="3"/>
        <v>1905</v>
      </c>
      <c r="Q30" s="41">
        <f>AVERAGE(I30,Test!I30)</f>
        <v>0</v>
      </c>
    </row>
    <row r="31" spans="2:17" ht="15">
      <c r="B31" s="18" t="s">
        <v>30</v>
      </c>
      <c r="C31" s="18">
        <v>1906</v>
      </c>
      <c r="D31" s="19" t="s">
        <v>31</v>
      </c>
      <c r="E31" s="20"/>
      <c r="F31" s="21">
        <f>'2010'!I31</f>
        <v>0</v>
      </c>
      <c r="G31" s="21"/>
      <c r="H31" s="21"/>
      <c r="I31" s="22">
        <f t="shared" si="0"/>
        <v>0</v>
      </c>
      <c r="J31" s="23"/>
      <c r="K31" s="24">
        <f>'2010'!N31</f>
        <v>0</v>
      </c>
      <c r="L31" s="21">
        <f>'2010'!L31-((Bridge!G31*Bridge!E31)/2)-(('2010'!G31*Bridge!E31)/2)</f>
        <v>0</v>
      </c>
      <c r="M31" s="21"/>
      <c r="N31" s="22">
        <f t="shared" si="1"/>
        <v>0</v>
      </c>
      <c r="O31" s="25">
        <f t="shared" si="2"/>
        <v>0</v>
      </c>
      <c r="P31">
        <f t="shared" si="3"/>
        <v>1906</v>
      </c>
      <c r="Q31" s="41">
        <f>AVERAGE(I31,Test!I31)</f>
        <v>0</v>
      </c>
    </row>
    <row r="32" spans="2:17" ht="15">
      <c r="B32" s="18">
        <v>47</v>
      </c>
      <c r="C32" s="18">
        <v>1908</v>
      </c>
      <c r="D32" s="19" t="s">
        <v>32</v>
      </c>
      <c r="E32" s="20"/>
      <c r="F32" s="21">
        <f>'2010'!I32</f>
        <v>0</v>
      </c>
      <c r="G32" s="21"/>
      <c r="H32" s="21"/>
      <c r="I32" s="22">
        <f t="shared" si="0"/>
        <v>0</v>
      </c>
      <c r="J32" s="23"/>
      <c r="K32" s="24">
        <f>'2010'!N32</f>
        <v>0</v>
      </c>
      <c r="L32" s="21">
        <f>'2010'!L32-((Bridge!G32*Bridge!E32)/2)-(('2010'!G32*Bridge!E32)/2)</f>
        <v>0</v>
      </c>
      <c r="M32" s="21"/>
      <c r="N32" s="22">
        <f t="shared" si="1"/>
        <v>0</v>
      </c>
      <c r="O32" s="25">
        <f t="shared" si="2"/>
        <v>0</v>
      </c>
      <c r="P32">
        <f t="shared" si="3"/>
        <v>1908</v>
      </c>
      <c r="Q32" s="41">
        <f>AVERAGE(I32,Test!I32)</f>
        <v>0</v>
      </c>
    </row>
    <row r="33" spans="2:17" ht="15">
      <c r="B33" s="18">
        <v>13</v>
      </c>
      <c r="C33" s="18">
        <v>1910</v>
      </c>
      <c r="D33" s="19" t="s">
        <v>18</v>
      </c>
      <c r="E33" s="20">
        <f>1/10</f>
        <v>0.1</v>
      </c>
      <c r="F33" s="21">
        <f>'2010'!I33</f>
        <v>0</v>
      </c>
      <c r="G33" s="21">
        <v>154460.94</v>
      </c>
      <c r="H33" s="21"/>
      <c r="I33" s="22">
        <f t="shared" si="0"/>
        <v>154460.94</v>
      </c>
      <c r="J33" s="23"/>
      <c r="K33" s="24">
        <f>'2010'!N33</f>
        <v>0</v>
      </c>
      <c r="L33" s="21">
        <f>'2010'!L33-((Bridge!G33*Bridge!E33)/2)-(('2010'!G33*Bridge!E33)/2)</f>
        <v>-7723.0470000000005</v>
      </c>
      <c r="M33" s="21"/>
      <c r="N33" s="22">
        <f t="shared" si="1"/>
        <v>-7723.0470000000005</v>
      </c>
      <c r="O33" s="25">
        <f t="shared" si="2"/>
        <v>146737.893</v>
      </c>
      <c r="P33">
        <f t="shared" si="3"/>
        <v>1910</v>
      </c>
      <c r="Q33" s="41">
        <f>AVERAGE(I33,Test!I33)</f>
        <v>184460.94</v>
      </c>
    </row>
    <row r="34" spans="2:17" ht="15">
      <c r="B34" s="18">
        <v>8</v>
      </c>
      <c r="C34" s="18">
        <v>1915</v>
      </c>
      <c r="D34" s="19" t="s">
        <v>33</v>
      </c>
      <c r="E34" s="20">
        <f>1/10</f>
        <v>0.1</v>
      </c>
      <c r="F34" s="21">
        <f>'2010'!I34</f>
        <v>67387.09999999999</v>
      </c>
      <c r="G34" s="21">
        <v>2404.46</v>
      </c>
      <c r="H34" s="21"/>
      <c r="I34" s="22">
        <f t="shared" si="0"/>
        <v>69791.56</v>
      </c>
      <c r="J34" s="23"/>
      <c r="K34" s="24">
        <f>'2010'!N34</f>
        <v>-54522.369999999995</v>
      </c>
      <c r="L34" s="21">
        <f>'2010'!L34-((Bridge!G34*Bridge!E34)/2)-(('2010'!G34*Bridge!E34)/2)</f>
        <v>-3946.329</v>
      </c>
      <c r="M34" s="21"/>
      <c r="N34" s="22">
        <f t="shared" si="1"/>
        <v>-58468.69899999999</v>
      </c>
      <c r="O34" s="25">
        <f t="shared" si="2"/>
        <v>11322.861000000004</v>
      </c>
      <c r="P34">
        <f t="shared" si="3"/>
        <v>1915</v>
      </c>
      <c r="Q34" s="41">
        <f>AVERAGE(I34,Test!I34)</f>
        <v>69791.56</v>
      </c>
    </row>
    <row r="35" spans="2:17" ht="15">
      <c r="B35" s="18">
        <v>8</v>
      </c>
      <c r="C35" s="18">
        <v>1915</v>
      </c>
      <c r="D35" s="19" t="s">
        <v>34</v>
      </c>
      <c r="E35" s="20">
        <f>1/5</f>
        <v>0.2</v>
      </c>
      <c r="F35" s="21">
        <f>'2010'!I35</f>
        <v>5594.49</v>
      </c>
      <c r="G35" s="21"/>
      <c r="H35" s="21"/>
      <c r="I35" s="22">
        <f t="shared" si="0"/>
        <v>5594.49</v>
      </c>
      <c r="J35" s="23"/>
      <c r="K35" s="24">
        <f>'2010'!N35</f>
        <v>-1118.898</v>
      </c>
      <c r="L35" s="21">
        <f>'2010'!L35-((Bridge!G35*Bridge!E35)/2)-(('2010'!G35*Bridge!E35)/2)</f>
        <v>-559.449</v>
      </c>
      <c r="M35" s="21"/>
      <c r="N35" s="22">
        <f t="shared" si="1"/>
        <v>-1678.3469999999998</v>
      </c>
      <c r="O35" s="25">
        <f t="shared" si="2"/>
        <v>3916.143</v>
      </c>
      <c r="P35">
        <f t="shared" si="3"/>
        <v>1915</v>
      </c>
      <c r="Q35" s="41">
        <f>AVERAGE(I35,Test!I35)</f>
        <v>5594.49</v>
      </c>
    </row>
    <row r="36" spans="2:17" ht="15">
      <c r="B36" s="18">
        <v>10</v>
      </c>
      <c r="C36" s="18">
        <v>1920</v>
      </c>
      <c r="D36" s="19" t="s">
        <v>35</v>
      </c>
      <c r="E36" s="20">
        <f>1/5</f>
        <v>0.2</v>
      </c>
      <c r="F36" s="21">
        <f>'2010'!I36</f>
        <v>83197.13</v>
      </c>
      <c r="G36" s="21">
        <v>10807.44</v>
      </c>
      <c r="H36" s="21"/>
      <c r="I36" s="22">
        <f t="shared" si="0"/>
        <v>94004.57</v>
      </c>
      <c r="J36" s="23"/>
      <c r="K36" s="24">
        <f>'2010'!N36</f>
        <v>-88387.115</v>
      </c>
      <c r="L36" s="21">
        <f>'2010'!L36-((Bridge!G36*Bridge!E36)/2)-(('2010'!G36*Bridge!E36)/2)</f>
        <v>-9179.551</v>
      </c>
      <c r="M36" s="21"/>
      <c r="N36" s="22">
        <f t="shared" si="1"/>
        <v>-97566.666</v>
      </c>
      <c r="O36" s="25">
        <f t="shared" si="2"/>
        <v>-3562.0959999999905</v>
      </c>
      <c r="P36">
        <f t="shared" si="3"/>
        <v>1920</v>
      </c>
      <c r="Q36" s="41">
        <f>AVERAGE(I36,Test!I36)</f>
        <v>106504.57</v>
      </c>
    </row>
    <row r="37" spans="2:17" ht="15">
      <c r="B37" s="18">
        <v>45</v>
      </c>
      <c r="C37" s="27">
        <v>1920</v>
      </c>
      <c r="D37" s="26" t="s">
        <v>36</v>
      </c>
      <c r="E37" s="20"/>
      <c r="F37" s="21">
        <f>'2010'!I37</f>
        <v>0</v>
      </c>
      <c r="G37" s="21"/>
      <c r="H37" s="21"/>
      <c r="I37" s="22">
        <f t="shared" si="0"/>
        <v>0</v>
      </c>
      <c r="J37" s="23"/>
      <c r="K37" s="24">
        <f>'2010'!N37</f>
        <v>0</v>
      </c>
      <c r="L37" s="21">
        <f>'2010'!L37-((Bridge!G37*Bridge!E37)/2)-(('2010'!G37*Bridge!E37)/2)</f>
        <v>0</v>
      </c>
      <c r="M37" s="21"/>
      <c r="N37" s="22">
        <f t="shared" si="1"/>
        <v>0</v>
      </c>
      <c r="O37" s="25">
        <f t="shared" si="2"/>
        <v>0</v>
      </c>
      <c r="P37">
        <f t="shared" si="3"/>
        <v>1920</v>
      </c>
      <c r="Q37" s="41">
        <f>AVERAGE(I37,Test!I37)</f>
        <v>0</v>
      </c>
    </row>
    <row r="38" spans="2:17" ht="15">
      <c r="B38" s="18">
        <v>45.1</v>
      </c>
      <c r="C38" s="27">
        <v>1920</v>
      </c>
      <c r="D38" s="26" t="s">
        <v>37</v>
      </c>
      <c r="E38" s="20"/>
      <c r="F38" s="21">
        <f>'2010'!I38</f>
        <v>0</v>
      </c>
      <c r="G38" s="21"/>
      <c r="H38" s="21"/>
      <c r="I38" s="22">
        <f t="shared" si="0"/>
        <v>0</v>
      </c>
      <c r="J38" s="23"/>
      <c r="K38" s="24">
        <f>'2010'!N38</f>
        <v>0</v>
      </c>
      <c r="L38" s="21">
        <f>'2010'!L38-((Bridge!G38*Bridge!E38)/2)-(('2010'!G38*Bridge!E38)/2)</f>
        <v>0</v>
      </c>
      <c r="M38" s="21"/>
      <c r="N38" s="22">
        <f t="shared" si="1"/>
        <v>0</v>
      </c>
      <c r="O38" s="25">
        <f t="shared" si="2"/>
        <v>0</v>
      </c>
      <c r="P38">
        <f t="shared" si="3"/>
        <v>1920</v>
      </c>
      <c r="Q38" s="41">
        <f>AVERAGE(I38,Test!I38)</f>
        <v>0</v>
      </c>
    </row>
    <row r="39" spans="2:17" ht="15">
      <c r="B39" s="18">
        <v>12</v>
      </c>
      <c r="C39" s="18">
        <v>1925</v>
      </c>
      <c r="D39" s="19" t="s">
        <v>38</v>
      </c>
      <c r="E39" s="20">
        <f>1/5</f>
        <v>0.2</v>
      </c>
      <c r="F39" s="21">
        <f>'2010'!I39</f>
        <v>672084.23</v>
      </c>
      <c r="G39" s="21">
        <v>19606.9</v>
      </c>
      <c r="H39" s="21"/>
      <c r="I39" s="22">
        <f t="shared" si="0"/>
        <v>691691.13</v>
      </c>
      <c r="J39" s="23"/>
      <c r="K39" s="24">
        <f>'2010'!N39</f>
        <v>-564550.015</v>
      </c>
      <c r="L39" s="21">
        <f>'2010'!L39-((Bridge!G39*Bridge!E39)/2)-(('2010'!G39*Bridge!E39)/2)</f>
        <v>-109376.02200000001</v>
      </c>
      <c r="M39" s="21"/>
      <c r="N39" s="22">
        <f t="shared" si="1"/>
        <v>-673926.037</v>
      </c>
      <c r="O39" s="25">
        <f t="shared" si="2"/>
        <v>17765.092999999993</v>
      </c>
      <c r="P39">
        <f t="shared" si="3"/>
        <v>1925</v>
      </c>
      <c r="Q39" s="41">
        <f>AVERAGE(I39,Test!I39)</f>
        <v>691691.13</v>
      </c>
    </row>
    <row r="40" spans="2:17" ht="15">
      <c r="B40" s="18">
        <v>10</v>
      </c>
      <c r="C40" s="18">
        <v>1930</v>
      </c>
      <c r="D40" s="19" t="s">
        <v>39</v>
      </c>
      <c r="E40" s="20">
        <f>1/8</f>
        <v>0.125</v>
      </c>
      <c r="F40" s="21">
        <f>'2010'!I40</f>
        <v>2095761.89</v>
      </c>
      <c r="G40" s="21">
        <v>596684.9600000001</v>
      </c>
      <c r="H40" s="21"/>
      <c r="I40" s="22">
        <f t="shared" si="0"/>
        <v>2692446.85</v>
      </c>
      <c r="J40" s="23"/>
      <c r="K40" s="24">
        <f>'2010'!N40</f>
        <v>-196102.920625</v>
      </c>
      <c r="L40" s="21">
        <f>'2010'!L40-((Bridge!G40*Bridge!E40)/2)-(('2010'!G40*Bridge!E40)/2)</f>
        <v>-301632.65375</v>
      </c>
      <c r="M40" s="21"/>
      <c r="N40" s="22">
        <f t="shared" si="1"/>
        <v>-497735.57437499997</v>
      </c>
      <c r="O40" s="25">
        <f t="shared" si="2"/>
        <v>2194711.2756250002</v>
      </c>
      <c r="P40">
        <f t="shared" si="3"/>
        <v>1930</v>
      </c>
      <c r="Q40" s="41">
        <f>AVERAGE(I40,Test!I40)</f>
        <v>2882446.85</v>
      </c>
    </row>
    <row r="41" spans="2:17" ht="15">
      <c r="B41" s="18">
        <v>8</v>
      </c>
      <c r="C41" s="18">
        <v>1935</v>
      </c>
      <c r="D41" s="19" t="s">
        <v>40</v>
      </c>
      <c r="E41" s="20">
        <f>1/5</f>
        <v>0.2</v>
      </c>
      <c r="F41" s="21">
        <f>'2010'!I41</f>
        <v>1254.42</v>
      </c>
      <c r="G41" s="21"/>
      <c r="H41" s="21"/>
      <c r="I41" s="22">
        <f t="shared" si="0"/>
        <v>1254.42</v>
      </c>
      <c r="J41" s="23"/>
      <c r="K41" s="24">
        <f>'2010'!N41</f>
        <v>-781.306</v>
      </c>
      <c r="L41" s="21">
        <f>'2010'!L41-((Bridge!G41*Bridge!E41)/2)-(('2010'!G41*Bridge!E41)/2)</f>
        <v>-342.284</v>
      </c>
      <c r="M41" s="21"/>
      <c r="N41" s="22">
        <f t="shared" si="1"/>
        <v>-1123.5900000000001</v>
      </c>
      <c r="O41" s="25">
        <f t="shared" si="2"/>
        <v>130.82999999999993</v>
      </c>
      <c r="P41">
        <f t="shared" si="3"/>
        <v>1935</v>
      </c>
      <c r="Q41" s="41">
        <f>AVERAGE(I41,Test!I41)</f>
        <v>1254.42</v>
      </c>
    </row>
    <row r="42" spans="2:17" ht="15">
      <c r="B42" s="18">
        <v>8</v>
      </c>
      <c r="C42" s="18">
        <v>1940</v>
      </c>
      <c r="D42" s="19" t="s">
        <v>41</v>
      </c>
      <c r="E42" s="20">
        <f>1/5</f>
        <v>0.2</v>
      </c>
      <c r="F42" s="21">
        <f>'2010'!I42</f>
        <v>118508.31</v>
      </c>
      <c r="G42" s="21">
        <v>35356.44</v>
      </c>
      <c r="H42" s="21"/>
      <c r="I42" s="22">
        <f t="shared" si="0"/>
        <v>153864.75</v>
      </c>
      <c r="J42" s="23"/>
      <c r="K42" s="24">
        <f>'2010'!N42</f>
        <v>-97731.11399999999</v>
      </c>
      <c r="L42" s="21">
        <f>'2010'!L42-((Bridge!G42*Bridge!E42)/2)-(('2010'!G42*Bridge!E42)/2)</f>
        <v>-16462.904</v>
      </c>
      <c r="M42" s="21"/>
      <c r="N42" s="22">
        <f t="shared" si="1"/>
        <v>-114194.01799999998</v>
      </c>
      <c r="O42" s="25">
        <f t="shared" si="2"/>
        <v>39670.73200000002</v>
      </c>
      <c r="P42">
        <f t="shared" si="3"/>
        <v>1940</v>
      </c>
      <c r="Q42" s="41">
        <f>AVERAGE(I42,Test!I42)</f>
        <v>171364.75</v>
      </c>
    </row>
    <row r="43" spans="2:17" ht="15">
      <c r="B43" s="18">
        <v>8</v>
      </c>
      <c r="C43" s="18">
        <v>1945</v>
      </c>
      <c r="D43" s="19" t="s">
        <v>42</v>
      </c>
      <c r="E43" s="20">
        <f>1/5</f>
        <v>0.2</v>
      </c>
      <c r="F43" s="21">
        <f>'2010'!I43</f>
        <v>14406.3</v>
      </c>
      <c r="G43" s="21">
        <v>56</v>
      </c>
      <c r="H43" s="21"/>
      <c r="I43" s="22">
        <f t="shared" si="0"/>
        <v>14462.3</v>
      </c>
      <c r="J43" s="23"/>
      <c r="K43" s="24">
        <f>'2010'!N43</f>
        <v>-1102.7900000000002</v>
      </c>
      <c r="L43" s="21">
        <f>'2010'!L43-((Bridge!G43*Bridge!E43)/2)-(('2010'!G43*Bridge!E43)/2)</f>
        <v>-685.4600000000002</v>
      </c>
      <c r="M43" s="21"/>
      <c r="N43" s="22">
        <f t="shared" si="1"/>
        <v>-1788.2500000000005</v>
      </c>
      <c r="O43" s="25">
        <f t="shared" si="2"/>
        <v>12674.05</v>
      </c>
      <c r="P43">
        <f t="shared" si="3"/>
        <v>1945</v>
      </c>
      <c r="Q43" s="41">
        <f>AVERAGE(I43,Test!I43)</f>
        <v>14462.3</v>
      </c>
    </row>
    <row r="44" spans="2:17" ht="15">
      <c r="B44" s="18">
        <v>8</v>
      </c>
      <c r="C44" s="18">
        <v>1950</v>
      </c>
      <c r="D44" s="19" t="s">
        <v>43</v>
      </c>
      <c r="E44" s="20">
        <f>1/5</f>
        <v>0.2</v>
      </c>
      <c r="F44" s="21">
        <f>'2010'!I44</f>
        <v>64091</v>
      </c>
      <c r="G44" s="21"/>
      <c r="H44" s="21"/>
      <c r="I44" s="22">
        <f t="shared" si="0"/>
        <v>64091</v>
      </c>
      <c r="J44" s="23"/>
      <c r="K44" s="24">
        <f>'2010'!N44</f>
        <v>-468</v>
      </c>
      <c r="L44" s="21">
        <f>'2010'!L44-((Bridge!G44*Bridge!E44)/2)-(('2010'!G44*Bridge!E44)/2)</f>
        <v>0</v>
      </c>
      <c r="M44" s="21"/>
      <c r="N44" s="22">
        <f t="shared" si="1"/>
        <v>-468</v>
      </c>
      <c r="O44" s="25">
        <f t="shared" si="2"/>
        <v>63623</v>
      </c>
      <c r="P44">
        <f t="shared" si="3"/>
        <v>1950</v>
      </c>
      <c r="Q44" s="41">
        <f>AVERAGE(I44,Test!I44)</f>
        <v>64091</v>
      </c>
    </row>
    <row r="45" spans="2:17" ht="15">
      <c r="B45" s="18">
        <v>8</v>
      </c>
      <c r="C45" s="18">
        <v>1955</v>
      </c>
      <c r="D45" s="19" t="s">
        <v>44</v>
      </c>
      <c r="E45" s="20"/>
      <c r="F45" s="21">
        <f>'2010'!I45</f>
        <v>0</v>
      </c>
      <c r="G45" s="21"/>
      <c r="H45" s="21"/>
      <c r="I45" s="22">
        <f t="shared" si="0"/>
        <v>0</v>
      </c>
      <c r="J45" s="23"/>
      <c r="K45" s="24">
        <f>'2010'!N45</f>
        <v>0</v>
      </c>
      <c r="L45" s="21">
        <f>'2010'!L45-((Bridge!G45*Bridge!E45)/2)-(('2010'!G45*Bridge!E45)/2)</f>
        <v>0</v>
      </c>
      <c r="M45" s="21"/>
      <c r="N45" s="22">
        <f t="shared" si="1"/>
        <v>0</v>
      </c>
      <c r="O45" s="25">
        <f t="shared" si="2"/>
        <v>0</v>
      </c>
      <c r="P45">
        <f t="shared" si="3"/>
        <v>1955</v>
      </c>
      <c r="Q45" s="41">
        <f>AVERAGE(I45,Test!I45)</f>
        <v>0</v>
      </c>
    </row>
    <row r="46" spans="2:17" ht="15">
      <c r="B46" s="29">
        <v>8</v>
      </c>
      <c r="C46" s="29">
        <v>1955</v>
      </c>
      <c r="D46" s="30" t="s">
        <v>45</v>
      </c>
      <c r="E46" s="20"/>
      <c r="F46" s="21">
        <f>'2010'!I46</f>
        <v>0</v>
      </c>
      <c r="G46" s="21"/>
      <c r="H46" s="21"/>
      <c r="I46" s="22">
        <f t="shared" si="0"/>
        <v>0</v>
      </c>
      <c r="J46" s="23"/>
      <c r="K46" s="24">
        <f>'2010'!N46</f>
        <v>0</v>
      </c>
      <c r="L46" s="21">
        <f>'2010'!L46-((Bridge!G46*Bridge!E46)/2)-(('2010'!G46*Bridge!E46)/2)</f>
        <v>0</v>
      </c>
      <c r="M46" s="21"/>
      <c r="N46" s="22">
        <f t="shared" si="1"/>
        <v>0</v>
      </c>
      <c r="O46" s="25">
        <f t="shared" si="2"/>
        <v>0</v>
      </c>
      <c r="P46">
        <f t="shared" si="3"/>
        <v>1955</v>
      </c>
      <c r="Q46" s="41">
        <f>AVERAGE(I46,Test!I46)</f>
        <v>0</v>
      </c>
    </row>
    <row r="47" spans="2:17" ht="15">
      <c r="B47" s="27">
        <v>8</v>
      </c>
      <c r="C47" s="27">
        <v>1960</v>
      </c>
      <c r="D47" s="26" t="s">
        <v>46</v>
      </c>
      <c r="E47" s="20"/>
      <c r="F47" s="21">
        <f>'2010'!I47</f>
        <v>0</v>
      </c>
      <c r="G47" s="21"/>
      <c r="H47" s="21"/>
      <c r="I47" s="22">
        <f t="shared" si="0"/>
        <v>0</v>
      </c>
      <c r="J47" s="23"/>
      <c r="K47" s="24">
        <f>'2010'!N47</f>
        <v>0</v>
      </c>
      <c r="L47" s="21">
        <f>'2010'!L47-((Bridge!G47*Bridge!E47)/2)-(('2010'!G47*Bridge!E47)/2)</f>
        <v>0</v>
      </c>
      <c r="M47" s="21"/>
      <c r="N47" s="22">
        <f t="shared" si="1"/>
        <v>0</v>
      </c>
      <c r="O47" s="25">
        <f t="shared" si="2"/>
        <v>0</v>
      </c>
      <c r="P47">
        <f t="shared" si="3"/>
        <v>1960</v>
      </c>
      <c r="Q47" s="41">
        <f>AVERAGE(I47,Test!I47)</f>
        <v>0</v>
      </c>
    </row>
    <row r="48" spans="2:17" ht="15">
      <c r="B48" s="18">
        <v>47</v>
      </c>
      <c r="C48" s="18">
        <v>1975</v>
      </c>
      <c r="D48" s="19" t="s">
        <v>47</v>
      </c>
      <c r="E48" s="20"/>
      <c r="F48" s="21">
        <f>'2010'!I48</f>
        <v>0</v>
      </c>
      <c r="G48" s="21"/>
      <c r="H48" s="21"/>
      <c r="I48" s="22">
        <f t="shared" si="0"/>
        <v>0</v>
      </c>
      <c r="J48" s="23"/>
      <c r="K48" s="24">
        <f>'2010'!N48</f>
        <v>0</v>
      </c>
      <c r="L48" s="21">
        <f>'2010'!L48-((Bridge!G48*Bridge!E48)/2)-(('2010'!G48*Bridge!E48)/2)</f>
        <v>0</v>
      </c>
      <c r="M48" s="21"/>
      <c r="N48" s="22">
        <f t="shared" si="1"/>
        <v>0</v>
      </c>
      <c r="O48" s="25">
        <f t="shared" si="2"/>
        <v>0</v>
      </c>
      <c r="P48">
        <f t="shared" si="3"/>
        <v>1975</v>
      </c>
      <c r="Q48" s="41">
        <f>AVERAGE(I48,Test!I48)</f>
        <v>0</v>
      </c>
    </row>
    <row r="49" spans="2:17" ht="15">
      <c r="B49" s="18">
        <v>47</v>
      </c>
      <c r="C49" s="18">
        <v>1980</v>
      </c>
      <c r="D49" s="19" t="s">
        <v>48</v>
      </c>
      <c r="E49" s="20"/>
      <c r="F49" s="21">
        <f>'2010'!I49</f>
        <v>0</v>
      </c>
      <c r="G49" s="21"/>
      <c r="H49" s="21"/>
      <c r="I49" s="22">
        <f t="shared" si="0"/>
        <v>0</v>
      </c>
      <c r="J49" s="23"/>
      <c r="K49" s="24">
        <f>'2010'!N49</f>
        <v>0</v>
      </c>
      <c r="L49" s="21">
        <f>'2010'!L49-((Bridge!G49*Bridge!E49)/2)-(('2010'!G49*Bridge!E49)/2)</f>
        <v>0</v>
      </c>
      <c r="M49" s="21"/>
      <c r="N49" s="22">
        <f t="shared" si="1"/>
        <v>0</v>
      </c>
      <c r="O49" s="25">
        <f t="shared" si="2"/>
        <v>0</v>
      </c>
      <c r="P49">
        <f t="shared" si="3"/>
        <v>1980</v>
      </c>
      <c r="Q49" s="41">
        <f>AVERAGE(I49,Test!I49)</f>
        <v>100000</v>
      </c>
    </row>
    <row r="50" spans="2:17" ht="15">
      <c r="B50" s="18">
        <v>47</v>
      </c>
      <c r="C50" s="18">
        <v>1985</v>
      </c>
      <c r="D50" s="19" t="s">
        <v>49</v>
      </c>
      <c r="E50" s="20"/>
      <c r="F50" s="21">
        <f>'2010'!I50</f>
        <v>0</v>
      </c>
      <c r="G50" s="21"/>
      <c r="H50" s="21"/>
      <c r="I50" s="22">
        <f t="shared" si="0"/>
        <v>0</v>
      </c>
      <c r="J50" s="23"/>
      <c r="K50" s="24">
        <f>'2010'!N50</f>
        <v>0</v>
      </c>
      <c r="L50" s="21">
        <f>'2010'!L50-((Bridge!G50*Bridge!E50)/2)-(('2010'!G50*Bridge!E50)/2)</f>
        <v>0</v>
      </c>
      <c r="M50" s="21"/>
      <c r="N50" s="22">
        <f t="shared" si="1"/>
        <v>0</v>
      </c>
      <c r="O50" s="25">
        <f t="shared" si="2"/>
        <v>0</v>
      </c>
      <c r="Q50" s="41">
        <f>AVERAGE(I50,Test!I50)</f>
        <v>0</v>
      </c>
    </row>
    <row r="51" spans="2:17" ht="15">
      <c r="B51" s="18">
        <v>47</v>
      </c>
      <c r="C51" s="18">
        <v>1995</v>
      </c>
      <c r="D51" s="19" t="s">
        <v>50</v>
      </c>
      <c r="E51" s="20">
        <f>1/25</f>
        <v>0.04</v>
      </c>
      <c r="F51" s="21">
        <f>'2010'!I51</f>
        <v>-3295792.7949999995</v>
      </c>
      <c r="G51" s="21">
        <v>-445442.64999999973</v>
      </c>
      <c r="H51" s="21"/>
      <c r="I51" s="22">
        <f t="shared" si="0"/>
        <v>-3741235.4449999994</v>
      </c>
      <c r="J51" s="23"/>
      <c r="K51" s="24">
        <f>'2010'!N51</f>
        <v>466621.37520000007</v>
      </c>
      <c r="L51" s="21">
        <f>'2010'!L51-((Bridge!G51*Bridge!E51)/2)-(('2010'!G51*Bridge!E51)/2)</f>
        <v>156252.36440000002</v>
      </c>
      <c r="M51" s="21"/>
      <c r="N51" s="22">
        <f t="shared" si="1"/>
        <v>622873.7396000001</v>
      </c>
      <c r="O51" s="25">
        <f t="shared" si="2"/>
        <v>-3118361.7053999994</v>
      </c>
      <c r="Q51" s="41">
        <f>AVERAGE(I51,Test!I51)</f>
        <v>-3983735.4449999994</v>
      </c>
    </row>
    <row r="52" spans="2:17" ht="15">
      <c r="B52" s="18"/>
      <c r="C52" s="18" t="s">
        <v>51</v>
      </c>
      <c r="D52" s="19"/>
      <c r="E52" s="20"/>
      <c r="F52" s="21"/>
      <c r="G52" s="21"/>
      <c r="H52" s="21"/>
      <c r="I52" s="22">
        <f t="shared" si="0"/>
        <v>0</v>
      </c>
      <c r="K52" s="24">
        <f>'2010'!N52</f>
        <v>0</v>
      </c>
      <c r="L52" s="21"/>
      <c r="M52" s="21"/>
      <c r="N52" s="22">
        <f t="shared" si="1"/>
        <v>0</v>
      </c>
      <c r="O52" s="25">
        <f t="shared" si="2"/>
        <v>0</v>
      </c>
      <c r="Q52" s="41">
        <f>AVERAGE(I52,Test!I52)</f>
        <v>0</v>
      </c>
    </row>
    <row r="53" spans="2:17" ht="15">
      <c r="B53" s="18"/>
      <c r="C53" s="18"/>
      <c r="D53" s="19"/>
      <c r="E53" s="20"/>
      <c r="F53" s="31"/>
      <c r="G53" s="31"/>
      <c r="H53" s="31"/>
      <c r="I53" s="19"/>
      <c r="K53" s="31"/>
      <c r="L53" s="31"/>
      <c r="M53" s="31"/>
      <c r="N53" s="19"/>
      <c r="O53" s="19"/>
      <c r="Q53" s="41"/>
    </row>
    <row r="54" spans="2:18" ht="15">
      <c r="B54" s="18"/>
      <c r="C54" s="18"/>
      <c r="D54" s="32" t="s">
        <v>52</v>
      </c>
      <c r="E54" s="32"/>
      <c r="F54" s="33">
        <f>SUM(F16:F52)</f>
        <v>35371441.775</v>
      </c>
      <c r="G54" s="33">
        <f>SUM(G16:G52)</f>
        <v>2433917.7399999998</v>
      </c>
      <c r="H54" s="33">
        <f>SUM(H16:H52)</f>
        <v>0</v>
      </c>
      <c r="I54" s="33">
        <f>SUM(I16:I52)</f>
        <v>37805359.51500001</v>
      </c>
      <c r="J54" s="34"/>
      <c r="K54" s="35">
        <f>SUM(K16:K52)</f>
        <v>-11837481.030425</v>
      </c>
      <c r="L54" s="35">
        <f>SUM(L16:L52)</f>
        <v>-1750927.30535</v>
      </c>
      <c r="M54" s="35">
        <f>SUM(M16:M52)</f>
        <v>0</v>
      </c>
      <c r="N54" s="35">
        <f>SUM(N16:N52)</f>
        <v>-13588408.335774997</v>
      </c>
      <c r="O54" s="33">
        <f t="shared" si="2"/>
        <v>24216951.179225013</v>
      </c>
      <c r="Q54" s="41">
        <f>AVERAGE(I54,Test!I54)</f>
        <v>39225359.51500001</v>
      </c>
      <c r="R54" s="41">
        <f>AVERAGE(N54,Test!N54)</f>
        <v>-14553569.064549997</v>
      </c>
    </row>
    <row r="55" spans="17:18" ht="15">
      <c r="Q55" s="42">
        <f>Q54-'[1]I3 TB Data'!$F$153</f>
        <v>39225359.51500001</v>
      </c>
      <c r="R55" s="41">
        <f>AVERAGE(L54,Test!L54)</f>
        <v>-1840624.38145</v>
      </c>
    </row>
    <row r="56" spans="5:12" ht="15">
      <c r="E56" s="2"/>
      <c r="K56" s="36" t="s">
        <v>53</v>
      </c>
      <c r="L56" s="36"/>
    </row>
    <row r="57" spans="2:13" ht="15">
      <c r="B57" s="18">
        <v>10</v>
      </c>
      <c r="C57" s="18"/>
      <c r="D57" s="19" t="s">
        <v>54</v>
      </c>
      <c r="E57" s="2"/>
      <c r="K57" s="36" t="s">
        <v>54</v>
      </c>
      <c r="L57" s="36"/>
      <c r="M57" s="28"/>
    </row>
    <row r="58" spans="2:13" ht="15">
      <c r="B58" s="18">
        <v>8</v>
      </c>
      <c r="C58" s="18"/>
      <c r="D58" s="19" t="s">
        <v>40</v>
      </c>
      <c r="K58" s="36" t="s">
        <v>40</v>
      </c>
      <c r="L58" s="36"/>
      <c r="M58" s="37"/>
    </row>
    <row r="59" spans="11:13" ht="15">
      <c r="K59" s="38" t="s">
        <v>55</v>
      </c>
      <c r="M59" s="39">
        <f>M54-M57-M58</f>
        <v>0</v>
      </c>
    </row>
    <row r="61" spans="2:6" ht="15">
      <c r="B61" s="62" t="s">
        <v>56</v>
      </c>
      <c r="C61" s="63"/>
      <c r="D61" s="63"/>
      <c r="E61" s="63"/>
      <c r="F61" s="63"/>
    </row>
    <row r="63" ht="15">
      <c r="B63" s="40" t="s">
        <v>57</v>
      </c>
    </row>
    <row r="65" spans="2:15" ht="15">
      <c r="B65" s="1">
        <v>1</v>
      </c>
      <c r="C65" s="64" t="s">
        <v>58</v>
      </c>
      <c r="D65" s="64"/>
      <c r="E65" s="64"/>
      <c r="F65" s="64"/>
      <c r="G65" s="64"/>
      <c r="H65" s="64"/>
      <c r="I65" s="64"/>
      <c r="J65" s="64"/>
      <c r="K65" s="64"/>
      <c r="L65" s="64"/>
      <c r="M65" s="64"/>
      <c r="N65" s="64"/>
      <c r="O65" s="64"/>
    </row>
    <row r="66" spans="3:15" ht="15">
      <c r="C66" s="64"/>
      <c r="D66" s="64"/>
      <c r="E66" s="64"/>
      <c r="F66" s="64"/>
      <c r="G66" s="64"/>
      <c r="H66" s="64"/>
      <c r="I66" s="64"/>
      <c r="J66" s="64"/>
      <c r="K66" s="64"/>
      <c r="L66" s="64"/>
      <c r="M66" s="64"/>
      <c r="N66" s="64"/>
      <c r="O66" s="64"/>
    </row>
    <row r="68" ht="12.75" customHeight="1"/>
    <row r="69" spans="2:15" ht="15">
      <c r="B69" s="1">
        <v>2</v>
      </c>
      <c r="C69" s="55" t="s">
        <v>59</v>
      </c>
      <c r="D69" s="55"/>
      <c r="E69" s="55"/>
      <c r="F69" s="55"/>
      <c r="G69" s="55"/>
      <c r="H69" s="55"/>
      <c r="I69" s="55"/>
      <c r="J69" s="55"/>
      <c r="K69" s="55"/>
      <c r="L69" s="55"/>
      <c r="M69" s="55"/>
      <c r="N69" s="55"/>
      <c r="O69" s="55"/>
    </row>
    <row r="70" spans="3:15" ht="15">
      <c r="C70" s="55"/>
      <c r="D70" s="55"/>
      <c r="E70" s="55"/>
      <c r="F70" s="55"/>
      <c r="G70" s="55"/>
      <c r="H70" s="55"/>
      <c r="I70" s="55"/>
      <c r="J70" s="55"/>
      <c r="K70" s="55"/>
      <c r="L70" s="55"/>
      <c r="M70" s="55"/>
      <c r="N70" s="55"/>
      <c r="O70" s="55"/>
    </row>
    <row r="72" spans="2:15" ht="15">
      <c r="B72" s="1">
        <v>3</v>
      </c>
      <c r="C72" s="56" t="s">
        <v>60</v>
      </c>
      <c r="D72" s="56"/>
      <c r="E72" s="56"/>
      <c r="F72" s="56"/>
      <c r="G72" s="56"/>
      <c r="H72" s="56"/>
      <c r="I72" s="56"/>
      <c r="J72" s="56"/>
      <c r="K72" s="56"/>
      <c r="L72" s="56"/>
      <c r="M72" s="56"/>
      <c r="N72" s="56"/>
      <c r="O72" s="56"/>
    </row>
  </sheetData>
  <sheetProtection/>
  <mergeCells count="8">
    <mergeCell ref="C69:O70"/>
    <mergeCell ref="C72:O72"/>
    <mergeCell ref="F9:I9"/>
    <mergeCell ref="F10:J10"/>
    <mergeCell ref="G12:H12"/>
    <mergeCell ref="F14:I14"/>
    <mergeCell ref="B61:F61"/>
    <mergeCell ref="C65:O66"/>
  </mergeCells>
  <dataValidations count="1">
    <dataValidation allowBlank="1" showInputMessage="1" showErrorMessage="1" promptTitle="Date Format" prompt="E.g:  &quot;August 1, 2011&quot;" sqref="O7"/>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O90"/>
  <sheetViews>
    <sheetView zoomScalePageLayoutView="0" workbookViewId="0" topLeftCell="D1">
      <selection activeCell="D1" sqref="A1:IV7"/>
    </sheetView>
  </sheetViews>
  <sheetFormatPr defaultColWidth="9.140625" defaultRowHeight="15"/>
  <cols>
    <col min="1" max="1" width="2.8515625" style="0" customWidth="1"/>
    <col min="2" max="2" width="7.7109375" style="1" customWidth="1"/>
    <col min="3" max="3" width="6.421875" style="1" customWidth="1"/>
    <col min="4" max="4" width="37.8515625" style="0" customWidth="1"/>
    <col min="5" max="5" width="12.7109375" style="0" customWidth="1"/>
    <col min="6" max="6" width="14.421875" style="0" customWidth="1"/>
    <col min="7" max="7" width="13.00390625" style="0" customWidth="1"/>
    <col min="8" max="8" width="12.7109375" style="0" bestFit="1" customWidth="1"/>
    <col min="9" max="9" width="15.28125" style="0" bestFit="1" customWidth="1"/>
    <col min="10" max="10" width="1.7109375" style="2" customWidth="1"/>
    <col min="11" max="11" width="14.28125" style="0" customWidth="1"/>
    <col min="12" max="12" width="13.421875" style="0" customWidth="1"/>
    <col min="13" max="13" width="11.8515625" style="0" customWidth="1"/>
    <col min="14" max="14" width="14.57421875" style="0" bestFit="1" customWidth="1"/>
    <col min="15" max="15" width="14.140625" style="0" bestFit="1" customWidth="1"/>
  </cols>
  <sheetData>
    <row r="1" spans="14:15" ht="15">
      <c r="N1" s="3" t="s">
        <v>0</v>
      </c>
      <c r="O1" s="4" t="s">
        <v>61</v>
      </c>
    </row>
    <row r="2" spans="2:14" s="66" customFormat="1" ht="15">
      <c r="B2" s="65"/>
      <c r="C2" s="65"/>
      <c r="J2" s="7"/>
      <c r="N2" s="67"/>
    </row>
    <row r="3" spans="2:14" s="66" customFormat="1" ht="15">
      <c r="B3" s="65"/>
      <c r="C3" s="65"/>
      <c r="J3" s="7"/>
      <c r="N3" s="67"/>
    </row>
    <row r="4" spans="2:14" s="66" customFormat="1" ht="15">
      <c r="B4" s="65"/>
      <c r="C4" s="65"/>
      <c r="J4" s="7"/>
      <c r="N4" s="67"/>
    </row>
    <row r="5" spans="2:14" s="66" customFormat="1" ht="15">
      <c r="B5" s="65"/>
      <c r="C5" s="65"/>
      <c r="J5" s="7"/>
      <c r="N5" s="67"/>
    </row>
    <row r="6" spans="2:14" s="66" customFormat="1" ht="9" customHeight="1">
      <c r="B6" s="65"/>
      <c r="C6" s="65"/>
      <c r="J6" s="7"/>
      <c r="N6" s="67"/>
    </row>
    <row r="7" spans="2:15" s="66" customFormat="1" ht="15">
      <c r="B7" s="65"/>
      <c r="C7" s="65"/>
      <c r="J7" s="7"/>
      <c r="N7" s="67"/>
      <c r="O7" s="68"/>
    </row>
    <row r="8" ht="9" customHeight="1"/>
    <row r="9" spans="6:9" ht="20.25" customHeight="1">
      <c r="F9" s="57" t="s">
        <v>1</v>
      </c>
      <c r="G9" s="57"/>
      <c r="H9" s="57"/>
      <c r="I9" s="57"/>
    </row>
    <row r="10" spans="6:10" ht="18">
      <c r="F10" s="57" t="s">
        <v>2</v>
      </c>
      <c r="G10" s="57"/>
      <c r="H10" s="57"/>
      <c r="I10" s="57"/>
      <c r="J10" s="57"/>
    </row>
    <row r="12" spans="6:9" ht="15">
      <c r="F12" s="5" t="s">
        <v>3</v>
      </c>
      <c r="G12" s="58">
        <v>2012</v>
      </c>
      <c r="H12" s="58"/>
      <c r="I12" s="6"/>
    </row>
    <row r="14" spans="5:15" ht="15">
      <c r="E14" s="7"/>
      <c r="F14" s="59" t="s">
        <v>4</v>
      </c>
      <c r="G14" s="60"/>
      <c r="H14" s="60"/>
      <c r="I14" s="61"/>
      <c r="K14" s="8"/>
      <c r="L14" s="9" t="s">
        <v>5</v>
      </c>
      <c r="M14" s="9"/>
      <c r="N14" s="10"/>
      <c r="O14" s="2"/>
    </row>
    <row r="15" spans="2:15" ht="26.25">
      <c r="B15" s="11" t="s">
        <v>6</v>
      </c>
      <c r="C15" s="12" t="s">
        <v>7</v>
      </c>
      <c r="D15" s="13" t="s">
        <v>8</v>
      </c>
      <c r="E15" s="11" t="s">
        <v>9</v>
      </c>
      <c r="F15" s="11" t="s">
        <v>10</v>
      </c>
      <c r="G15" s="12" t="s">
        <v>11</v>
      </c>
      <c r="H15" s="12" t="s">
        <v>12</v>
      </c>
      <c r="I15" s="11" t="s">
        <v>13</v>
      </c>
      <c r="J15" s="14"/>
      <c r="K15" s="15" t="s">
        <v>10</v>
      </c>
      <c r="L15" s="16" t="s">
        <v>11</v>
      </c>
      <c r="M15" s="16" t="s">
        <v>12</v>
      </c>
      <c r="N15" s="17" t="s">
        <v>13</v>
      </c>
      <c r="O15" s="11" t="s">
        <v>14</v>
      </c>
    </row>
    <row r="16" spans="2:15" ht="15">
      <c r="B16" s="18" t="s">
        <v>15</v>
      </c>
      <c r="C16" s="18">
        <v>1805</v>
      </c>
      <c r="D16" s="19" t="s">
        <v>16</v>
      </c>
      <c r="E16" s="20"/>
      <c r="F16" s="21">
        <f>Bridge!I16</f>
        <v>158943.96000000002</v>
      </c>
      <c r="G16" s="21"/>
      <c r="H16" s="21"/>
      <c r="I16" s="22">
        <f>F16+G16+H16</f>
        <v>158943.96000000002</v>
      </c>
      <c r="J16" s="23"/>
      <c r="K16" s="24">
        <f>Bridge!N16</f>
        <v>0</v>
      </c>
      <c r="L16" s="21">
        <f>Bridge!L16-((Test!G16*Test!E16)/2)-((Bridge!G17*Test!E16)/2)</f>
        <v>0</v>
      </c>
      <c r="M16" s="21"/>
      <c r="N16" s="22">
        <f>K16+L16+M16</f>
        <v>0</v>
      </c>
      <c r="O16" s="25">
        <f>I16+N16</f>
        <v>158943.96000000002</v>
      </c>
    </row>
    <row r="17" spans="2:15" ht="15">
      <c r="B17" s="18">
        <v>47</v>
      </c>
      <c r="C17" s="18">
        <v>1808</v>
      </c>
      <c r="D17" s="19" t="s">
        <v>17</v>
      </c>
      <c r="E17" s="20">
        <f>1/25</f>
        <v>0.04</v>
      </c>
      <c r="F17" s="21">
        <f>Bridge!I17</f>
        <v>174881.7</v>
      </c>
      <c r="G17" s="21"/>
      <c r="H17" s="21"/>
      <c r="I17" s="22">
        <f aca="true" t="shared" si="0" ref="I17:I52">F17+G17+H17</f>
        <v>174881.7</v>
      </c>
      <c r="J17" s="23"/>
      <c r="K17" s="24">
        <f>Bridge!N17</f>
        <v>-55929.6136</v>
      </c>
      <c r="L17" s="21">
        <f>Bridge!L17-((Test!G17*Test!E17)/2)-((Bridge!G17*Test!E17)/2)</f>
        <v>-6933.058000000001</v>
      </c>
      <c r="M17" s="21"/>
      <c r="N17" s="22">
        <f aca="true" t="shared" si="1" ref="N17:N52">K17+L17+M17</f>
        <v>-62862.6716</v>
      </c>
      <c r="O17" s="25">
        <f aca="true" t="shared" si="2" ref="O17:O54">I17+N17</f>
        <v>112019.02840000001</v>
      </c>
    </row>
    <row r="18" spans="2:15" ht="15">
      <c r="B18" s="18">
        <v>13</v>
      </c>
      <c r="C18" s="18">
        <v>1810</v>
      </c>
      <c r="D18" s="19" t="s">
        <v>18</v>
      </c>
      <c r="E18" s="20">
        <f>1/10</f>
        <v>0.1</v>
      </c>
      <c r="F18" s="21">
        <f>Bridge!I18</f>
        <v>7040</v>
      </c>
      <c r="G18" s="21"/>
      <c r="H18" s="21"/>
      <c r="I18" s="22">
        <f t="shared" si="0"/>
        <v>7040</v>
      </c>
      <c r="J18" s="23"/>
      <c r="K18" s="24">
        <f>Bridge!N18</f>
        <v>-8448</v>
      </c>
      <c r="L18" s="21">
        <f>Bridge!L18-((Test!G18*Test!E18)/2)-((Bridge!G18*Test!E18)/2)</f>
        <v>-1408</v>
      </c>
      <c r="M18" s="21"/>
      <c r="N18" s="22">
        <f t="shared" si="1"/>
        <v>-9856</v>
      </c>
      <c r="O18" s="25">
        <f t="shared" si="2"/>
        <v>-2816</v>
      </c>
    </row>
    <row r="19" spans="2:15" ht="15">
      <c r="B19" s="18">
        <v>47</v>
      </c>
      <c r="C19" s="18">
        <v>1815</v>
      </c>
      <c r="D19" s="19" t="s">
        <v>19</v>
      </c>
      <c r="E19" s="20"/>
      <c r="F19" s="21">
        <f>Bridge!I19</f>
        <v>0</v>
      </c>
      <c r="G19" s="21"/>
      <c r="H19" s="21"/>
      <c r="I19" s="22">
        <f t="shared" si="0"/>
        <v>0</v>
      </c>
      <c r="J19" s="23"/>
      <c r="K19" s="24">
        <f>Bridge!N19</f>
        <v>0</v>
      </c>
      <c r="L19" s="21">
        <f>Bridge!L19-((Test!G19*Test!E19)/2)-((Bridge!G19*Test!E19)/2)</f>
        <v>0</v>
      </c>
      <c r="M19" s="21"/>
      <c r="N19" s="22">
        <f t="shared" si="1"/>
        <v>0</v>
      </c>
      <c r="O19" s="25">
        <f t="shared" si="2"/>
        <v>0</v>
      </c>
    </row>
    <row r="20" spans="2:15" ht="15">
      <c r="B20" s="18">
        <v>47</v>
      </c>
      <c r="C20" s="18">
        <v>1820</v>
      </c>
      <c r="D20" s="26" t="s">
        <v>20</v>
      </c>
      <c r="E20" s="20">
        <f>1/25</f>
        <v>0.04</v>
      </c>
      <c r="F20" s="21">
        <f>Bridge!I20</f>
        <v>499228.76</v>
      </c>
      <c r="G20" s="21">
        <v>0</v>
      </c>
      <c r="H20" s="21"/>
      <c r="I20" s="22">
        <f t="shared" si="0"/>
        <v>499228.76</v>
      </c>
      <c r="J20" s="23"/>
      <c r="K20" s="24">
        <f>Bridge!N20</f>
        <v>-234906.81879999995</v>
      </c>
      <c r="L20" s="21">
        <f>Bridge!L20-((Test!G20*Test!E20)/2)-((Bridge!G20*Test!E20)/2)</f>
        <v>-17936.5396</v>
      </c>
      <c r="M20" s="21"/>
      <c r="N20" s="22">
        <f t="shared" si="1"/>
        <v>-252843.35839999994</v>
      </c>
      <c r="O20" s="25">
        <f t="shared" si="2"/>
        <v>246385.40160000007</v>
      </c>
    </row>
    <row r="21" spans="2:15" ht="15">
      <c r="B21" s="18">
        <v>47</v>
      </c>
      <c r="C21" s="18">
        <v>1825</v>
      </c>
      <c r="D21" s="19" t="s">
        <v>21</v>
      </c>
      <c r="E21" s="20">
        <f aca="true" t="shared" si="3" ref="E21:E28">1/25</f>
        <v>0.04</v>
      </c>
      <c r="F21" s="21">
        <f>Bridge!I21</f>
        <v>0</v>
      </c>
      <c r="G21" s="21">
        <v>0</v>
      </c>
      <c r="H21" s="21"/>
      <c r="I21" s="22">
        <f t="shared" si="0"/>
        <v>0</v>
      </c>
      <c r="J21" s="23"/>
      <c r="K21" s="24">
        <f>Bridge!N21</f>
        <v>0</v>
      </c>
      <c r="L21" s="21">
        <f>Bridge!L21-((Test!G21*Test!E21)/2)-((Bridge!G21*Test!E21)/2)</f>
        <v>0</v>
      </c>
      <c r="M21" s="21"/>
      <c r="N21" s="22">
        <f t="shared" si="1"/>
        <v>0</v>
      </c>
      <c r="O21" s="25">
        <f t="shared" si="2"/>
        <v>0</v>
      </c>
    </row>
    <row r="22" spans="2:15" ht="15">
      <c r="B22" s="18">
        <v>47</v>
      </c>
      <c r="C22" s="18">
        <v>1830</v>
      </c>
      <c r="D22" s="19" t="s">
        <v>22</v>
      </c>
      <c r="E22" s="20">
        <f t="shared" si="3"/>
        <v>0.04</v>
      </c>
      <c r="F22" s="21">
        <f>Bridge!I22</f>
        <v>5418373.41</v>
      </c>
      <c r="G22" s="21">
        <v>733000</v>
      </c>
      <c r="H22" s="21"/>
      <c r="I22" s="22">
        <f t="shared" si="0"/>
        <v>6151373.41</v>
      </c>
      <c r="J22" s="23"/>
      <c r="K22" s="24">
        <f>Bridge!N22</f>
        <v>-2228344.6844</v>
      </c>
      <c r="L22" s="21">
        <f>Bridge!L22-((Test!G22*Test!E22)/2)-((Bridge!G22*Test!E22)/2)</f>
        <v>-256614.9976</v>
      </c>
      <c r="M22" s="21"/>
      <c r="N22" s="22">
        <f t="shared" si="1"/>
        <v>-2484959.682</v>
      </c>
      <c r="O22" s="25">
        <f t="shared" si="2"/>
        <v>3666413.728</v>
      </c>
    </row>
    <row r="23" spans="2:15" ht="15">
      <c r="B23" s="18">
        <v>47</v>
      </c>
      <c r="C23" s="18">
        <v>1835</v>
      </c>
      <c r="D23" s="19" t="s">
        <v>23</v>
      </c>
      <c r="E23" s="20">
        <f t="shared" si="3"/>
        <v>0.04</v>
      </c>
      <c r="F23" s="21">
        <f>Bridge!I23</f>
        <v>10490470.11</v>
      </c>
      <c r="G23" s="21">
        <v>505000</v>
      </c>
      <c r="H23" s="21"/>
      <c r="I23" s="22">
        <f t="shared" si="0"/>
        <v>10995470.11</v>
      </c>
      <c r="J23" s="23"/>
      <c r="K23" s="24">
        <f>Bridge!N23</f>
        <v>-3135025.2246000003</v>
      </c>
      <c r="L23" s="21">
        <f>Bridge!L23-((Test!G23*Test!E23)/2)-((Bridge!G23*Test!E23)/2)</f>
        <v>-402470.8516</v>
      </c>
      <c r="M23" s="21"/>
      <c r="N23" s="22">
        <f t="shared" si="1"/>
        <v>-3537496.0762000005</v>
      </c>
      <c r="O23" s="25">
        <f t="shared" si="2"/>
        <v>7457974.033799998</v>
      </c>
    </row>
    <row r="24" spans="2:15" ht="15">
      <c r="B24" s="18">
        <v>47</v>
      </c>
      <c r="C24" s="18">
        <v>1840</v>
      </c>
      <c r="D24" s="19" t="s">
        <v>24</v>
      </c>
      <c r="E24" s="20">
        <f t="shared" si="3"/>
        <v>0.04</v>
      </c>
      <c r="F24" s="21">
        <f>Bridge!I24</f>
        <v>2333048.125</v>
      </c>
      <c r="G24" s="21">
        <v>281000</v>
      </c>
      <c r="H24" s="21"/>
      <c r="I24" s="22">
        <f t="shared" si="0"/>
        <v>2614048.125</v>
      </c>
      <c r="J24" s="23"/>
      <c r="K24" s="24">
        <f>Bridge!N24</f>
        <v>-1164594.7906</v>
      </c>
      <c r="L24" s="21">
        <f>Bridge!L24-((Test!G24*Test!E24)/2)-((Bridge!G24*Test!E24)/2)</f>
        <v>-111816.18699999998</v>
      </c>
      <c r="M24" s="21"/>
      <c r="N24" s="22">
        <f t="shared" si="1"/>
        <v>-1276410.9775999999</v>
      </c>
      <c r="O24" s="25">
        <f t="shared" si="2"/>
        <v>1337637.1474000001</v>
      </c>
    </row>
    <row r="25" spans="2:15" ht="15">
      <c r="B25" s="18">
        <v>47</v>
      </c>
      <c r="C25" s="18">
        <v>1845</v>
      </c>
      <c r="D25" s="19" t="s">
        <v>25</v>
      </c>
      <c r="E25" s="20">
        <f t="shared" si="3"/>
        <v>0.04</v>
      </c>
      <c r="F25" s="21">
        <f>Bridge!I25</f>
        <v>5167889.62</v>
      </c>
      <c r="G25" s="21">
        <v>180000</v>
      </c>
      <c r="H25" s="21"/>
      <c r="I25" s="22">
        <f t="shared" si="0"/>
        <v>5347889.62</v>
      </c>
      <c r="J25" s="23"/>
      <c r="K25" s="24">
        <f>Bridge!N25</f>
        <v>-1489006.9116</v>
      </c>
      <c r="L25" s="21">
        <f>Bridge!L25-((Test!G25*Test!E25)/2)-((Bridge!G25*Test!E25)/2)</f>
        <v>-209048.585</v>
      </c>
      <c r="M25" s="21"/>
      <c r="N25" s="22">
        <f t="shared" si="1"/>
        <v>-1698055.4966</v>
      </c>
      <c r="O25" s="25">
        <f t="shared" si="2"/>
        <v>3649834.1234</v>
      </c>
    </row>
    <row r="26" spans="2:15" ht="15">
      <c r="B26" s="18">
        <v>47</v>
      </c>
      <c r="C26" s="18">
        <v>1850</v>
      </c>
      <c r="D26" s="19" t="s">
        <v>26</v>
      </c>
      <c r="E26" s="20">
        <f t="shared" si="3"/>
        <v>0.04</v>
      </c>
      <c r="F26" s="21">
        <f>Bridge!I26</f>
        <v>7146590.34</v>
      </c>
      <c r="G26" s="21">
        <v>482000</v>
      </c>
      <c r="H26" s="21"/>
      <c r="I26" s="22">
        <f t="shared" si="0"/>
        <v>7628590.34</v>
      </c>
      <c r="J26" s="23"/>
      <c r="K26" s="24">
        <f>Bridge!N26</f>
        <v>-2556769.0864</v>
      </c>
      <c r="L26" s="21">
        <f>Bridge!L26-((Test!G26*Test!E26)/2)-((Bridge!G26*Test!E26)/2)</f>
        <v>-303764.5268</v>
      </c>
      <c r="M26" s="21"/>
      <c r="N26" s="22">
        <f t="shared" si="1"/>
        <v>-2860533.6132</v>
      </c>
      <c r="O26" s="25">
        <f t="shared" si="2"/>
        <v>4768056.7268</v>
      </c>
    </row>
    <row r="27" spans="2:15" ht="15">
      <c r="B27" s="18">
        <v>47</v>
      </c>
      <c r="C27" s="18">
        <v>1855</v>
      </c>
      <c r="D27" s="19" t="s">
        <v>27</v>
      </c>
      <c r="E27" s="20">
        <f t="shared" si="3"/>
        <v>0.04</v>
      </c>
      <c r="F27" s="21">
        <f>Bridge!I27</f>
        <v>3304910.3100000005</v>
      </c>
      <c r="G27" s="21">
        <v>374000</v>
      </c>
      <c r="H27" s="21"/>
      <c r="I27" s="22">
        <f t="shared" si="0"/>
        <v>3678910.3100000005</v>
      </c>
      <c r="J27" s="23"/>
      <c r="K27" s="24">
        <f>Bridge!N27</f>
        <v>-865522.1892</v>
      </c>
      <c r="L27" s="21">
        <f>Bridge!L27-((Test!G27*Test!E27)/2)-((Bridge!G27*Test!E27)/2)</f>
        <v>-132230.8252</v>
      </c>
      <c r="M27" s="21"/>
      <c r="N27" s="22">
        <f t="shared" si="1"/>
        <v>-997753.0144</v>
      </c>
      <c r="O27" s="25">
        <f t="shared" si="2"/>
        <v>2681157.295600001</v>
      </c>
    </row>
    <row r="28" spans="2:15" ht="15">
      <c r="B28" s="18">
        <v>47</v>
      </c>
      <c r="C28" s="18">
        <v>1860</v>
      </c>
      <c r="D28" s="19" t="s">
        <v>28</v>
      </c>
      <c r="E28" s="20">
        <f t="shared" si="3"/>
        <v>0.04</v>
      </c>
      <c r="F28" s="21">
        <f>Bridge!I28</f>
        <v>2903556.6150000007</v>
      </c>
      <c r="G28" s="21">
        <v>70000</v>
      </c>
      <c r="H28" s="21"/>
      <c r="I28" s="22">
        <f t="shared" si="0"/>
        <v>2973556.6150000007</v>
      </c>
      <c r="J28" s="23"/>
      <c r="K28" s="24">
        <f>Bridge!N28</f>
        <v>-1018062.5278000002</v>
      </c>
      <c r="L28" s="21">
        <f>Bridge!L28-((Test!G28*Test!E28)/2)-((Bridge!G28*Test!E28)/2)</f>
        <v>-108582.64640000003</v>
      </c>
      <c r="M28" s="21"/>
      <c r="N28" s="22">
        <f t="shared" si="1"/>
        <v>-1126645.1742000002</v>
      </c>
      <c r="O28" s="25">
        <f t="shared" si="2"/>
        <v>1846911.4408000004</v>
      </c>
    </row>
    <row r="29" spans="2:15" ht="15">
      <c r="B29" s="18">
        <v>47</v>
      </c>
      <c r="C29" s="18">
        <v>1860</v>
      </c>
      <c r="D29" s="19" t="s">
        <v>29</v>
      </c>
      <c r="E29" s="20"/>
      <c r="F29" s="21">
        <f>Bridge!I29</f>
        <v>0</v>
      </c>
      <c r="G29" s="21"/>
      <c r="H29" s="21"/>
      <c r="I29" s="22">
        <f t="shared" si="0"/>
        <v>0</v>
      </c>
      <c r="J29" s="23"/>
      <c r="K29" s="24">
        <f>Bridge!N29</f>
        <v>0</v>
      </c>
      <c r="L29" s="21">
        <f>Bridge!L29-((Test!G29*Test!E29)/2)-((Bridge!G29*Test!E29)/2)</f>
        <v>0</v>
      </c>
      <c r="M29" s="21"/>
      <c r="N29" s="22">
        <f t="shared" si="1"/>
        <v>0</v>
      </c>
      <c r="O29" s="25">
        <f t="shared" si="2"/>
        <v>0</v>
      </c>
    </row>
    <row r="30" spans="2:15" ht="15">
      <c r="B30" s="18" t="s">
        <v>15</v>
      </c>
      <c r="C30" s="18">
        <v>1905</v>
      </c>
      <c r="D30" s="19" t="s">
        <v>16</v>
      </c>
      <c r="E30" s="20"/>
      <c r="F30" s="21">
        <f>Bridge!I30</f>
        <v>0</v>
      </c>
      <c r="G30" s="21"/>
      <c r="H30" s="21"/>
      <c r="I30" s="22">
        <f t="shared" si="0"/>
        <v>0</v>
      </c>
      <c r="J30" s="23"/>
      <c r="K30" s="24">
        <f>Bridge!N30</f>
        <v>0</v>
      </c>
      <c r="L30" s="21">
        <f>Bridge!L30-((Test!G30*Test!E30)/2)-((Bridge!G30*Test!E30)/2)</f>
        <v>0</v>
      </c>
      <c r="M30" s="21"/>
      <c r="N30" s="22">
        <f t="shared" si="1"/>
        <v>0</v>
      </c>
      <c r="O30" s="25">
        <f t="shared" si="2"/>
        <v>0</v>
      </c>
    </row>
    <row r="31" spans="2:15" ht="15">
      <c r="B31" s="18" t="s">
        <v>30</v>
      </c>
      <c r="C31" s="18">
        <v>1906</v>
      </c>
      <c r="D31" s="19" t="s">
        <v>31</v>
      </c>
      <c r="E31" s="20"/>
      <c r="F31" s="21">
        <f>Bridge!I31</f>
        <v>0</v>
      </c>
      <c r="G31" s="21"/>
      <c r="H31" s="21"/>
      <c r="I31" s="22">
        <f t="shared" si="0"/>
        <v>0</v>
      </c>
      <c r="J31" s="23"/>
      <c r="K31" s="24">
        <f>Bridge!N31</f>
        <v>0</v>
      </c>
      <c r="L31" s="21">
        <f>Bridge!L31-((Test!G31*Test!E31)/2)-((Bridge!G31*Test!E31)/2)</f>
        <v>0</v>
      </c>
      <c r="M31" s="21"/>
      <c r="N31" s="22">
        <f t="shared" si="1"/>
        <v>0</v>
      </c>
      <c r="O31" s="25">
        <f t="shared" si="2"/>
        <v>0</v>
      </c>
    </row>
    <row r="32" spans="2:15" ht="15">
      <c r="B32" s="18">
        <v>47</v>
      </c>
      <c r="C32" s="18">
        <v>1908</v>
      </c>
      <c r="D32" s="19" t="s">
        <v>32</v>
      </c>
      <c r="E32" s="20"/>
      <c r="F32" s="21">
        <f>Bridge!I32</f>
        <v>0</v>
      </c>
      <c r="G32" s="21"/>
      <c r="H32" s="21"/>
      <c r="I32" s="22">
        <f t="shared" si="0"/>
        <v>0</v>
      </c>
      <c r="J32" s="23"/>
      <c r="K32" s="24">
        <f>Bridge!N32</f>
        <v>0</v>
      </c>
      <c r="L32" s="21">
        <f>Bridge!L32-((Test!G32*Test!E32)/2)-((Bridge!G32*Test!E32)/2)</f>
        <v>0</v>
      </c>
      <c r="M32" s="21"/>
      <c r="N32" s="22">
        <f t="shared" si="1"/>
        <v>0</v>
      </c>
      <c r="O32" s="25">
        <f t="shared" si="2"/>
        <v>0</v>
      </c>
    </row>
    <row r="33" spans="2:15" ht="15">
      <c r="B33" s="18">
        <v>13</v>
      </c>
      <c r="C33" s="18">
        <v>1910</v>
      </c>
      <c r="D33" s="19" t="s">
        <v>18</v>
      </c>
      <c r="E33" s="20">
        <f>1/10</f>
        <v>0.1</v>
      </c>
      <c r="F33" s="21">
        <f>Bridge!I33</f>
        <v>154460.94</v>
      </c>
      <c r="G33" s="21">
        <v>60000</v>
      </c>
      <c r="H33" s="21"/>
      <c r="I33" s="22">
        <f t="shared" si="0"/>
        <v>214460.94</v>
      </c>
      <c r="J33" s="23"/>
      <c r="K33" s="24">
        <f>Bridge!N33</f>
        <v>-7723.0470000000005</v>
      </c>
      <c r="L33" s="21">
        <f>Bridge!L33-((Test!G33*Test!E33)/2)-((Bridge!G33*Test!E33)/2)</f>
        <v>-18446.094</v>
      </c>
      <c r="M33" s="21"/>
      <c r="N33" s="22">
        <f t="shared" si="1"/>
        <v>-26169.141000000003</v>
      </c>
      <c r="O33" s="25">
        <f t="shared" si="2"/>
        <v>188291.799</v>
      </c>
    </row>
    <row r="34" spans="2:15" ht="15">
      <c r="B34" s="18">
        <v>8</v>
      </c>
      <c r="C34" s="18">
        <v>1915</v>
      </c>
      <c r="D34" s="19" t="s">
        <v>33</v>
      </c>
      <c r="E34" s="20">
        <f>1/10</f>
        <v>0.1</v>
      </c>
      <c r="F34" s="21">
        <f>Bridge!I34</f>
        <v>69791.56</v>
      </c>
      <c r="G34" s="21"/>
      <c r="H34" s="21"/>
      <c r="I34" s="22">
        <f t="shared" si="0"/>
        <v>69791.56</v>
      </c>
      <c r="J34" s="23"/>
      <c r="K34" s="24">
        <f>Bridge!N34</f>
        <v>-58468.69899999999</v>
      </c>
      <c r="L34" s="21">
        <f>Bridge!L34-((Test!G34*Test!E34)/2)-((Bridge!G34*Test!E34)/2)</f>
        <v>-4066.552</v>
      </c>
      <c r="M34" s="21"/>
      <c r="N34" s="22">
        <f t="shared" si="1"/>
        <v>-62535.251</v>
      </c>
      <c r="O34" s="25">
        <f t="shared" si="2"/>
        <v>7256.309000000001</v>
      </c>
    </row>
    <row r="35" spans="2:15" ht="15">
      <c r="B35" s="18">
        <v>8</v>
      </c>
      <c r="C35" s="18">
        <v>1915</v>
      </c>
      <c r="D35" s="19" t="s">
        <v>34</v>
      </c>
      <c r="E35" s="20">
        <f>1/5</f>
        <v>0.2</v>
      </c>
      <c r="F35" s="21">
        <f>Bridge!I35</f>
        <v>5594.49</v>
      </c>
      <c r="G35" s="21"/>
      <c r="H35" s="21"/>
      <c r="I35" s="22">
        <f t="shared" si="0"/>
        <v>5594.49</v>
      </c>
      <c r="J35" s="23"/>
      <c r="K35" s="24">
        <f>Bridge!N35</f>
        <v>-1678.3469999999998</v>
      </c>
      <c r="L35" s="21">
        <f>Bridge!L35-((Test!G35*Test!E35)/2)-((Bridge!G35*Test!E35)/2)</f>
        <v>-559.449</v>
      </c>
      <c r="M35" s="21"/>
      <c r="N35" s="22">
        <f t="shared" si="1"/>
        <v>-2237.796</v>
      </c>
      <c r="O35" s="25">
        <f t="shared" si="2"/>
        <v>3356.694</v>
      </c>
    </row>
    <row r="36" spans="2:15" ht="15">
      <c r="B36" s="18">
        <v>10</v>
      </c>
      <c r="C36" s="18">
        <v>1920</v>
      </c>
      <c r="D36" s="19" t="s">
        <v>35</v>
      </c>
      <c r="E36" s="20">
        <f>1/5</f>
        <v>0.2</v>
      </c>
      <c r="F36" s="21">
        <f>Bridge!I36</f>
        <v>94004.57</v>
      </c>
      <c r="G36" s="21">
        <v>25000</v>
      </c>
      <c r="H36" s="21"/>
      <c r="I36" s="22">
        <f t="shared" si="0"/>
        <v>119004.57</v>
      </c>
      <c r="J36" s="23"/>
      <c r="K36" s="24">
        <f>Bridge!N36</f>
        <v>-97566.666</v>
      </c>
      <c r="L36" s="21">
        <f>Bridge!L36-((Test!G36*Test!E36)/2)-((Bridge!G36*Test!E36)/2)</f>
        <v>-12760.295</v>
      </c>
      <c r="M36" s="21"/>
      <c r="N36" s="22">
        <f t="shared" si="1"/>
        <v>-110326.961</v>
      </c>
      <c r="O36" s="25">
        <f t="shared" si="2"/>
        <v>8677.609000000011</v>
      </c>
    </row>
    <row r="37" spans="2:15" ht="15">
      <c r="B37" s="18">
        <v>45</v>
      </c>
      <c r="C37" s="27">
        <v>1920</v>
      </c>
      <c r="D37" s="26" t="s">
        <v>36</v>
      </c>
      <c r="E37" s="20"/>
      <c r="F37" s="21">
        <f>Bridge!I37</f>
        <v>0</v>
      </c>
      <c r="G37" s="21"/>
      <c r="H37" s="21"/>
      <c r="I37" s="22">
        <f t="shared" si="0"/>
        <v>0</v>
      </c>
      <c r="J37" s="23"/>
      <c r="K37" s="24">
        <f>Bridge!N37</f>
        <v>0</v>
      </c>
      <c r="L37" s="21">
        <f>Bridge!L37-((Test!G37*Test!E37)/2)-((Bridge!G37*Test!E37)/2)</f>
        <v>0</v>
      </c>
      <c r="M37" s="21"/>
      <c r="N37" s="22">
        <f t="shared" si="1"/>
        <v>0</v>
      </c>
      <c r="O37" s="25">
        <f t="shared" si="2"/>
        <v>0</v>
      </c>
    </row>
    <row r="38" spans="2:15" ht="15">
      <c r="B38" s="18">
        <v>45.1</v>
      </c>
      <c r="C38" s="27">
        <v>1920</v>
      </c>
      <c r="D38" s="26" t="s">
        <v>37</v>
      </c>
      <c r="E38" s="20"/>
      <c r="F38" s="21">
        <f>Bridge!I38</f>
        <v>0</v>
      </c>
      <c r="G38" s="21"/>
      <c r="H38" s="21"/>
      <c r="I38" s="22">
        <f t="shared" si="0"/>
        <v>0</v>
      </c>
      <c r="J38" s="23"/>
      <c r="K38" s="24">
        <f>Bridge!N38</f>
        <v>0</v>
      </c>
      <c r="L38" s="21">
        <f>Bridge!L38-((Test!G38*Test!E38)/2)-((Bridge!G38*Test!E38)/2)</f>
        <v>0</v>
      </c>
      <c r="M38" s="21"/>
      <c r="N38" s="22">
        <f t="shared" si="1"/>
        <v>0</v>
      </c>
      <c r="O38" s="25">
        <f t="shared" si="2"/>
        <v>0</v>
      </c>
    </row>
    <row r="39" spans="2:15" ht="15">
      <c r="B39" s="18">
        <v>12</v>
      </c>
      <c r="C39" s="18">
        <v>1925</v>
      </c>
      <c r="D39" s="19" t="s">
        <v>38</v>
      </c>
      <c r="E39" s="20">
        <f>1/5</f>
        <v>0.2</v>
      </c>
      <c r="F39" s="21">
        <f>Bridge!I39</f>
        <v>691691.13</v>
      </c>
      <c r="G39" s="21">
        <v>0</v>
      </c>
      <c r="H39" s="21"/>
      <c r="I39" s="22">
        <f t="shared" si="0"/>
        <v>691691.13</v>
      </c>
      <c r="J39" s="23"/>
      <c r="K39" s="24">
        <f>Bridge!N39</f>
        <v>-673926.037</v>
      </c>
      <c r="L39" s="21">
        <f>Bridge!L39-((Test!G39*Test!E39)/2)-((Bridge!G39*Test!E39)/2)</f>
        <v>-111336.71200000001</v>
      </c>
      <c r="M39" s="21"/>
      <c r="N39" s="22">
        <f t="shared" si="1"/>
        <v>-785262.7490000001</v>
      </c>
      <c r="O39" s="25">
        <f t="shared" si="2"/>
        <v>-93571.61900000006</v>
      </c>
    </row>
    <row r="40" spans="2:15" ht="15">
      <c r="B40" s="18">
        <v>10</v>
      </c>
      <c r="C40" s="18">
        <v>1930</v>
      </c>
      <c r="D40" s="19" t="s">
        <v>39</v>
      </c>
      <c r="E40" s="20">
        <f>1/8</f>
        <v>0.125</v>
      </c>
      <c r="F40" s="21">
        <f>Bridge!I40</f>
        <v>2692446.85</v>
      </c>
      <c r="G40" s="21">
        <v>380000</v>
      </c>
      <c r="H40" s="21"/>
      <c r="I40" s="22">
        <f t="shared" si="0"/>
        <v>3072446.85</v>
      </c>
      <c r="J40" s="23"/>
      <c r="K40" s="24">
        <f>Bridge!N40</f>
        <v>-497735.57437499997</v>
      </c>
      <c r="L40" s="21">
        <f>Bridge!L40-((Test!G40*Test!E40)/2)-((Bridge!G40*Test!E40)/2)</f>
        <v>-362675.46375</v>
      </c>
      <c r="M40" s="21"/>
      <c r="N40" s="22">
        <f t="shared" si="1"/>
        <v>-860411.038125</v>
      </c>
      <c r="O40" s="25">
        <f t="shared" si="2"/>
        <v>2212035.811875</v>
      </c>
    </row>
    <row r="41" spans="2:15" ht="15">
      <c r="B41" s="18">
        <v>8</v>
      </c>
      <c r="C41" s="18">
        <v>1935</v>
      </c>
      <c r="D41" s="19" t="s">
        <v>40</v>
      </c>
      <c r="E41" s="20">
        <f>1/5</f>
        <v>0.2</v>
      </c>
      <c r="F41" s="21">
        <f>Bridge!I41</f>
        <v>1254.42</v>
      </c>
      <c r="G41" s="21"/>
      <c r="H41" s="21"/>
      <c r="I41" s="22">
        <f t="shared" si="0"/>
        <v>1254.42</v>
      </c>
      <c r="J41" s="23"/>
      <c r="K41" s="24">
        <f>Bridge!N41</f>
        <v>-1123.5900000000001</v>
      </c>
      <c r="L41" s="21">
        <f>Bridge!L41-((Test!G41*Test!E41)/2)-((Bridge!G41*Test!E41)/2)</f>
        <v>-342.284</v>
      </c>
      <c r="M41" s="21"/>
      <c r="N41" s="22">
        <f t="shared" si="1"/>
        <v>-1465.8740000000003</v>
      </c>
      <c r="O41" s="25">
        <f t="shared" si="2"/>
        <v>-211.45400000000018</v>
      </c>
    </row>
    <row r="42" spans="2:15" ht="15">
      <c r="B42" s="18">
        <v>8</v>
      </c>
      <c r="C42" s="18">
        <v>1940</v>
      </c>
      <c r="D42" s="19" t="s">
        <v>41</v>
      </c>
      <c r="E42" s="20">
        <f>1/5</f>
        <v>0.2</v>
      </c>
      <c r="F42" s="21">
        <f>Bridge!I42</f>
        <v>153864.75</v>
      </c>
      <c r="G42" s="21">
        <v>35000</v>
      </c>
      <c r="H42" s="21"/>
      <c r="I42" s="22">
        <f t="shared" si="0"/>
        <v>188864.75</v>
      </c>
      <c r="J42" s="23"/>
      <c r="K42" s="24">
        <f>Bridge!N42</f>
        <v>-114194.01799999998</v>
      </c>
      <c r="L42" s="21">
        <f>Bridge!L42-((Test!G42*Test!E42)/2)-((Bridge!G42*Test!E42)/2)</f>
        <v>-23498.548</v>
      </c>
      <c r="M42" s="21"/>
      <c r="N42" s="22">
        <f t="shared" si="1"/>
        <v>-137692.566</v>
      </c>
      <c r="O42" s="25">
        <f t="shared" si="2"/>
        <v>51172.18400000001</v>
      </c>
    </row>
    <row r="43" spans="2:15" ht="15">
      <c r="B43" s="18">
        <v>8</v>
      </c>
      <c r="C43" s="18">
        <v>1945</v>
      </c>
      <c r="D43" s="19" t="s">
        <v>42</v>
      </c>
      <c r="E43" s="20">
        <f>1/5</f>
        <v>0.2</v>
      </c>
      <c r="F43" s="21">
        <f>Bridge!I43</f>
        <v>14462.3</v>
      </c>
      <c r="G43" s="21"/>
      <c r="H43" s="21"/>
      <c r="I43" s="22">
        <f t="shared" si="0"/>
        <v>14462.3</v>
      </c>
      <c r="J43" s="23"/>
      <c r="K43" s="24">
        <f>Bridge!N43</f>
        <v>-1788.2500000000005</v>
      </c>
      <c r="L43" s="21">
        <f>Bridge!L43-((Test!G43*Test!E43)/2)-((Bridge!G43*Test!E43)/2)</f>
        <v>-691.0600000000002</v>
      </c>
      <c r="M43" s="21"/>
      <c r="N43" s="22">
        <f t="shared" si="1"/>
        <v>-2479.3100000000004</v>
      </c>
      <c r="O43" s="25">
        <f t="shared" si="2"/>
        <v>11982.989999999998</v>
      </c>
    </row>
    <row r="44" spans="2:15" ht="15">
      <c r="B44" s="18">
        <v>8</v>
      </c>
      <c r="C44" s="18">
        <v>1950</v>
      </c>
      <c r="D44" s="19" t="s">
        <v>43</v>
      </c>
      <c r="E44" s="20">
        <f>1/5</f>
        <v>0.2</v>
      </c>
      <c r="F44" s="21">
        <f>Bridge!I44</f>
        <v>64091</v>
      </c>
      <c r="G44" s="21"/>
      <c r="H44" s="21"/>
      <c r="I44" s="22">
        <f t="shared" si="0"/>
        <v>64091</v>
      </c>
      <c r="J44" s="23"/>
      <c r="K44" s="24">
        <f>Bridge!N44</f>
        <v>-468</v>
      </c>
      <c r="L44" s="21">
        <f>Bridge!L44-((Test!G44*Test!E44)/2)-((Bridge!G44*Test!E44)/2)</f>
        <v>0</v>
      </c>
      <c r="M44" s="21"/>
      <c r="N44" s="22">
        <f t="shared" si="1"/>
        <v>-468</v>
      </c>
      <c r="O44" s="25">
        <f t="shared" si="2"/>
        <v>63623</v>
      </c>
    </row>
    <row r="45" spans="2:15" ht="15">
      <c r="B45" s="18">
        <v>8</v>
      </c>
      <c r="C45" s="18">
        <v>1955</v>
      </c>
      <c r="D45" s="19" t="s">
        <v>44</v>
      </c>
      <c r="E45" s="20"/>
      <c r="F45" s="21">
        <f>Bridge!I45</f>
        <v>0</v>
      </c>
      <c r="G45" s="21"/>
      <c r="H45" s="21"/>
      <c r="I45" s="22">
        <f t="shared" si="0"/>
        <v>0</v>
      </c>
      <c r="J45" s="23"/>
      <c r="K45" s="24">
        <f>Bridge!N45</f>
        <v>0</v>
      </c>
      <c r="L45" s="21">
        <f>Bridge!L45-((Test!G45*Test!E45)/2)-((Bridge!G45*Test!E45)/2)</f>
        <v>0</v>
      </c>
      <c r="M45" s="21"/>
      <c r="N45" s="22">
        <f t="shared" si="1"/>
        <v>0</v>
      </c>
      <c r="O45" s="25">
        <f t="shared" si="2"/>
        <v>0</v>
      </c>
    </row>
    <row r="46" spans="2:15" ht="15">
      <c r="B46" s="29">
        <v>8</v>
      </c>
      <c r="C46" s="29">
        <v>1955</v>
      </c>
      <c r="D46" s="30" t="s">
        <v>45</v>
      </c>
      <c r="E46" s="20"/>
      <c r="F46" s="21">
        <f>Bridge!I46</f>
        <v>0</v>
      </c>
      <c r="G46" s="21"/>
      <c r="H46" s="21"/>
      <c r="I46" s="22">
        <f t="shared" si="0"/>
        <v>0</v>
      </c>
      <c r="J46" s="23"/>
      <c r="K46" s="24">
        <f>Bridge!N46</f>
        <v>0</v>
      </c>
      <c r="L46" s="21">
        <f>Bridge!L46-((Test!G46*Test!E46)/2)-((Bridge!G46*Test!E46)/2)</f>
        <v>0</v>
      </c>
      <c r="M46" s="21"/>
      <c r="N46" s="22">
        <f t="shared" si="1"/>
        <v>0</v>
      </c>
      <c r="O46" s="25">
        <f t="shared" si="2"/>
        <v>0</v>
      </c>
    </row>
    <row r="47" spans="2:15" ht="15">
      <c r="B47" s="27">
        <v>8</v>
      </c>
      <c r="C47" s="27">
        <v>1960</v>
      </c>
      <c r="D47" s="26" t="s">
        <v>46</v>
      </c>
      <c r="E47" s="20"/>
      <c r="F47" s="21">
        <f>Bridge!I47</f>
        <v>0</v>
      </c>
      <c r="G47" s="21"/>
      <c r="H47" s="21"/>
      <c r="I47" s="22">
        <f t="shared" si="0"/>
        <v>0</v>
      </c>
      <c r="J47" s="23"/>
      <c r="K47" s="24">
        <f>Bridge!N47</f>
        <v>0</v>
      </c>
      <c r="L47" s="21">
        <f>Bridge!L47-((Test!G47*Test!E47)/2)-((Bridge!G47*Test!E47)/2)</f>
        <v>0</v>
      </c>
      <c r="M47" s="21"/>
      <c r="N47" s="22">
        <f t="shared" si="1"/>
        <v>0</v>
      </c>
      <c r="O47" s="25">
        <f t="shared" si="2"/>
        <v>0</v>
      </c>
    </row>
    <row r="48" spans="2:15" ht="15">
      <c r="B48" s="18">
        <v>47</v>
      </c>
      <c r="C48" s="18">
        <v>1975</v>
      </c>
      <c r="D48" s="19" t="s">
        <v>47</v>
      </c>
      <c r="E48" s="20"/>
      <c r="F48" s="21">
        <f>Bridge!I48</f>
        <v>0</v>
      </c>
      <c r="G48" s="21"/>
      <c r="H48" s="21"/>
      <c r="I48" s="22">
        <f t="shared" si="0"/>
        <v>0</v>
      </c>
      <c r="J48" s="23"/>
      <c r="K48" s="24">
        <f>Bridge!N48</f>
        <v>0</v>
      </c>
      <c r="L48" s="21">
        <f>Bridge!L48-((Test!G48*Test!E48)/2)-((Bridge!G48*Test!E48)/2)</f>
        <v>0</v>
      </c>
      <c r="M48" s="21"/>
      <c r="N48" s="22">
        <f t="shared" si="1"/>
        <v>0</v>
      </c>
      <c r="O48" s="25">
        <f t="shared" si="2"/>
        <v>0</v>
      </c>
    </row>
    <row r="49" spans="2:15" ht="15">
      <c r="B49" s="18">
        <v>47</v>
      </c>
      <c r="C49" s="18">
        <v>1980</v>
      </c>
      <c r="D49" s="19" t="s">
        <v>48</v>
      </c>
      <c r="E49" s="20">
        <f>1/5</f>
        <v>0.2</v>
      </c>
      <c r="F49" s="21">
        <f>Bridge!I49</f>
        <v>0</v>
      </c>
      <c r="G49" s="21">
        <v>200000</v>
      </c>
      <c r="H49" s="21"/>
      <c r="I49" s="22">
        <f t="shared" si="0"/>
        <v>200000</v>
      </c>
      <c r="J49" s="23"/>
      <c r="K49" s="24">
        <f>Bridge!N49</f>
        <v>0</v>
      </c>
      <c r="L49" s="21">
        <f>Bridge!L49-((Test!G49*Test!E49)/2)-((Bridge!G49*Test!E49)/2)</f>
        <v>-20000</v>
      </c>
      <c r="M49" s="21"/>
      <c r="N49" s="22">
        <f t="shared" si="1"/>
        <v>-20000</v>
      </c>
      <c r="O49" s="25">
        <f t="shared" si="2"/>
        <v>180000</v>
      </c>
    </row>
    <row r="50" spans="2:15" ht="15">
      <c r="B50" s="18">
        <v>47</v>
      </c>
      <c r="C50" s="18">
        <v>1985</v>
      </c>
      <c r="D50" s="19" t="s">
        <v>49</v>
      </c>
      <c r="E50" s="20"/>
      <c r="F50" s="21">
        <f>Bridge!I50</f>
        <v>0</v>
      </c>
      <c r="G50" s="21"/>
      <c r="H50" s="21"/>
      <c r="I50" s="22">
        <f t="shared" si="0"/>
        <v>0</v>
      </c>
      <c r="J50" s="23"/>
      <c r="K50" s="24">
        <f>Bridge!N50</f>
        <v>0</v>
      </c>
      <c r="L50" s="21">
        <f>Bridge!L50-((Test!G50*Test!E50)/2)-((Bridge!G50*Test!E50)/2)</f>
        <v>0</v>
      </c>
      <c r="M50" s="21"/>
      <c r="N50" s="22">
        <f t="shared" si="1"/>
        <v>0</v>
      </c>
      <c r="O50" s="25">
        <f t="shared" si="2"/>
        <v>0</v>
      </c>
    </row>
    <row r="51" spans="2:15" ht="15">
      <c r="B51" s="18">
        <v>47</v>
      </c>
      <c r="C51" s="18">
        <v>1995</v>
      </c>
      <c r="D51" s="19" t="s">
        <v>50</v>
      </c>
      <c r="E51" s="20">
        <f>1/25</f>
        <v>0.04</v>
      </c>
      <c r="F51" s="21">
        <f>Bridge!I51</f>
        <v>-3741235.4449999994</v>
      </c>
      <c r="G51" s="21">
        <v>-485000</v>
      </c>
      <c r="H51" s="21"/>
      <c r="I51" s="22">
        <f t="shared" si="0"/>
        <v>-4226235.444999999</v>
      </c>
      <c r="J51" s="23"/>
      <c r="K51" s="24">
        <f>Bridge!N51</f>
        <v>622873.7396000001</v>
      </c>
      <c r="L51" s="21">
        <f>Bridge!L51-((Test!G51*Test!E51)/2)-((Bridge!G51*Test!E51)/2)</f>
        <v>174861.21740000002</v>
      </c>
      <c r="M51" s="21"/>
      <c r="N51" s="22">
        <f t="shared" si="1"/>
        <v>797734.9570000002</v>
      </c>
      <c r="O51" s="25">
        <f t="shared" si="2"/>
        <v>-3428500.487999999</v>
      </c>
    </row>
    <row r="52" spans="2:15" ht="15">
      <c r="B52" s="18"/>
      <c r="C52" s="18" t="s">
        <v>51</v>
      </c>
      <c r="D52" s="19"/>
      <c r="E52" s="20"/>
      <c r="F52" s="21"/>
      <c r="G52" s="21"/>
      <c r="H52" s="21"/>
      <c r="I52" s="22">
        <f t="shared" si="0"/>
        <v>0</v>
      </c>
      <c r="K52" s="24">
        <f>Bridge!N52</f>
        <v>0</v>
      </c>
      <c r="L52" s="21">
        <f>Bridge!L52-((Test!G52*Test!E52)/2)-((Bridge!G52*Test!E52)/2)</f>
        <v>0</v>
      </c>
      <c r="M52" s="21"/>
      <c r="N52" s="22">
        <f t="shared" si="1"/>
        <v>0</v>
      </c>
      <c r="O52" s="25">
        <f t="shared" si="2"/>
        <v>0</v>
      </c>
    </row>
    <row r="53" spans="2:15" ht="15">
      <c r="B53" s="18"/>
      <c r="C53" s="18"/>
      <c r="D53" s="19"/>
      <c r="E53" s="20"/>
      <c r="F53" s="31"/>
      <c r="G53" s="31"/>
      <c r="H53" s="31"/>
      <c r="I53" s="19"/>
      <c r="K53" s="31"/>
      <c r="L53" s="31"/>
      <c r="M53" s="31"/>
      <c r="N53" s="19"/>
      <c r="O53" s="19"/>
    </row>
    <row r="54" spans="2:15" ht="15">
      <c r="B54" s="18"/>
      <c r="C54" s="18"/>
      <c r="D54" s="32" t="s">
        <v>52</v>
      </c>
      <c r="E54" s="32"/>
      <c r="F54" s="33">
        <f>SUM(F16:F52)</f>
        <v>37805359.51500001</v>
      </c>
      <c r="G54" s="33">
        <f>SUM(G16:G52)</f>
        <v>2840000</v>
      </c>
      <c r="H54" s="33">
        <f>SUM(H16:H52)</f>
        <v>0</v>
      </c>
      <c r="I54" s="33">
        <f>SUM(I16:I52)</f>
        <v>40645359.51500001</v>
      </c>
      <c r="J54" s="34"/>
      <c r="K54" s="35">
        <f>SUM(K16:K52)</f>
        <v>-13588408.335774997</v>
      </c>
      <c r="L54" s="35">
        <f>SUM(L16:L52)</f>
        <v>-1930321.45755</v>
      </c>
      <c r="M54" s="35">
        <f>SUM(M16:M52)</f>
        <v>0</v>
      </c>
      <c r="N54" s="35">
        <f>SUM(N16:N52)</f>
        <v>-15518729.793324998</v>
      </c>
      <c r="O54" s="33">
        <f t="shared" si="2"/>
        <v>25126629.72167501</v>
      </c>
    </row>
    <row r="56" spans="5:15" ht="15">
      <c r="E56" s="2"/>
      <c r="G56" s="41"/>
      <c r="I56" s="42"/>
      <c r="K56" s="36" t="s">
        <v>53</v>
      </c>
      <c r="L56" s="36"/>
      <c r="O56" s="52"/>
    </row>
    <row r="57" spans="2:13" ht="15">
      <c r="B57" s="18">
        <v>10</v>
      </c>
      <c r="C57" s="18"/>
      <c r="D57" s="19" t="s">
        <v>54</v>
      </c>
      <c r="E57" s="2"/>
      <c r="G57" s="41"/>
      <c r="K57" s="36" t="s">
        <v>54</v>
      </c>
      <c r="L57" s="36"/>
      <c r="M57" s="28"/>
    </row>
    <row r="58" spans="2:15" ht="15">
      <c r="B58" s="18">
        <v>8</v>
      </c>
      <c r="C58" s="18"/>
      <c r="D58" s="19" t="s">
        <v>40</v>
      </c>
      <c r="G58" s="41"/>
      <c r="K58" s="36" t="s">
        <v>40</v>
      </c>
      <c r="L58" s="36"/>
      <c r="M58" s="37"/>
      <c r="O58" s="53"/>
    </row>
    <row r="59" spans="7:14" ht="15">
      <c r="G59" s="41"/>
      <c r="K59" s="38" t="s">
        <v>55</v>
      </c>
      <c r="M59" s="39">
        <f>M54-M57-M58</f>
        <v>0</v>
      </c>
      <c r="N59" s="41"/>
    </row>
    <row r="61" spans="2:6" ht="15">
      <c r="B61" s="62" t="s">
        <v>56</v>
      </c>
      <c r="C61" s="63"/>
      <c r="D61" s="63"/>
      <c r="E61" s="63"/>
      <c r="F61" s="63"/>
    </row>
    <row r="63" ht="15">
      <c r="B63" s="40" t="s">
        <v>57</v>
      </c>
    </row>
    <row r="65" spans="2:15" ht="15">
      <c r="B65" s="1">
        <v>1</v>
      </c>
      <c r="C65" s="64" t="s">
        <v>58</v>
      </c>
      <c r="D65" s="64"/>
      <c r="E65" s="64"/>
      <c r="F65" s="64"/>
      <c r="G65" s="64"/>
      <c r="H65" s="64"/>
      <c r="I65" s="64"/>
      <c r="J65" s="64"/>
      <c r="K65" s="64"/>
      <c r="L65" s="64"/>
      <c r="M65" s="64"/>
      <c r="N65" s="64"/>
      <c r="O65" s="64"/>
    </row>
    <row r="66" spans="3:15" ht="15">
      <c r="C66" s="64"/>
      <c r="D66" s="64"/>
      <c r="E66" s="64"/>
      <c r="F66" s="64"/>
      <c r="G66" s="64"/>
      <c r="H66" s="64"/>
      <c r="I66" s="64"/>
      <c r="J66" s="64"/>
      <c r="K66" s="64"/>
      <c r="L66" s="64"/>
      <c r="M66" s="64"/>
      <c r="N66" s="64"/>
      <c r="O66" s="64"/>
    </row>
    <row r="68" ht="12.75" customHeight="1"/>
    <row r="69" spans="2:15" ht="15">
      <c r="B69" s="1">
        <v>2</v>
      </c>
      <c r="C69" s="55" t="s">
        <v>59</v>
      </c>
      <c r="D69" s="55"/>
      <c r="E69" s="55"/>
      <c r="F69" s="55"/>
      <c r="G69" s="55"/>
      <c r="H69" s="55"/>
      <c r="I69" s="55"/>
      <c r="J69" s="55"/>
      <c r="K69" s="55"/>
      <c r="L69" s="55"/>
      <c r="M69" s="55"/>
      <c r="N69" s="55"/>
      <c r="O69" s="55"/>
    </row>
    <row r="70" spans="3:15" ht="15">
      <c r="C70" s="55"/>
      <c r="D70" s="55"/>
      <c r="E70" s="55"/>
      <c r="F70" s="55"/>
      <c r="G70" s="55"/>
      <c r="H70" s="55"/>
      <c r="I70" s="55"/>
      <c r="J70" s="55"/>
      <c r="K70" s="55"/>
      <c r="L70" s="55"/>
      <c r="M70" s="55"/>
      <c r="N70" s="55"/>
      <c r="O70" s="55"/>
    </row>
    <row r="72" spans="2:15" ht="15">
      <c r="B72" s="1">
        <v>3</v>
      </c>
      <c r="C72" s="56" t="s">
        <v>60</v>
      </c>
      <c r="D72" s="56"/>
      <c r="E72" s="56"/>
      <c r="F72" s="56"/>
      <c r="G72" s="56"/>
      <c r="H72" s="56"/>
      <c r="I72" s="56"/>
      <c r="J72" s="56"/>
      <c r="K72" s="56"/>
      <c r="L72" s="56"/>
      <c r="M72" s="56"/>
      <c r="N72" s="56"/>
      <c r="O72" s="56"/>
    </row>
    <row r="75" spans="6:9" ht="15">
      <c r="F75" s="7"/>
      <c r="G75" s="7"/>
      <c r="H75" s="7"/>
      <c r="I75" s="7"/>
    </row>
    <row r="76" spans="6:10" ht="15.75">
      <c r="F76" s="46"/>
      <c r="G76" s="7"/>
      <c r="H76" s="47"/>
      <c r="I76" s="7"/>
      <c r="J76"/>
    </row>
    <row r="77" spans="6:10" ht="15.75">
      <c r="F77" s="48"/>
      <c r="G77" s="7"/>
      <c r="H77" s="49"/>
      <c r="I77" s="7"/>
      <c r="J77"/>
    </row>
    <row r="78" spans="6:10" ht="15.75">
      <c r="F78" s="48"/>
      <c r="G78" s="7"/>
      <c r="H78" s="49"/>
      <c r="I78" s="7"/>
      <c r="J78"/>
    </row>
    <row r="79" spans="6:11" ht="15.75">
      <c r="F79" s="48"/>
      <c r="G79" s="7"/>
      <c r="H79" s="49"/>
      <c r="I79" s="7"/>
      <c r="J79"/>
      <c r="K79" s="44"/>
    </row>
    <row r="80" spans="6:11" ht="15.75">
      <c r="F80" s="48"/>
      <c r="G80" s="7"/>
      <c r="H80" s="49"/>
      <c r="I80" s="7"/>
      <c r="J80"/>
      <c r="K80" s="41"/>
    </row>
    <row r="81" spans="6:10" ht="15.75">
      <c r="F81" s="48"/>
      <c r="G81" s="7"/>
      <c r="H81" s="49"/>
      <c r="I81" s="7"/>
      <c r="J81"/>
    </row>
    <row r="82" spans="6:10" ht="15.75">
      <c r="F82" s="48"/>
      <c r="G82" s="7"/>
      <c r="H82" s="49"/>
      <c r="I82" s="7"/>
      <c r="J82"/>
    </row>
    <row r="83" spans="6:10" ht="15.75">
      <c r="F83" s="48"/>
      <c r="G83" s="7"/>
      <c r="H83" s="49"/>
      <c r="I83" s="7"/>
      <c r="J83"/>
    </row>
    <row r="84" spans="6:10" ht="15.75">
      <c r="F84" s="48"/>
      <c r="G84" s="7"/>
      <c r="H84" s="49"/>
      <c r="I84" s="7"/>
      <c r="J84"/>
    </row>
    <row r="85" spans="6:10" ht="15.75">
      <c r="F85" s="48"/>
      <c r="G85" s="7"/>
      <c r="H85" s="49"/>
      <c r="I85" s="7"/>
      <c r="J85"/>
    </row>
    <row r="86" spans="6:10" ht="15.75">
      <c r="F86" s="48"/>
      <c r="G86" s="45"/>
      <c r="H86" s="49"/>
      <c r="I86" s="7"/>
      <c r="J86"/>
    </row>
    <row r="87" spans="6:11" ht="15.75">
      <c r="F87" s="48"/>
      <c r="G87" s="7"/>
      <c r="H87" s="50"/>
      <c r="I87" s="7"/>
      <c r="J87"/>
      <c r="K87" s="44"/>
    </row>
    <row r="88" spans="6:9" ht="15">
      <c r="F88" s="7"/>
      <c r="G88" s="7"/>
      <c r="H88" s="7"/>
      <c r="I88" s="7"/>
    </row>
    <row r="89" spans="6:9" ht="15">
      <c r="F89" s="7"/>
      <c r="G89" s="7"/>
      <c r="H89" s="51"/>
      <c r="I89" s="7"/>
    </row>
    <row r="90" spans="6:9" ht="15">
      <c r="F90" s="7"/>
      <c r="G90" s="7"/>
      <c r="H90" s="7"/>
      <c r="I90" s="7"/>
    </row>
  </sheetData>
  <sheetProtection/>
  <mergeCells count="8">
    <mergeCell ref="C69:O70"/>
    <mergeCell ref="C72:O72"/>
    <mergeCell ref="F9:I9"/>
    <mergeCell ref="F10:J10"/>
    <mergeCell ref="G12:H12"/>
    <mergeCell ref="F14:I14"/>
    <mergeCell ref="B61:F61"/>
    <mergeCell ref="C65:O66"/>
  </mergeCells>
  <dataValidations count="1">
    <dataValidation allowBlank="1" showInputMessage="1" showErrorMessage="1" promptTitle="Date Format" prompt="E.g:  &quot;August 1, 2011&quot;" sqref="O7"/>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ERTH Crop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Graig P</dc:creator>
  <cp:keywords/>
  <dc:description/>
  <cp:lastModifiedBy>Graig P</cp:lastModifiedBy>
  <dcterms:created xsi:type="dcterms:W3CDTF">2011-10-11T19:10:06Z</dcterms:created>
  <dcterms:modified xsi:type="dcterms:W3CDTF">2012-06-01T15:40:44Z</dcterms:modified>
  <cp:category/>
  <cp:version/>
  <cp:contentType/>
  <cp:contentStatus/>
</cp:coreProperties>
</file>