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12" windowHeight="763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5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why was this rate used ??</t>
        </r>
      </text>
    </comment>
    <comment ref="C82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actual determination = $418 but PILS determination shows zero</t>
        </r>
      </text>
    </comment>
    <comment ref="C8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gross up rate included surtax as per approved PILS </t>
        </r>
      </text>
    </comment>
    <comment ref="I116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Regulatory asset deductions for tax purposes of $1,011,415 not trued up </t>
        </r>
      </text>
    </comment>
    <comment ref="I17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no true-up as none included in approved rates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<sst xmlns="http://schemas.openxmlformats.org/spreadsheetml/2006/main" count="993" uniqueCount="603">
  <si>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</si>
  <si>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</si>
  <si>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</si>
  <si>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</si>
  <si>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</si>
  <si>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</si>
  <si>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</si>
  <si>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</si>
  <si>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</si>
  <si>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</si>
  <si>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</si>
  <si>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</si>
  <si>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</si>
  <si>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</si>
  <si>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</si>
  <si>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</si>
  <si>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</si>
  <si>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</si>
  <si>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</si>
  <si>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</si>
  <si>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</si>
  <si>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</si>
  <si>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</si>
  <si>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</si>
  <si>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</si>
  <si>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</si>
  <si>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</si>
  <si>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</si>
  <si>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</si>
  <si>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</si>
  <si>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</si>
  <si>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</si>
  <si>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</si>
  <si>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</si>
  <si>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</si>
  <si>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</si>
  <si>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</si>
  <si>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</si>
  <si>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</si>
  <si>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</si>
  <si>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</si>
  <si>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</si>
  <si>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</si>
  <si>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</si>
  <si>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</si>
  <si>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</si>
  <si>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</si>
  <si>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</si>
  <si>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</si>
  <si>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</si>
  <si>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</si>
  <si>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</si>
  <si>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</si>
  <si>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</si>
  <si>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</si>
  <si>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</si>
  <si>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</si>
  <si>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</si>
  <si>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</si>
  <si>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</si>
  <si>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</si>
  <si>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</si>
  <si>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</si>
  <si>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</si>
  <si>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</si>
  <si>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</si>
  <si>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</si>
  <si>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</si>
  <si>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</si>
  <si>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</si>
  <si>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</si>
  <si>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</si>
  <si>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</si>
  <si>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</si>
  <si>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</si>
  <si>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</si>
  <si>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</si>
  <si>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</si>
  <si>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</si>
  <si>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</si>
  <si>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</si>
  <si>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</si>
  <si>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</si>
  <si>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</si>
  <si>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</si>
  <si>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</si>
  <si>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</si>
  <si>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</si>
  <si>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</si>
  <si>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</si>
  <si>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</si>
  <si>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</si>
  <si>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</si>
  <si>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</si>
  <si>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</si>
  <si>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</si>
  <si>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</si>
  <si>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</si>
  <si>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</si>
  <si>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</si>
  <si>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</si>
  <si>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</si>
  <si>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</si>
  <si>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</si>
  <si>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</si>
  <si>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</si>
  <si>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</si>
  <si>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</si>
  <si>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</si>
  <si>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</si>
  <si>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</si>
  <si>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</si>
  <si>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</si>
  <si>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</si>
  <si>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</si>
  <si>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</si>
  <si>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</si>
  <si>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</si>
  <si>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</si>
  <si>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</si>
  <si>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</si>
  <si>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</si>
  <si>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</si>
  <si>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</si>
  <si>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</si>
  <si>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</si>
  <si>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</si>
  <si>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</si>
  <si>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</si>
  <si>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</si>
  <si>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</si>
  <si>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</si>
  <si>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</si>
  <si>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</si>
  <si>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</si>
  <si>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</si>
  <si>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</si>
  <si>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</si>
  <si>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</si>
  <si>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</si>
  <si>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</si>
  <si>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</si>
  <si>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</si>
  <si>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</si>
  <si>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</si>
  <si>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</si>
  <si>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</si>
  <si>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</si>
  <si>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</si>
  <si>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</si>
  <si>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</si>
  <si>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</si>
  <si>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</si>
  <si>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</si>
  <si>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</si>
  <si>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</si>
  <si>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</si>
  <si>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</si>
  <si>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</si>
  <si>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</si>
  <si>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</si>
  <si>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</si>
  <si>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</si>
  <si>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</si>
  <si>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</si>
  <si>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</si>
  <si>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</si>
  <si>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</si>
  <si>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</si>
  <si>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</si>
  <si>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</si>
  <si>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</si>
  <si>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</si>
  <si>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</si>
  <si>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</si>
  <si>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</si>
  <si>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</si>
  <si>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</si>
  <si>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</si>
  <si>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</si>
  <si>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</si>
  <si>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</si>
  <si>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</si>
  <si>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</si>
  <si>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</si>
  <si>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</si>
  <si>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</si>
  <si>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</si>
  <si>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</si>
  <si>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</si>
  <si>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</si>
  <si>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</si>
  <si>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</si>
  <si>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</si>
  <si>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</si>
  <si>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</si>
  <si>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</si>
  <si>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</si>
  <si>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</si>
  <si>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</si>
  <si>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</si>
  <si>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</si>
  <si>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</si>
  <si>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</si>
  <si>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</si>
  <si>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</si>
  <si>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</si>
  <si>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</si>
  <si>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</si>
  <si>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</si>
  <si>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</si>
  <si>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</si>
  <si>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</si>
  <si>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</si>
  <si>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</si>
  <si>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</si>
  <si>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</si>
  <si>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</si>
  <si>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</si>
  <si>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</si>
  <si>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</si>
  <si>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</si>
  <si>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</si>
  <si>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</si>
  <si>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</si>
  <si>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</si>
  <si>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</si>
  <si>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</si>
  <si>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</si>
  <si>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</si>
  <si>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</si>
  <si>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</si>
  <si>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</si>
  <si>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</si>
  <si>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</si>
  <si>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</si>
  <si>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</si>
  <si>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</si>
  <si>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</si>
  <si>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</si>
  <si>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</si>
  <si>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</si>
  <si>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</si>
  <si>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</si>
  <si>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</si>
  <si>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</si>
  <si>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</si>
  <si>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</si>
  <si>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</si>
  <si>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</si>
  <si>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</si>
  <si>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</si>
  <si>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</si>
  <si>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</si>
  <si>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</si>
  <si>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</si>
  <si>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</si>
  <si>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</si>
  <si>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</si>
  <si>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</si>
  <si>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</si>
  <si>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</si>
  <si>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</si>
  <si>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</si>
  <si>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</si>
  <si>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</si>
  <si>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</si>
  <si>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</si>
  <si>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</si>
  <si>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</si>
  <si>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</si>
  <si>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</si>
  <si>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</si>
  <si>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</si>
  <si>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</si>
  <si>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</si>
  <si>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</si>
  <si>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</si>
  <si>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</si>
  <si>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</si>
  <si>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</si>
  <si>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</si>
  <si>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</si>
  <si>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</si>
  <si>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</si>
  <si>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</si>
  <si>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</si>
  <si>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</si>
  <si>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</si>
  <si>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</si>
  <si>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</si>
  <si>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</si>
  <si>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</si>
  <si>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</si>
  <si>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</si>
  <si>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</si>
  <si>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</si>
  <si>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</si>
  <si>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</si>
  <si>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</si>
  <si>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</si>
  <si>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</si>
  <si>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</si>
  <si>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</si>
  <si>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</si>
  <si>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</si>
  <si>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</si>
  <si>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</si>
  <si>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</si>
  <si>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</si>
  <si>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</si>
  <si>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</si>
  <si>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</si>
  <si>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</si>
  <si>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</si>
  <si>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</si>
  <si>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</si>
  <si>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</si>
  <si>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</si>
  <si>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</si>
  <si>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</si>
  <si>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</si>
  <si>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</si>
  <si>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</si>
  <si>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</si>
  <si>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</si>
  <si>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</si>
  <si>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</si>
  <si>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</si>
  <si>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</si>
  <si>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</si>
  <si>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</si>
  <si>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</si>
  <si>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</si>
  <si>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</si>
  <si>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</si>
  <si>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</si>
  <si>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</si>
  <si>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</si>
  <si>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</si>
  <si>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</si>
  <si>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</si>
  <si>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</si>
  <si>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</si>
  <si>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</si>
  <si>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</si>
  <si>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</si>
  <si>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</si>
  <si>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</si>
  <si>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</si>
  <si>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</si>
  <si>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</si>
  <si>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</si>
  <si>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</si>
  <si>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</si>
  <si>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</si>
  <si>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</si>
  <si>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</si>
  <si>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</si>
  <si>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</si>
  <si>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</si>
  <si>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</si>
  <si>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</si>
  <si>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</si>
  <si>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</si>
  <si>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</si>
  <si>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</si>
  <si>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</si>
  <si>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</si>
  <si>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</si>
  <si>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</si>
  <si>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</si>
  <si>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</si>
  <si>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</si>
  <si>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</si>
  <si>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</si>
  <si>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</si>
  <si>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</si>
  <si>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</si>
  <si>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</si>
  <si>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</si>
  <si>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</si>
  <si>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</si>
  <si>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</si>
  <si>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</si>
  <si>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</si>
  <si>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</si>
  <si>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</si>
  <si>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</si>
  <si>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</si>
  <si>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</si>
  <si>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</si>
  <si>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</si>
  <si>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</si>
  <si>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</si>
  <si>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</si>
  <si>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</si>
  <si>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</si>
  <si>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</si>
  <si>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</si>
  <si>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</si>
  <si>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</si>
  <si>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</si>
  <si>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</si>
  <si>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</si>
  <si>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</si>
  <si>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</si>
  <si>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</si>
  <si>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</si>
  <si>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</si>
  <si>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</si>
  <si>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</si>
  <si>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</si>
  <si>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</si>
  <si>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</si>
  <si>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</si>
  <si>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</si>
  <si>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</si>
  <si>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</si>
  <si>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</si>
  <si>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</si>
  <si>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</si>
  <si>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</si>
  <si>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</si>
  <si>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</si>
  <si>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</si>
  <si>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</si>
  <si>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</si>
  <si>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</si>
  <si>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</si>
  <si>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</si>
  <si>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</si>
  <si>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</si>
  <si>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</si>
  <si>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</si>
  <si>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</si>
  <si>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</si>
  <si>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</si>
  <si>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</si>
  <si>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</si>
  <si>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</si>
  <si>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</si>
  <si>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</si>
  <si>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</si>
  <si>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</si>
  <si>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</si>
  <si>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</si>
  <si>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</si>
  <si>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</si>
  <si>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</si>
  <si>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</si>
  <si>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</si>
  <si>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</si>
  <si>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</si>
  <si>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</si>
  <si>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</si>
  <si>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</si>
  <si>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</si>
  <si>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</si>
  <si>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</si>
  <si>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</si>
  <si>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</si>
  <si>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</si>
  <si>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</si>
  <si>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</si>
  <si>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</si>
  <si>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</si>
  <si>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</si>
  <si>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</si>
  <si>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</si>
  <si>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</si>
  <si>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</si>
  <si>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</si>
  <si>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</si>
  <si>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</si>
  <si>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</si>
  <si>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</si>
  <si>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</si>
  <si>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</si>
  <si>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</si>
  <si>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</si>
  <si>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</si>
  <si>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</si>
  <si>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</si>
  <si>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</si>
  <si>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</si>
  <si>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</si>
  <si>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</si>
  <si>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</si>
  <si>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</si>
  <si>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</si>
  <si>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</si>
  <si>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</si>
  <si>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</si>
  <si>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</si>
  <si>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</si>
  <si>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</si>
  <si>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</si>
  <si>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</si>
  <si>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</si>
  <si>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</si>
  <si>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</si>
  <si>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</si>
  <si>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</si>
  <si>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</si>
  <si>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</si>
  <si>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</si>
  <si>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</si>
  <si>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</si>
  <si>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</si>
  <si>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</si>
  <si>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</si>
  <si>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</si>
  <si>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</si>
  <si>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</si>
  <si>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</si>
  <si>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</si>
  <si>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</si>
  <si>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</si>
  <si>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</si>
  <si>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</si>
  <si>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</si>
  <si>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</si>
  <si>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</si>
  <si>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</si>
  <si>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</si>
  <si>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</si>
  <si>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</si>
  <si>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</si>
  <si>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</si>
  <si>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</si>
  <si>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</si>
  <si>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</si>
  <si>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</si>
  <si>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</si>
  <si>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</si>
  <si>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</si>
  <si>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</si>
  <si>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</si>
  <si>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</si>
  <si>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</si>
  <si>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</si>
  <si>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</si>
  <si>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</si>
  <si>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</si>
  <si>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</si>
  <si>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</si>
  <si>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</si>
  <si>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</si>
  <si>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</si>
  <si>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</si>
  <si>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</si>
  <si>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</si>
  <si>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</si>
  <si>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</si>
  <si>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</si>
  <si>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</si>
  <si>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</si>
  <si>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</si>
  <si>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</si>
  <si>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</si>
  <si>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</si>
  <si>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</si>
  <si>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</si>
  <si>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</si>
  <si>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</si>
  <si>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</si>
  <si>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</si>
  <si>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</si>
  <si>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</si>
  <si>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</si>
  <si>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</si>
  <si>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</si>
  <si>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</si>
  <si>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</si>
  <si>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</si>
  <si>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</si>
  <si>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</si>
  <si>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</si>
  <si>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</si>
  <si>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</si>
  <si>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</si>
  <si>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</si>
  <si>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</si>
  <si>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</si>
  <si>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</si>
  <si>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</si>
  <si>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</si>
  <si>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</si>
  <si>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</si>
  <si>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</si>
  <si>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</si>
  <si>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</si>
  <si>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</si>
  <si>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</si>
  <si>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</si>
  <si>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</si>
  <si>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</si>
  <si>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Regulatory Net Income  REGINFO E53 (25% of  1999 return from RUD )</t>
  </si>
  <si>
    <t>Utility Name:  Brant County Power Inc.</t>
  </si>
  <si>
    <t>Tab Tax Rates</t>
  </si>
  <si>
    <t>Purchase Power Variance</t>
  </si>
  <si>
    <t xml:space="preserve">Transition Costs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</si>
</sst>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0.00000%"/>
    <numFmt numFmtId="175" formatCode="&quot;$&quot;#,##0.00"/>
    <numFmt numFmtId="176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4" fontId="0" fillId="36" borderId="14" xfId="0" applyNumberFormat="1" applyFill="1" applyBorder="1" applyAlignment="1" applyProtection="1">
      <alignment vertical="top"/>
      <protection/>
    </xf>
    <xf numFmtId="174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6" fontId="0" fillId="36" borderId="25" xfId="0" applyNumberFormat="1" applyFill="1" applyBorder="1" applyAlignment="1" applyProtection="1">
      <alignment horizontal="center" vertical="top"/>
      <protection locked="0"/>
    </xf>
    <xf numFmtId="17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="70" zoomScaleNormal="70" zoomScalePageLayoutView="0" workbookViewId="0" topLeftCell="A30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497</v>
      </c>
      <c r="H2" s="8"/>
    </row>
    <row r="3" spans="1:8" ht="12.75">
      <c r="A3" s="501" t="s">
        <v>599</v>
      </c>
      <c r="C3" s="8"/>
      <c r="E3" s="8"/>
      <c r="F3" s="8"/>
      <c r="G3" s="8"/>
      <c r="H3" s="8"/>
    </row>
    <row r="4" spans="1:8" ht="12.75">
      <c r="A4" s="2" t="s">
        <v>585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3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4"/>
      <c r="B20" s="8" t="s">
        <v>455</v>
      </c>
      <c r="C20" s="8" t="s">
        <v>136</v>
      </c>
      <c r="D20" s="297" t="s">
        <v>572</v>
      </c>
    </row>
    <row r="21" spans="1:4" ht="12.75">
      <c r="A21" s="503" t="s">
        <v>453</v>
      </c>
      <c r="B21" s="8" t="s">
        <v>454</v>
      </c>
      <c r="C21" s="8"/>
      <c r="D21" s="464">
        <v>0.99</v>
      </c>
    </row>
    <row r="22" spans="1:4" ht="12.75">
      <c r="A22" s="503"/>
      <c r="B22" s="8" t="s">
        <v>455</v>
      </c>
      <c r="C22" s="8"/>
      <c r="D22" s="464">
        <v>1</v>
      </c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12710037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1088614.6690500001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144208</v>
      </c>
      <c r="E43" s="424">
        <f>D43</f>
        <v>144208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944406.6690500001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314802</v>
      </c>
      <c r="E47" s="424">
        <f aca="true" t="shared" si="0" ref="E47:E52">D47</f>
        <v>314802</v>
      </c>
      <c r="H47" s="46"/>
      <c r="J47" s="5"/>
      <c r="K47" s="5"/>
    </row>
    <row r="48" spans="1:11" ht="12.75">
      <c r="A48" t="s">
        <v>421</v>
      </c>
      <c r="D48" s="467">
        <v>314802</v>
      </c>
      <c r="E48" s="424">
        <f t="shared" si="0"/>
        <v>314802</v>
      </c>
      <c r="F48" s="28"/>
      <c r="H48" s="46"/>
      <c r="J48" s="5"/>
      <c r="K48" s="5"/>
    </row>
    <row r="49" spans="1:11" ht="12.75">
      <c r="A49" t="s">
        <v>422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773812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6355018.5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627875.8278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6355018.5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460738.84124999994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194268.6806771745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327503.6193812025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327503.6193812025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48"/>
  <sheetViews>
    <sheetView tabSelected="1" zoomScalePageLayoutView="0" workbookViewId="0" topLeftCell="A157">
      <selection activeCell="J153" sqref="J153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0.710937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Brant County Power Inc.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598</v>
      </c>
      <c r="B15" s="143">
        <v>1</v>
      </c>
      <c r="C15" s="299">
        <f>REGINFO!D43/4</f>
        <v>36052</v>
      </c>
      <c r="D15" s="18"/>
      <c r="E15" s="18"/>
      <c r="F15" s="18"/>
      <c r="G15" s="22"/>
      <c r="H15" s="22"/>
      <c r="I15" s="307">
        <f>K15-C15</f>
        <v>-506405</v>
      </c>
      <c r="J15" s="3"/>
      <c r="K15" s="307">
        <f>TAXREC!E50</f>
        <v>-470353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165877</v>
      </c>
      <c r="D20" s="20"/>
      <c r="E20" s="20"/>
      <c r="F20" s="20"/>
      <c r="G20" s="23"/>
      <c r="H20" s="23"/>
      <c r="I20" s="307">
        <f>K20-C20</f>
        <v>25961</v>
      </c>
      <c r="J20" s="6"/>
      <c r="K20" s="307">
        <f>TAXREC!E61</f>
        <v>191838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5215</v>
      </c>
      <c r="J29" s="6"/>
      <c r="K29" s="307">
        <f>TAXREC!E67</f>
        <v>5215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487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86811</v>
      </c>
      <c r="D32" s="20"/>
      <c r="E32" s="20"/>
      <c r="F32" s="20"/>
      <c r="G32" s="150"/>
      <c r="H32" s="150"/>
      <c r="I32" s="307">
        <f aca="true" t="shared" si="0" ref="I32:I41">K32-C32</f>
        <v>142189</v>
      </c>
      <c r="J32" s="6"/>
      <c r="K32" s="307">
        <f>TAXREC!E96+TAXREC!E97</f>
        <v>229000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586</v>
      </c>
      <c r="B36" s="143">
        <v>11</v>
      </c>
      <c r="C36" s="300">
        <f>Ratebase*REGINFO!D35*REGINFO!D39*(0.25*(REGINFO!D43/REGINFO!D41))</f>
        <v>15258.435493286628</v>
      </c>
      <c r="D36" s="20"/>
      <c r="E36" s="20"/>
      <c r="F36" s="20"/>
      <c r="G36" s="150"/>
      <c r="H36" s="150"/>
      <c r="I36" s="307">
        <f t="shared" si="0"/>
        <v>-15258.435493286628</v>
      </c>
      <c r="J36" s="6"/>
      <c r="K36" s="307">
        <f>TAXREC!E51</f>
        <v>0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1011415</v>
      </c>
      <c r="J45" s="6"/>
      <c r="K45" s="290">
        <f>TAXREC!E110</f>
        <v>1011415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99859.56450671337</v>
      </c>
      <c r="D48" s="24"/>
      <c r="E48" s="24"/>
      <c r="F48" s="24"/>
      <c r="G48" s="117"/>
      <c r="H48" s="117"/>
      <c r="I48" s="303">
        <f>SUM(I15:I47)</f>
        <v>663116.5645067133</v>
      </c>
      <c r="J48" s="472" t="s">
        <v>531</v>
      </c>
      <c r="K48" s="303">
        <f>K15+SUM(K20:K29)-SUM(K32:K46)</f>
        <v>-1513715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600</v>
      </c>
      <c r="B51" s="145">
        <v>13</v>
      </c>
      <c r="C51" s="302">
        <f>'Tax Rates'!E16</f>
        <v>0.3412</v>
      </c>
      <c r="D51" s="116"/>
      <c r="E51" s="116"/>
      <c r="F51" s="116"/>
      <c r="G51" s="117"/>
      <c r="H51" s="117"/>
      <c r="I51" s="308">
        <f>+K51-C51</f>
        <v>-0.3412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34072.083409690604</v>
      </c>
      <c r="D53" s="24"/>
      <c r="E53" s="24"/>
      <c r="F53" s="24"/>
      <c r="G53" s="117"/>
      <c r="H53" s="117"/>
      <c r="I53" s="307">
        <f>K53-C53</f>
        <v>-34072.083409690604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34072.083409690604</v>
      </c>
      <c r="D58" s="151"/>
      <c r="E58" s="151"/>
      <c r="F58" s="151"/>
      <c r="G58" s="152"/>
      <c r="H58" s="152"/>
      <c r="I58" s="309">
        <f>+I53-I56</f>
        <v>-34072.083409690604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12710037</v>
      </c>
      <c r="D64" s="116"/>
      <c r="E64" s="116"/>
      <c r="F64" s="116"/>
      <c r="G64" s="117"/>
      <c r="H64" s="117"/>
      <c r="I64" s="307">
        <f>K64-C64</f>
        <v>2118205</v>
      </c>
      <c r="J64" s="6"/>
      <c r="K64" s="307">
        <f>TAXREC!E219</f>
        <v>14828242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-42402</v>
      </c>
      <c r="J65" s="6"/>
      <c r="K65" s="307">
        <f>TAXREC!E222</f>
        <v>4957598</v>
      </c>
      <c r="L65" s="172"/>
    </row>
    <row r="66" spans="1:12" ht="12.75">
      <c r="A66" s="173" t="s">
        <v>53</v>
      </c>
      <c r="B66" s="143"/>
      <c r="C66" s="304">
        <f>IF((C64-C65)&gt;0,C64-C65,0)</f>
        <v>7710037</v>
      </c>
      <c r="D66" s="116"/>
      <c r="E66" s="116"/>
      <c r="F66" s="116"/>
      <c r="G66" s="117"/>
      <c r="H66" s="117"/>
      <c r="I66" s="307">
        <f>SUM(I64:I65)</f>
        <v>2075803</v>
      </c>
      <c r="J66" s="130"/>
      <c r="K66" s="304">
        <f>IF((K64-K65)&gt;0,K64-K65,0)</f>
        <v>9870644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C66*C68*(92/365)</f>
        <v>5830.0553753424665</v>
      </c>
      <c r="D70" s="114"/>
      <c r="E70" s="114"/>
      <c r="F70" s="114"/>
      <c r="G70" s="115"/>
      <c r="H70" s="115"/>
      <c r="I70" s="307">
        <f>+K70-C70</f>
        <v>1633.7740602739723</v>
      </c>
      <c r="J70" s="130"/>
      <c r="K70" s="304">
        <f>TAXREC!E231</f>
        <v>7463.829435616439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12710037</v>
      </c>
      <c r="D73" s="116"/>
      <c r="E73" s="116"/>
      <c r="F73" s="116"/>
      <c r="G73" s="117"/>
      <c r="H73" s="117"/>
      <c r="I73" s="307">
        <f>+K73-C73</f>
        <v>3199431</v>
      </c>
      <c r="J73" s="6"/>
      <c r="K73" s="307">
        <f>TAXREC!E282</f>
        <v>15909468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0</v>
      </c>
      <c r="J74" s="6"/>
      <c r="K74" s="307">
        <f>TAXREC!E284</f>
        <v>10000000</v>
      </c>
      <c r="L74" s="172"/>
    </row>
    <row r="75" spans="1:12" ht="12.75">
      <c r="A75" s="173" t="s">
        <v>53</v>
      </c>
      <c r="B75" s="143"/>
      <c r="C75" s="304">
        <f>IF((C73-C74)&gt;0,C73-C74,0)</f>
        <v>2710037</v>
      </c>
      <c r="D75" s="24"/>
      <c r="E75" s="24"/>
      <c r="F75" s="24"/>
      <c r="G75" s="25"/>
      <c r="H75" s="25"/>
      <c r="I75" s="307">
        <f>SUM(I73:I74)</f>
        <v>3199431</v>
      </c>
      <c r="J75" s="130"/>
      <c r="K75" s="304">
        <f>IF((K73-K74)&gt;0,K73-K74,0)</f>
        <v>5909468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C75*C77*(92/365)</f>
        <v>1536.925093150685</v>
      </c>
      <c r="D79" s="116"/>
      <c r="E79" s="116"/>
      <c r="F79" s="116"/>
      <c r="G79" s="117"/>
      <c r="H79" s="117"/>
      <c r="I79" s="307">
        <f>+K79-C79</f>
        <v>1814.4718273972603</v>
      </c>
      <c r="J79" s="6"/>
      <c r="K79" s="304">
        <f>TAXREC!E293</f>
        <v>3351.3969205479452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1118.4271224751897</v>
      </c>
      <c r="D80" s="116"/>
      <c r="E80" s="116"/>
      <c r="F80" s="116"/>
      <c r="G80" s="117"/>
      <c r="H80" s="117"/>
      <c r="I80" s="307">
        <f>+K80-C80</f>
        <v>-1118.4271224751897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696.0447049220707</v>
      </c>
      <c r="J82" s="118"/>
      <c r="K82" s="304">
        <f>K79-K80</f>
        <v>3351.3969205479452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C51</f>
        <v>0.3412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51718.402261218274</v>
      </c>
      <c r="D88" s="113"/>
      <c r="E88" s="113"/>
      <c r="F88" s="113"/>
      <c r="G88" s="26"/>
      <c r="H88" s="26"/>
      <c r="I88" s="160"/>
      <c r="J88" s="471" t="s">
        <v>589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589</v>
      </c>
      <c r="K89" s="310">
        <f>TAXREC!E307</f>
        <v>3351.3969205479452</v>
      </c>
      <c r="L89" s="172"/>
    </row>
    <row r="90" spans="1:12" ht="12.75">
      <c r="A90" s="179" t="s">
        <v>496</v>
      </c>
      <c r="B90" s="145">
        <v>24</v>
      </c>
      <c r="C90" s="304">
        <f>C70</f>
        <v>5830.0553753424665</v>
      </c>
      <c r="D90" s="113"/>
      <c r="E90" s="113"/>
      <c r="F90" s="113"/>
      <c r="G90" s="26"/>
      <c r="H90" s="26"/>
      <c r="I90" s="160"/>
      <c r="J90" s="471" t="s">
        <v>589</v>
      </c>
      <c r="K90" s="310">
        <f>TAXREC!E306</f>
        <v>7463.829435616439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57548.45763656074</v>
      </c>
      <c r="D93" s="99"/>
      <c r="E93" s="99"/>
      <c r="F93" s="99"/>
      <c r="G93" s="6"/>
      <c r="H93" s="6"/>
      <c r="I93" s="160"/>
      <c r="J93" s="471" t="s">
        <v>589</v>
      </c>
      <c r="K93" s="451">
        <f>SUM(K88:K92)</f>
        <v>10815.226356164385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494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v>0.2821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>
        <f>I120-0.0112</f>
        <v>0.27090000000000003</v>
      </c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515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99859.56450671337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v>0.2821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28170.383147343844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28170.383147343844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34072.083409690604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-5901.70026234676</v>
      </c>
      <c r="J146" s="43"/>
      <c r="K146" s="493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12710037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7710037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I151*I153*(92/365)</f>
        <v>5830.0553753424665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5830.0553753424665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12710037</v>
      </c>
      <c r="J160" s="43"/>
      <c r="K160" s="223"/>
      <c r="L160" s="185"/>
    </row>
    <row r="161" spans="1:12" ht="12.75">
      <c r="A161" s="192" t="s">
        <v>523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2710037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1524.3958125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1118.4271224751897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405.96869002481026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495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492</v>
      </c>
      <c r="B173" s="148"/>
      <c r="C173" s="128"/>
      <c r="D173" s="3"/>
      <c r="E173" s="3"/>
      <c r="F173" s="3"/>
      <c r="G173" s="136"/>
      <c r="H173" s="136"/>
      <c r="I173" s="366">
        <f>I136-0.0112</f>
        <v>0.27090000000000003</v>
      </c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-8094.500428400439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516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-8094.500428400439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493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3.5">
      <c r="A183" s="496" t="s">
        <v>517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-8094.500428400439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460738.84124999994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15258.435493286628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489</v>
      </c>
      <c r="B194" s="145"/>
      <c r="C194" s="128"/>
      <c r="D194" s="118"/>
      <c r="E194" s="118"/>
      <c r="F194" s="118"/>
      <c r="G194" s="137"/>
      <c r="H194" s="137"/>
      <c r="I194" s="362">
        <f>I191-I192</f>
        <v>445480.4057567133</v>
      </c>
      <c r="J194" s="3"/>
      <c r="K194" s="140"/>
      <c r="L194" s="185"/>
    </row>
    <row r="195" spans="1:12" ht="12.75">
      <c r="A195" s="176" t="s">
        <v>490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0</v>
      </c>
      <c r="J199" s="3"/>
      <c r="K199" s="140"/>
      <c r="L199" s="185"/>
    </row>
    <row r="200" spans="1:12" ht="12.75">
      <c r="A200" s="176" t="s">
        <v>491</v>
      </c>
      <c r="B200" s="145"/>
      <c r="C200" s="128"/>
      <c r="D200" s="118"/>
      <c r="E200" s="118"/>
      <c r="F200" s="118"/>
      <c r="G200" s="137"/>
      <c r="H200" s="137"/>
      <c r="I200" s="362">
        <f>REGINFO!D61</f>
        <v>460738.84124999994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445480.4057567133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25" r:id="rId3"/>
  <rowBreaks count="3" manualBreakCount="3">
    <brk id="83" max="11" man="1"/>
    <brk id="163" max="11" man="1"/>
    <brk id="21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12"/>
  <sheetViews>
    <sheetView zoomScalePageLayoutView="0" workbookViewId="0" topLeftCell="A57">
      <selection activeCell="E235" sqref="E235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Brant County Power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3971.8865625000003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/>
      <c r="D31" s="327"/>
      <c r="E31" s="325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/>
      <c r="D32" s="327"/>
      <c r="E32" s="325">
        <f>C32-D32</f>
        <v>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/>
      <c r="D33" s="327"/>
      <c r="E33" s="325">
        <f>C33-D33</f>
        <v>0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/>
      <c r="D39" s="327"/>
      <c r="E39" s="325">
        <f>C39-D39</f>
        <v>0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/>
      <c r="D40" s="327"/>
      <c r="E40" s="32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/>
      <c r="D41" s="327"/>
      <c r="E41" s="325">
        <f t="shared" si="0"/>
        <v>0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/>
      <c r="D42" s="327"/>
      <c r="E42" s="325">
        <f t="shared" si="0"/>
        <v>0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191838</v>
      </c>
      <c r="D43" s="327"/>
      <c r="E43" s="325">
        <f t="shared" si="0"/>
        <v>191838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>
        <v>0</v>
      </c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>
        <f>481653-203138</f>
        <v>278515</v>
      </c>
      <c r="D45" s="327"/>
      <c r="E45" s="325">
        <f t="shared" si="0"/>
        <v>278515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-470353</v>
      </c>
      <c r="D50" s="322">
        <f>SUM(D31:D36)-SUM(D39:D49)</f>
        <v>0</v>
      </c>
      <c r="E50" s="322">
        <f>SUM(E31:E35)-SUM(E39:E48)</f>
        <v>-470353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/>
      <c r="D51" s="326"/>
      <c r="E51" s="323">
        <f>+C51-D51</f>
        <v>0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>
        <v>11300</v>
      </c>
      <c r="D52" s="326"/>
      <c r="E52" s="324">
        <f>+C52-D52</f>
        <v>11300</v>
      </c>
      <c r="F52" s="8"/>
    </row>
    <row r="53" spans="1:6" ht="12.75">
      <c r="A53" s="2" t="s">
        <v>212</v>
      </c>
      <c r="B53" s="8" t="s">
        <v>278</v>
      </c>
      <c r="C53" s="322">
        <f>C50-C51-C52</f>
        <v>-481653</v>
      </c>
      <c r="D53" s="322">
        <f>D50-D51-D52</f>
        <v>0</v>
      </c>
      <c r="E53" s="322">
        <f>E50-E51-E52</f>
        <v>-481653</v>
      </c>
      <c r="F53" s="8"/>
    </row>
    <row r="54" spans="1:6" ht="22.5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11300</v>
      </c>
      <c r="D59" s="328">
        <f>D52</f>
        <v>0</v>
      </c>
      <c r="E59" s="312">
        <f>+C59-D59</f>
        <v>11300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f>C43</f>
        <v>191838</v>
      </c>
      <c r="D61" s="328">
        <f>D43</f>
        <v>0</v>
      </c>
      <c r="E61" s="312">
        <f>+C61-D61</f>
        <v>191838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5215</v>
      </c>
      <c r="D67" s="290">
        <f>'TAXREC 2'!D96</f>
        <v>0</v>
      </c>
      <c r="E67" s="312">
        <f>+C67-D67</f>
        <v>5215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208353</v>
      </c>
      <c r="D69" s="312">
        <f>SUM(D59:D67)</f>
        <v>0</v>
      </c>
      <c r="E69" s="312">
        <f>SUM(E59:E67)</f>
        <v>208353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208353</v>
      </c>
      <c r="D81" s="290">
        <f>D69+D79</f>
        <v>0</v>
      </c>
      <c r="E81" s="290">
        <f>E69+E79</f>
        <v>208353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181498</v>
      </c>
      <c r="D96" s="337"/>
      <c r="E96" s="312">
        <f>+C96-D96</f>
        <v>181498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>
        <v>47502</v>
      </c>
      <c r="D97" s="337"/>
      <c r="E97" s="312">
        <f>+C97-D97</f>
        <v>47502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>
        <v>0</v>
      </c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1011415</v>
      </c>
      <c r="D110" s="290">
        <f>'TAXREC 2'!D146</f>
        <v>0</v>
      </c>
      <c r="E110" s="290">
        <f>'TAXREC 2'!E146</f>
        <v>1011415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1240415</v>
      </c>
      <c r="D113" s="290">
        <f>SUM(D96:D111)</f>
        <v>0</v>
      </c>
      <c r="E113" s="290">
        <f>SUM(E96:E111)</f>
        <v>1240415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1240415</v>
      </c>
      <c r="D122" s="290">
        <f>D113+D120</f>
        <v>0</v>
      </c>
      <c r="E122" s="290">
        <f>+E113+E120</f>
        <v>1240415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-1513715</v>
      </c>
      <c r="D134" s="290">
        <f>D53+D81-D122</f>
        <v>0</v>
      </c>
      <c r="E134" s="290">
        <f>E53+E81-E122</f>
        <v>-1513715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-1513715</v>
      </c>
      <c r="D139" s="291">
        <f>D134-D136-D137-D138</f>
        <v>0</v>
      </c>
      <c r="E139" s="291">
        <f>E134-E136-E137-E138</f>
        <v>-1513715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5437947</v>
      </c>
      <c r="D159" s="337"/>
      <c r="E159" s="312">
        <f>C159-D159</f>
        <v>5437947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-366544</v>
      </c>
      <c r="D160" s="337"/>
      <c r="E160" s="312">
        <f aca="true" t="shared" si="7" ref="E160:E172">C160-D160</f>
        <v>-366544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2738065</v>
      </c>
      <c r="D161" s="337"/>
      <c r="E161" s="312">
        <f t="shared" si="7"/>
        <v>2738065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8100000</v>
      </c>
      <c r="D163" s="337"/>
      <c r="E163" s="312">
        <f t="shared" si="7"/>
        <v>8100000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15909468</v>
      </c>
      <c r="D173" s="290">
        <f>SUM(D159:D172)</f>
        <v>0</v>
      </c>
      <c r="E173" s="290">
        <f>SUM(E159:E172)</f>
        <v>15909468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6.25">
      <c r="A175" s="74" t="s">
        <v>283</v>
      </c>
      <c r="B175" s="75" t="s">
        <v>276</v>
      </c>
      <c r="C175" s="338">
        <v>1081226</v>
      </c>
      <c r="D175" s="338"/>
      <c r="E175" s="335">
        <f>C175-D175</f>
        <v>1081226</v>
      </c>
      <c r="F175" s="8"/>
    </row>
    <row r="176" spans="1:6" ht="26.2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14828242</v>
      </c>
      <c r="D177" s="336">
        <f>D173-D175-D176</f>
        <v>0</v>
      </c>
      <c r="E177" s="290">
        <f>E173-E175-E176</f>
        <v>14828242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19963972</v>
      </c>
      <c r="D193" s="337"/>
      <c r="E193" s="312">
        <f>C193-D193</f>
        <v>19963972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19963972</v>
      </c>
      <c r="D198" s="290">
        <f>D193+D194+D195-D196</f>
        <v>0</v>
      </c>
      <c r="E198" s="290">
        <f>E193+E194+E195-E196</f>
        <v>19963972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6.25">
      <c r="A204" s="74" t="s">
        <v>283</v>
      </c>
      <c r="B204" s="77" t="s">
        <v>276</v>
      </c>
      <c r="C204" s="338">
        <v>1081226</v>
      </c>
      <c r="D204" s="338"/>
      <c r="E204" s="335">
        <f t="shared" si="9"/>
        <v>1081226</v>
      </c>
      <c r="F204" s="8"/>
    </row>
    <row r="205" spans="1:6" ht="26.2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18882746</v>
      </c>
      <c r="D209" s="336">
        <f>D198+D201+D202-D204-D205-D206+D207</f>
        <v>0</v>
      </c>
      <c r="E209" s="290">
        <f>E198+E201+E202-E204-E205-E206+E207</f>
        <v>18882746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14828242</v>
      </c>
      <c r="D216" s="320">
        <f>+D177</f>
        <v>0</v>
      </c>
      <c r="E216" s="324">
        <f>+C216-D216</f>
        <v>14828242</v>
      </c>
      <c r="F216" s="8"/>
    </row>
    <row r="217" spans="1:6" ht="12.75">
      <c r="A217" s="4" t="s">
        <v>88</v>
      </c>
      <c r="B217" s="75" t="s">
        <v>276</v>
      </c>
      <c r="C217" s="290">
        <f>C212</f>
        <v>0</v>
      </c>
      <c r="D217" s="290">
        <f>D212</f>
        <v>0</v>
      </c>
      <c r="E217" s="290">
        <f>C217-D217</f>
        <v>0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14828242</v>
      </c>
      <c r="D219" s="290">
        <f>IF(D216&gt;D217,D216-D217,0)</f>
        <v>0</v>
      </c>
      <c r="E219" s="290">
        <f>IF(E216&gt;E217,E216-E217,0)</f>
        <v>14828242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>
        <v>4957598</v>
      </c>
      <c r="D222" s="293">
        <v>0</v>
      </c>
      <c r="E222" s="312">
        <f>+C222-D222</f>
        <v>4957598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9870644</v>
      </c>
      <c r="D224" s="290">
        <f>D219-D222</f>
        <v>0</v>
      </c>
      <c r="E224" s="290">
        <f>E219-E222</f>
        <v>9870644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7463.829435616439</v>
      </c>
      <c r="D231" s="290">
        <f>+D224*D226*D229</f>
        <v>0</v>
      </c>
      <c r="E231" s="290">
        <f>+E224*E226*E229</f>
        <v>7463.829435616439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519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6.2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>
        <v>5437947</v>
      </c>
      <c r="D240" s="345"/>
      <c r="E240" s="312">
        <f aca="true" t="shared" si="10" ref="E240:E248">+C240-D240</f>
        <v>5437947</v>
      </c>
      <c r="F240" s="8"/>
    </row>
    <row r="241" spans="1:6" ht="12.75">
      <c r="A241" s="74" t="s">
        <v>95</v>
      </c>
      <c r="B241" s="77" t="s">
        <v>275</v>
      </c>
      <c r="C241" s="342"/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>
        <v>2738065</v>
      </c>
      <c r="D243" s="343"/>
      <c r="E243" s="312">
        <f t="shared" si="10"/>
        <v>2738065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>
        <v>8000000</v>
      </c>
      <c r="D245" s="343"/>
      <c r="E245" s="312">
        <f t="shared" si="10"/>
        <v>8000000</v>
      </c>
      <c r="F245" s="8"/>
    </row>
    <row r="246" spans="1:6" ht="26.2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>
        <v>100000</v>
      </c>
      <c r="D248" s="343"/>
      <c r="E248" s="312">
        <f t="shared" si="10"/>
        <v>100000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16276012</v>
      </c>
      <c r="D250" s="290">
        <f>SUM(D239:D249)</f>
        <v>0</v>
      </c>
      <c r="E250" s="290">
        <f>SUM(E239:E249)</f>
        <v>16276012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>
        <v>366544</v>
      </c>
      <c r="D254" s="337"/>
      <c r="E254" s="312">
        <f>+C254-D254</f>
        <v>366544</v>
      </c>
      <c r="F254" s="8"/>
    </row>
    <row r="255" spans="1:6" ht="26.2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366544</v>
      </c>
      <c r="D258" s="290">
        <f>SUM(D253:D257)</f>
        <v>0</v>
      </c>
      <c r="E258" s="290">
        <f>SUM(E253:E257)</f>
        <v>366544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15909468</v>
      </c>
      <c r="D260" s="290">
        <f>+D250-D258</f>
        <v>0</v>
      </c>
      <c r="E260" s="290">
        <f>+E250-E258</f>
        <v>15909468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6.2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15909468</v>
      </c>
      <c r="D278" s="290">
        <f>+D260</f>
        <v>0</v>
      </c>
      <c r="E278" s="312">
        <f>+E260</f>
        <v>15909468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/>
      <c r="D280" s="290">
        <f>+D273</f>
        <v>0</v>
      </c>
      <c r="E280" s="312">
        <f>+C280-D280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15909468</v>
      </c>
      <c r="D282" s="290">
        <f>IF(D278&gt;D280,D278-D280,0)</f>
        <v>0</v>
      </c>
      <c r="E282" s="290">
        <f>IF(E278&gt;E280,E278-E280,0)</f>
        <v>15909468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590</v>
      </c>
      <c r="B284" s="75" t="s">
        <v>276</v>
      </c>
      <c r="C284" s="415">
        <v>10000000</v>
      </c>
      <c r="D284" s="290">
        <v>0</v>
      </c>
      <c r="E284" s="312">
        <f>+C284-D284</f>
        <v>10000000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5909468</v>
      </c>
      <c r="D286" s="290">
        <f>IF(D282&gt;D284,D282-D284,0)</f>
        <v>0</v>
      </c>
      <c r="E286" s="290">
        <f>IF(E282&gt;E284,E282-E284,0)</f>
        <v>5909468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520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3351.3969205479452</v>
      </c>
      <c r="D293" s="290">
        <f>D286*D288*D291</f>
        <v>0</v>
      </c>
      <c r="E293" s="290">
        <f>E286*E288*E291</f>
        <v>3351.3969205479452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488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3351.3969205479452</v>
      </c>
      <c r="D299" s="290">
        <f>IF(D293&gt;D297,D293-D297,0)</f>
        <v>0</v>
      </c>
      <c r="E299" s="290">
        <f>IF(E293&gt;E297,E293-E297,0)</f>
        <v>3351.3969205479452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522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7463.829435616439</v>
      </c>
      <c r="D306" s="290">
        <f>D231</f>
        <v>0</v>
      </c>
      <c r="E306" s="290">
        <f>E231</f>
        <v>7463.829435616439</v>
      </c>
    </row>
    <row r="307" spans="1:5" ht="12.75">
      <c r="A307" t="s">
        <v>333</v>
      </c>
      <c r="B307" s="97" t="s">
        <v>275</v>
      </c>
      <c r="C307" s="290">
        <f>C299</f>
        <v>3351.3969205479452</v>
      </c>
      <c r="D307" s="290">
        <f>D299</f>
        <v>0</v>
      </c>
      <c r="E307" s="290">
        <f>E299</f>
        <v>3351.3969205479452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10815.226356164385</v>
      </c>
      <c r="D309" s="290">
        <f>D305+D306+D307</f>
        <v>0</v>
      </c>
      <c r="E309" s="290">
        <f>E305+E306+E307</f>
        <v>10815.226356164385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1" fitToWidth="1" horizontalDpi="600" verticalDpi="600" orientation="portrait" scale="16" r:id="rId3"/>
  <rowBreaks count="3" manualBreakCount="3">
    <brk id="94" max="5" man="1"/>
    <brk id="189" max="5" man="1"/>
    <brk id="261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9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Brant County Power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zoomScalePageLayoutView="0" workbookViewId="0" topLeftCell="A1">
      <pane xSplit="1" ySplit="6" topLeftCell="B151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118" sqref="A11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Brant County Power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3971.8865625000003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>
        <v>5215</v>
      </c>
      <c r="D30" s="338"/>
      <c r="E30" s="367">
        <f t="shared" si="0"/>
        <v>5215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5215</v>
      </c>
      <c r="D54" s="290">
        <f>SUM(D15:D53)</f>
        <v>0</v>
      </c>
      <c r="E54" s="290">
        <f>SUM(E15:E53)</f>
        <v>5215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5215</v>
      </c>
      <c r="D96" s="369">
        <f>D54-D95</f>
        <v>0</v>
      </c>
      <c r="E96" s="369">
        <f>E54-E95</f>
        <v>5215</v>
      </c>
    </row>
    <row r="97" spans="1:5" ht="12.75">
      <c r="A97" s="317" t="s">
        <v>254</v>
      </c>
      <c r="B97" s="318"/>
      <c r="C97" s="369">
        <f>C95+C96</f>
        <v>5215</v>
      </c>
      <c r="D97" s="369">
        <f>D95+D96</f>
        <v>0</v>
      </c>
      <c r="E97" s="369">
        <f>E95+E96</f>
        <v>5215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 t="s">
        <v>601</v>
      </c>
      <c r="B115" s="8" t="s">
        <v>276</v>
      </c>
      <c r="C115" s="337">
        <v>920360</v>
      </c>
      <c r="D115" s="337"/>
      <c r="E115" s="290">
        <f t="shared" si="7"/>
        <v>920360</v>
      </c>
    </row>
    <row r="116" spans="1:5" ht="12.75">
      <c r="A116" s="502" t="s">
        <v>602</v>
      </c>
      <c r="B116" s="8" t="s">
        <v>276</v>
      </c>
      <c r="C116" s="337">
        <v>91055</v>
      </c>
      <c r="D116" s="337"/>
      <c r="E116" s="290">
        <f t="shared" si="7"/>
        <v>91055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1011415</v>
      </c>
      <c r="D122" s="290">
        <f>SUM(D100:D121)</f>
        <v>0</v>
      </c>
      <c r="E122" s="290">
        <f>SUM(E100:E121)</f>
        <v>1011415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Purchase Power Variance</v>
      </c>
      <c r="B140" s="313"/>
      <c r="C140" s="290">
        <f t="shared" si="8"/>
        <v>920360</v>
      </c>
      <c r="D140" s="290">
        <f t="shared" si="8"/>
        <v>0</v>
      </c>
      <c r="E140" s="290">
        <f t="shared" si="8"/>
        <v>920360</v>
      </c>
    </row>
    <row r="141" spans="1:5" ht="12.75">
      <c r="A141" s="315" t="str">
        <f t="shared" si="9"/>
        <v>Transition Costs </v>
      </c>
      <c r="B141" s="313"/>
      <c r="C141" s="290">
        <f t="shared" si="8"/>
        <v>91055</v>
      </c>
      <c r="D141" s="290">
        <f t="shared" si="8"/>
        <v>0</v>
      </c>
      <c r="E141" s="290">
        <f t="shared" si="8"/>
        <v>91055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1011415</v>
      </c>
      <c r="D146" s="290">
        <f>SUM(D125:D145)</f>
        <v>0</v>
      </c>
      <c r="E146" s="290">
        <f>SUM(E125:E145)</f>
        <v>1011415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1011415</v>
      </c>
      <c r="D148" s="290">
        <f>D146+D147</f>
        <v>0</v>
      </c>
      <c r="E148" s="290">
        <f>E146+E147</f>
        <v>1011415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G25" sqref="G2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Brant County Power Inc.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587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</v>
      </c>
      <c r="D16" s="390">
        <f>SUM(D14:D15)</f>
        <v>0</v>
      </c>
      <c r="E16" s="490">
        <f>SUM(E14:E15)</f>
        <v>0.3412</v>
      </c>
      <c r="F16" s="391">
        <f>SUM(F14:F15)</f>
        <v>0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7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.75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480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588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Brant County Power Inc.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498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499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500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502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501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505</v>
      </c>
      <c r="B28" s="269" t="s">
        <v>503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504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7" thickBot="1">
      <c r="A32" s="269" t="s">
        <v>322</v>
      </c>
      <c r="B32" s="274" t="s">
        <v>508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506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507</v>
      </c>
      <c r="B36" s="92" t="s">
        <v>509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512</v>
      </c>
      <c r="B42" s="269" t="s">
        <v>513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503</v>
      </c>
      <c r="C2" s="271" t="str">
        <f>REGINFO!E1</f>
        <v>Version 2004.2</v>
      </c>
    </row>
    <row r="3" spans="2:3" ht="12.75">
      <c r="B3" s="269" t="str">
        <f>REGINFO!A3</f>
        <v>Utility Name:  Brant County Power Inc.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6.25">
      <c r="A17" s="269">
        <v>3</v>
      </c>
      <c r="B17" s="274" t="s">
        <v>202</v>
      </c>
    </row>
    <row r="18" ht="12.75">
      <c r="B18" s="269" t="s">
        <v>190</v>
      </c>
    </row>
    <row r="22" spans="1:2" ht="26.25">
      <c r="A22" s="269">
        <v>4</v>
      </c>
      <c r="B22" s="274" t="s">
        <v>200</v>
      </c>
    </row>
    <row r="23" ht="12.75">
      <c r="B23" s="269" t="s">
        <v>190</v>
      </c>
    </row>
    <row r="26" spans="1:2" ht="26.25">
      <c r="A26" s="269">
        <v>5</v>
      </c>
      <c r="B26" s="274" t="s">
        <v>349</v>
      </c>
    </row>
    <row r="27" ht="12.75">
      <c r="B27" s="269" t="s">
        <v>190</v>
      </c>
    </row>
    <row r="30" spans="1:2" ht="26.25">
      <c r="A30" s="269">
        <v>6</v>
      </c>
      <c r="B30" s="274" t="s">
        <v>510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6.25">
      <c r="A35" s="2">
        <v>7</v>
      </c>
      <c r="B35" s="92" t="s">
        <v>511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6.2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Brant County Power Inc.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6.2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6.2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6.2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6.2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39.75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Jim</cp:lastModifiedBy>
  <cp:lastPrinted>2011-08-07T14:59:02Z</cp:lastPrinted>
  <dcterms:created xsi:type="dcterms:W3CDTF">2001-11-07T16:15:53Z</dcterms:created>
  <dcterms:modified xsi:type="dcterms:W3CDTF">2012-06-09T21:01:35Z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