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2" yWindow="540" windowWidth="14340" windowHeight="120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9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direct input to reconcile with approved PILS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added $86,739 to reconcile to Schedule 1 </t>
        </r>
      </text>
    </comment>
  </commentList>
</comments>
</file>

<file path=xl/sharedStrings.xml><?xml version="1.0" encoding="utf-8"?>
<sst xmlns="http://schemas.openxmlformats.org/spreadsheetml/2006/main" count="847" uniqueCount="489">
  <si>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</si>
  <si>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</si>
  <si>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</si>
  <si>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</si>
  <si>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</si>
  <si>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</si>
  <si>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</si>
  <si>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</si>
  <si>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</si>
  <si>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</si>
  <si>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</si>
  <si>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</si>
  <si>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</si>
  <si>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</si>
  <si>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</si>
  <si>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</si>
  <si>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</si>
  <si>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</si>
  <si>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</si>
  <si>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</si>
  <si>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</si>
  <si>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</si>
  <si>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</si>
  <si>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</si>
  <si>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</si>
  <si>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</si>
  <si>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</si>
  <si>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</si>
  <si>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</si>
  <si>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</si>
  <si>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</si>
  <si>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</si>
  <si>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</si>
  <si>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</si>
  <si>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</si>
  <si>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</si>
  <si>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</si>
  <si>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</si>
  <si>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</si>
  <si>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</si>
  <si>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</si>
  <si>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</si>
  <si>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</si>
  <si>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</si>
  <si>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</si>
  <si>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</si>
  <si>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</si>
  <si>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</si>
  <si>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</si>
  <si>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</si>
  <si>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</si>
  <si>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</si>
  <si>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</si>
  <si>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</si>
  <si>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</si>
  <si>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</si>
  <si>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</si>
  <si>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</si>
  <si>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</si>
  <si>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</si>
  <si>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</si>
  <si>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</si>
  <si>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</si>
  <si>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</si>
  <si>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</si>
  <si>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</si>
  <si>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</si>
  <si>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</si>
  <si>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</si>
  <si>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</si>
  <si>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</si>
  <si>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</si>
  <si>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</si>
  <si>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</si>
  <si>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</si>
  <si>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</si>
  <si>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</si>
  <si>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</si>
  <si>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</si>
  <si>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</si>
  <si>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</si>
  <si>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</si>
  <si>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</si>
  <si>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</si>
  <si>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</si>
  <si>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</si>
  <si>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</si>
  <si>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</si>
  <si>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</si>
  <si>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</si>
  <si>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</si>
  <si>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</si>
  <si>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</si>
  <si>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</si>
  <si>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</si>
  <si>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</si>
  <si>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</si>
  <si>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</si>
  <si>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</si>
  <si>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</si>
  <si>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</si>
  <si>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</si>
  <si>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</si>
  <si>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</si>
  <si>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</si>
  <si>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</si>
  <si>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</si>
  <si>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</si>
  <si>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</si>
  <si>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</si>
  <si>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</si>
  <si>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</si>
  <si>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</si>
  <si>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</si>
  <si>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</si>
  <si>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</si>
  <si>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</si>
  <si>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</si>
  <si>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</si>
  <si>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</si>
  <si>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</si>
  <si>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</si>
  <si>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</si>
  <si>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</si>
  <si>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</si>
  <si>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</si>
  <si>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</si>
  <si>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</si>
  <si>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</si>
  <si>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</si>
  <si>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</si>
  <si>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</si>
  <si>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</si>
  <si>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</si>
  <si>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</si>
  <si>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</si>
  <si>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</si>
  <si>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</si>
  <si>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</si>
  <si>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</si>
  <si>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</si>
  <si>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</si>
  <si>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</si>
  <si>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</si>
  <si>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</si>
  <si>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</si>
  <si>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</si>
  <si>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</si>
  <si>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</si>
  <si>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</si>
  <si>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</si>
  <si>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</si>
  <si>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</si>
  <si>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</si>
  <si>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</si>
  <si>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</si>
  <si>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</si>
  <si>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</si>
  <si>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</si>
  <si>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</si>
  <si>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</si>
  <si>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</si>
  <si>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</si>
  <si>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</si>
  <si>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</si>
  <si>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</si>
  <si>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</si>
  <si>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</si>
  <si>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</si>
  <si>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</si>
  <si>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</si>
  <si>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</si>
  <si>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</si>
  <si>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</si>
  <si>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</si>
  <si>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</si>
  <si>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</si>
  <si>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</si>
  <si>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</si>
  <si>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</si>
  <si>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</si>
  <si>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</si>
  <si>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</si>
  <si>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</si>
  <si>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</si>
  <si>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</si>
  <si>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</si>
  <si>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</si>
  <si>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</si>
  <si>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</si>
  <si>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</si>
  <si>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</si>
  <si>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</si>
  <si>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</si>
  <si>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</si>
  <si>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</si>
  <si>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</si>
  <si>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</si>
  <si>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</si>
  <si>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</si>
  <si>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</si>
  <si>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</si>
  <si>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</si>
  <si>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</si>
  <si>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</si>
  <si>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</si>
  <si>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</si>
  <si>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</si>
  <si>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</si>
  <si>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</si>
  <si>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</si>
  <si>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</si>
  <si>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</si>
  <si>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</si>
  <si>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</si>
  <si>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</si>
  <si>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</si>
  <si>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</si>
  <si>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</si>
  <si>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</si>
  <si>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</si>
  <si>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</si>
  <si>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</si>
  <si>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</si>
  <si>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</si>
  <si>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</si>
  <si>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</si>
  <si>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</si>
  <si>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</si>
  <si>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</si>
  <si>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</si>
  <si>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</si>
  <si>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</si>
  <si>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</si>
  <si>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</si>
  <si>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</si>
  <si>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</si>
  <si>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</si>
  <si>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</si>
  <si>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</si>
  <si>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</si>
  <si>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</si>
  <si>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</si>
  <si>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</si>
  <si>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</si>
  <si>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</si>
  <si>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</si>
  <si>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</si>
  <si>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</si>
  <si>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</si>
  <si>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</si>
  <si>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</si>
  <si>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</si>
  <si>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</si>
  <si>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</si>
  <si>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</si>
  <si>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</si>
  <si>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</si>
  <si>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</si>
  <si>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</si>
  <si>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</si>
  <si>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</si>
  <si>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</si>
  <si>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</si>
  <si>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</si>
  <si>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</si>
  <si>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</si>
  <si>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</si>
  <si>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</si>
  <si>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</si>
  <si>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</si>
  <si>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</si>
  <si>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</si>
  <si>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</si>
  <si>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</si>
  <si>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</si>
  <si>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</si>
  <si>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</si>
  <si>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</si>
  <si>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</si>
  <si>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</si>
  <si>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</si>
  <si>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</si>
  <si>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</si>
  <si>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</si>
  <si>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</si>
  <si>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</si>
  <si>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</si>
  <si>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</si>
  <si>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</si>
  <si>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</si>
  <si>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</si>
  <si>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</si>
  <si>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</si>
  <si>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</si>
  <si>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</si>
  <si>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</si>
  <si>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</si>
  <si>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</si>
  <si>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</si>
  <si>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</si>
  <si>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</si>
  <si>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</si>
  <si>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</si>
  <si>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</si>
  <si>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</si>
  <si>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</si>
  <si>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</si>
  <si>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</si>
  <si>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</si>
  <si>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</si>
  <si>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</si>
  <si>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</si>
  <si>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</si>
  <si>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</si>
  <si>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</si>
  <si>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</si>
  <si>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</si>
  <si>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</si>
  <si>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</si>
  <si>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</si>
  <si>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</si>
  <si>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</si>
  <si>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</si>
  <si>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</si>
  <si>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</si>
  <si>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</si>
  <si>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</si>
  <si>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</si>
  <si>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</si>
  <si>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</si>
  <si>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</si>
  <si>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</si>
  <si>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</si>
  <si>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</si>
  <si>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</si>
  <si>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</si>
  <si>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</si>
  <si>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</si>
  <si>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</si>
  <si>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</si>
  <si>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</si>
  <si>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</si>
  <si>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</si>
  <si>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</si>
  <si>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</si>
  <si>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</si>
  <si>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</si>
  <si>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</si>
  <si>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</si>
  <si>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</si>
  <si>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</si>
  <si>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</si>
  <si>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</si>
  <si>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</si>
  <si>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</si>
  <si>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</si>
  <si>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</si>
  <si>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</si>
  <si>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</si>
  <si>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</si>
  <si>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</si>
  <si>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</si>
  <si>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</si>
  <si>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</si>
  <si>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</si>
  <si>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</si>
  <si>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</si>
  <si>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</si>
  <si>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</si>
  <si>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</si>
  <si>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</si>
  <si>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</si>
  <si>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</si>
  <si>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</si>
  <si>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</si>
  <si>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</si>
  <si>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</si>
  <si>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</si>
  <si>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</si>
  <si>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</si>
  <si>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</si>
  <si>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</si>
  <si>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</si>
  <si>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</si>
  <si>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</si>
  <si>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</si>
  <si>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</si>
  <si>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</si>
  <si>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</si>
  <si>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</si>
  <si>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</si>
  <si>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</si>
  <si>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</si>
  <si>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</si>
  <si>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</si>
  <si>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</si>
  <si>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</si>
  <si>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</si>
  <si>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</si>
  <si>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</si>
  <si>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</si>
  <si>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</si>
  <si>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</si>
  <si>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</si>
  <si>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</si>
  <si>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</si>
  <si>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</si>
  <si>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</si>
  <si>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</si>
  <si>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</si>
  <si>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</si>
  <si>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</si>
  <si>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</si>
  <si>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</si>
  <si>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</si>
  <si>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</si>
  <si>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</si>
  <si>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</si>
  <si>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</si>
  <si>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</si>
  <si>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</si>
  <si>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</si>
  <si>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</si>
  <si>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</si>
  <si>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</si>
  <si>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</si>
  <si>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</si>
  <si>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</si>
  <si>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</si>
  <si>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</si>
  <si>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</si>
  <si>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</si>
  <si>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</si>
  <si>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</si>
  <si>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</si>
  <si>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</si>
  <si>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</si>
  <si>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</si>
  <si>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</si>
  <si>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</si>
  <si>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</si>
  <si>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</si>
  <si>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</si>
  <si>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</si>
  <si>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</si>
  <si>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</si>
  <si>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</si>
  <si>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</si>
  <si>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</si>
  <si>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</si>
  <si>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</si>
  <si>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</si>
  <si>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</si>
  <si>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</si>
  <si>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</si>
  <si>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</si>
  <si>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</si>
  <si>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</si>
  <si>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</si>
  <si>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</si>
  <si>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</si>
  <si>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</si>
  <si>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</si>
  <si>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</si>
  <si>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</si>
  <si>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</si>
  <si>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</si>
  <si>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</si>
  <si>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</si>
  <si>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</si>
  <si>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</si>
  <si>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</si>
  <si>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</si>
  <si>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Total deemed Interest (REGINFO D62)</t>
  </si>
  <si>
    <t>Rate - Tab Tax Rates cell C36</t>
  </si>
  <si>
    <t>Rate (as a result of legislative changes) tab 'Tax Rates' cell C37</t>
  </si>
  <si>
    <t xml:space="preserve">Income Tax Rate </t>
  </si>
  <si>
    <t xml:space="preserve">Restatement adjustment </t>
  </si>
  <si>
    <t xml:space="preserve">income tax / taxable income </t>
  </si>
  <si>
    <t>Utility Name: Brant County Power Inc.</t>
  </si>
  <si>
    <t>Employee Future Benefits</t>
  </si>
  <si>
    <t>Regulatory Variance Accounts - Dec 2002 balance</t>
  </si>
  <si>
    <t>Transition costs - opening tax balance</t>
  </si>
  <si>
    <t xml:space="preserve">Share of Partnership Income </t>
  </si>
  <si>
    <t>Purchase Power Variance at Dec 31, 2003</t>
  </si>
  <si>
    <t>Transition Costs at Dec 31, 2003</t>
  </si>
  <si>
    <t>Deferred PILS at Dec 31, 2003</t>
  </si>
  <si>
    <t>Other Regulatory Assets at Dec 31, 2003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</si>
</sst>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&quot;$&quot;#,##0.00"/>
    <numFmt numFmtId="174" formatCode="0.000%"/>
  </numFmts>
  <fonts count="66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1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10" fillId="41" borderId="54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4" fontId="0" fillId="0" borderId="0" xfId="62" applyNumberFormat="1" applyFont="1" applyAlignment="1" applyProtection="1">
      <alignment vertical="top"/>
      <protection locked="0"/>
    </xf>
    <xf numFmtId="0" fontId="62" fillId="0" borderId="0" xfId="0" applyFont="1" applyAlignment="1">
      <alignment vertical="top"/>
    </xf>
    <xf numFmtId="37" fontId="62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64" fillId="0" borderId="24" xfId="0" applyFont="1" applyFill="1" applyBorder="1" applyAlignment="1" applyProtection="1">
      <alignment vertical="top"/>
      <protection/>
    </xf>
    <xf numFmtId="0" fontId="6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3" fontId="63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5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446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486" t="s">
        <v>480</v>
      </c>
      <c r="C3" s="8"/>
      <c r="D3" s="439" t="s">
        <v>432</v>
      </c>
      <c r="E3" s="8"/>
      <c r="F3" s="8"/>
      <c r="G3" s="8"/>
      <c r="H3" s="8"/>
    </row>
    <row r="4" spans="1:8" ht="12.75">
      <c r="A4" s="2" t="s">
        <v>460</v>
      </c>
      <c r="C4" s="8"/>
      <c r="D4" s="438" t="s">
        <v>427</v>
      </c>
      <c r="E4" s="412"/>
      <c r="H4" s="8"/>
    </row>
    <row r="5" spans="1:8" ht="12.75">
      <c r="A5" s="52"/>
      <c r="C5" s="8"/>
      <c r="D5" s="437" t="s">
        <v>428</v>
      </c>
      <c r="E5" s="383"/>
      <c r="H5" s="8"/>
    </row>
    <row r="6" spans="1:8" ht="12.75">
      <c r="A6" s="2" t="s">
        <v>124</v>
      </c>
      <c r="B6" s="373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62</v>
      </c>
      <c r="D17" s="257"/>
    </row>
    <row r="18" spans="1:4" ht="15" customHeight="1">
      <c r="A18" s="374" t="s">
        <v>310</v>
      </c>
      <c r="C18" s="8"/>
      <c r="D18" s="8"/>
    </row>
    <row r="19" spans="1:4" ht="15" customHeight="1">
      <c r="A19" s="489" t="s">
        <v>311</v>
      </c>
      <c r="B19" s="8" t="s">
        <v>308</v>
      </c>
      <c r="C19" s="8" t="s">
        <v>62</v>
      </c>
      <c r="D19" s="373"/>
    </row>
    <row r="20" spans="1:4" ht="13.5" thickBot="1">
      <c r="A20" s="490"/>
      <c r="B20" s="8" t="s">
        <v>309</v>
      </c>
      <c r="C20" s="8" t="s">
        <v>62</v>
      </c>
      <c r="D20" s="257"/>
    </row>
    <row r="21" spans="1:4" ht="12.75">
      <c r="A21" s="489" t="s">
        <v>307</v>
      </c>
      <c r="B21" s="8" t="s">
        <v>308</v>
      </c>
      <c r="C21" s="8"/>
      <c r="D21" s="407">
        <v>1</v>
      </c>
    </row>
    <row r="22" spans="1:4" ht="12.75">
      <c r="A22" s="489"/>
      <c r="B22" s="8" t="s">
        <v>309</v>
      </c>
      <c r="C22" s="8"/>
      <c r="D22" s="407">
        <v>1</v>
      </c>
    </row>
    <row r="23" spans="1:4" ht="7.5" customHeight="1">
      <c r="A23" s="45"/>
      <c r="C23" s="8"/>
      <c r="D23" s="373"/>
    </row>
    <row r="24" spans="1:4" ht="12.75">
      <c r="A24" s="45" t="s">
        <v>210</v>
      </c>
      <c r="C24" s="8" t="s">
        <v>211</v>
      </c>
      <c r="D24" s="408" t="s">
        <v>461</v>
      </c>
    </row>
    <row r="25" ht="6.75" customHeight="1" thickBot="1">
      <c r="A25" s="12"/>
    </row>
    <row r="26" spans="1:5" ht="12.75">
      <c r="A26" s="254" t="s">
        <v>65</v>
      </c>
      <c r="C26" s="8"/>
      <c r="E26" s="427" t="s">
        <v>295</v>
      </c>
    </row>
    <row r="27" spans="1:5" ht="12.75">
      <c r="A27" s="255" t="s">
        <v>66</v>
      </c>
      <c r="C27" s="8"/>
      <c r="E27" s="428" t="s">
        <v>296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285</v>
      </c>
      <c r="D31" s="405">
        <v>12710037</v>
      </c>
      <c r="H31" s="5"/>
    </row>
    <row r="32" ht="6" customHeight="1"/>
    <row r="33" spans="1:8" ht="12.75">
      <c r="A33" t="s">
        <v>69</v>
      </c>
      <c r="D33" s="406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06">
        <v>0.0988</v>
      </c>
      <c r="H37" s="41"/>
    </row>
    <row r="38" ht="4.5" customHeight="1">
      <c r="H38" s="34"/>
    </row>
    <row r="39" spans="1:8" ht="12.75">
      <c r="A39" t="s">
        <v>72</v>
      </c>
      <c r="D39" s="406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09">
        <v>144208</v>
      </c>
      <c r="E43" s="372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944406.6690500001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0">
        <v>314802</v>
      </c>
      <c r="E47" s="372">
        <f aca="true" t="shared" si="0" ref="E47:E53">D47</f>
        <v>314802</v>
      </c>
      <c r="H47" s="40"/>
      <c r="J47" s="5"/>
      <c r="K47" s="5"/>
    </row>
    <row r="48" spans="1:11" ht="12.75">
      <c r="A48" t="s">
        <v>288</v>
      </c>
      <c r="D48" s="410">
        <v>314802</v>
      </c>
      <c r="E48" s="372">
        <f>D48</f>
        <v>314802</v>
      </c>
      <c r="F48" s="22"/>
      <c r="H48" s="40"/>
      <c r="J48" s="5"/>
      <c r="K48" s="5"/>
    </row>
    <row r="49" spans="1:11" ht="12.75">
      <c r="A49" t="s">
        <v>289</v>
      </c>
      <c r="D49" s="411"/>
      <c r="E49" s="372">
        <v>0</v>
      </c>
      <c r="F49" s="22"/>
      <c r="H49" s="40"/>
      <c r="J49" s="5"/>
      <c r="K49" s="5"/>
    </row>
    <row r="50" spans="1:11" ht="12.75">
      <c r="A50" t="s">
        <v>290</v>
      </c>
      <c r="D50" s="412"/>
      <c r="E50" s="372">
        <f t="shared" si="0"/>
        <v>0</v>
      </c>
      <c r="H50" s="40"/>
      <c r="J50" s="5"/>
      <c r="K50" s="5"/>
    </row>
    <row r="51" spans="1:11" ht="12.75">
      <c r="A51" t="s">
        <v>424</v>
      </c>
      <c r="D51" s="412"/>
      <c r="E51" s="372">
        <f t="shared" si="0"/>
        <v>0</v>
      </c>
      <c r="H51" s="40"/>
      <c r="J51" s="5"/>
      <c r="K51" s="5"/>
    </row>
    <row r="52" spans="1:11" ht="12.75">
      <c r="A52" t="s">
        <v>447</v>
      </c>
      <c r="D52" s="412"/>
      <c r="E52" s="372">
        <f t="shared" si="0"/>
        <v>0</v>
      </c>
      <c r="H52" s="40"/>
      <c r="J52" s="5"/>
      <c r="K52" s="5"/>
    </row>
    <row r="53" spans="4:11" ht="12.75">
      <c r="D53" s="412"/>
      <c r="E53" s="372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773812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327503.6193812025</v>
      </c>
      <c r="F68" s="5"/>
      <c r="H68" s="32"/>
      <c r="J68" s="5"/>
    </row>
    <row r="69" spans="1:10" ht="12.75">
      <c r="A69" s="33" t="s">
        <v>369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2">
        <f>D62</f>
        <v>460738.84124999994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PageLayoutView="0" workbookViewId="0" topLeftCell="A169">
      <selection activeCell="E106" sqref="E10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3.28125" style="0" customWidth="1"/>
    <col min="10" max="10" width="37.421875" style="0" customWidth="1"/>
    <col min="11" max="16" width="10.7109375" style="0" customWidth="1"/>
  </cols>
  <sheetData>
    <row r="1" spans="1:8" ht="12.75">
      <c r="A1" s="202"/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449</v>
      </c>
      <c r="H1" s="209"/>
    </row>
    <row r="2" spans="1:8" ht="12.75">
      <c r="A2" s="210" t="s">
        <v>448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450</v>
      </c>
      <c r="H2" s="216"/>
    </row>
    <row r="3" spans="1:8" ht="12.75">
      <c r="A3" s="486" t="s">
        <v>480</v>
      </c>
      <c r="B3" s="217"/>
      <c r="C3" s="218"/>
      <c r="D3" s="213"/>
      <c r="E3" s="137" t="s">
        <v>20</v>
      </c>
      <c r="F3" s="219" t="s">
        <v>20</v>
      </c>
      <c r="G3" s="137"/>
      <c r="H3" s="216"/>
    </row>
    <row r="4" spans="1:8" ht="12.75">
      <c r="A4" s="220" t="s">
        <v>40</v>
      </c>
      <c r="B4" s="221"/>
      <c r="C4" s="218"/>
      <c r="D4" s="213"/>
      <c r="E4" s="137" t="s">
        <v>248</v>
      </c>
      <c r="F4" s="219" t="s">
        <v>21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Brant County Power Inc.</v>
      </c>
      <c r="B6" s="115"/>
      <c r="D6" s="137"/>
      <c r="E6" s="115"/>
      <c r="G6" s="115"/>
      <c r="H6" s="449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49"/>
    </row>
    <row r="8" spans="2:12" ht="12.75">
      <c r="B8" s="221"/>
      <c r="C8" s="229"/>
      <c r="D8" s="213"/>
      <c r="E8" s="137"/>
      <c r="F8" s="219"/>
      <c r="G8" s="182" t="s">
        <v>85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3">
        <f>REGINFO!B6</f>
        <v>365</v>
      </c>
      <c r="C9" s="230" t="s">
        <v>125</v>
      </c>
      <c r="D9" s="213"/>
      <c r="E9" s="137"/>
      <c r="F9" s="219"/>
      <c r="G9" s="182" t="s">
        <v>88</v>
      </c>
      <c r="H9" s="216"/>
    </row>
    <row r="10" spans="1:8" ht="12.75">
      <c r="A10" s="210" t="s">
        <v>254</v>
      </c>
      <c r="B10" s="413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87</v>
      </c>
      <c r="H11" s="151"/>
    </row>
    <row r="12" spans="1:8" ht="13.5" thickBot="1">
      <c r="A12" s="153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29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9">
        <f>REGINFO!E54</f>
        <v>773812</v>
      </c>
      <c r="D16" s="17"/>
      <c r="E16" s="267">
        <f>G16-C16</f>
        <v>435525</v>
      </c>
      <c r="F16" s="3"/>
      <c r="G16" s="267">
        <f>TAXREC!E50</f>
        <v>1209337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658100</v>
      </c>
      <c r="D20" s="18"/>
      <c r="E20" s="267">
        <f>G20-C20</f>
        <v>159109</v>
      </c>
      <c r="F20" s="6"/>
      <c r="G20" s="267">
        <f>TAXREC!E61</f>
        <v>817209</v>
      </c>
      <c r="H20" s="151"/>
    </row>
    <row r="21" spans="1:8" ht="12.75">
      <c r="A21" s="158" t="s">
        <v>54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1872951</v>
      </c>
      <c r="F23" s="6"/>
      <c r="G23" s="267">
        <f>TAXREC!E64</f>
        <v>1872951</v>
      </c>
      <c r="H23" s="151"/>
    </row>
    <row r="24" spans="1:8" ht="12.75">
      <c r="A24" s="158" t="s">
        <v>263</v>
      </c>
      <c r="B24" s="127">
        <v>5</v>
      </c>
      <c r="C24" s="261">
        <v>420149</v>
      </c>
      <c r="D24" s="18"/>
      <c r="E24" s="267">
        <f>G24-C24</f>
        <v>-420149</v>
      </c>
      <c r="F24" s="6"/>
      <c r="G24" s="267">
        <f>TAXREC!E65</f>
        <v>0</v>
      </c>
      <c r="H24" s="151"/>
    </row>
    <row r="25" spans="1:8" ht="12.75">
      <c r="A25" s="158" t="s">
        <v>51</v>
      </c>
      <c r="B25" s="127"/>
      <c r="C25" s="105" t="s">
        <v>100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15085</v>
      </c>
      <c r="F29" s="6"/>
      <c r="G29" s="267">
        <f>TAXREC!E68</f>
        <v>15085</v>
      </c>
      <c r="H29" s="151"/>
    </row>
    <row r="30" spans="1:8" ht="15.75">
      <c r="A30" s="465" t="s">
        <v>380</v>
      </c>
      <c r="B30" s="127"/>
      <c r="C30" s="259"/>
      <c r="D30" s="18"/>
      <c r="E30" s="267">
        <f>G30-C30</f>
        <v>2845285</v>
      </c>
      <c r="F30" s="6"/>
      <c r="G30" s="267">
        <f>TAXREC!E66</f>
        <v>2845285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679578</v>
      </c>
      <c r="D33" s="132"/>
      <c r="E33" s="267">
        <f aca="true" t="shared" si="0" ref="E33:E42">G33-C33</f>
        <v>29549</v>
      </c>
      <c r="F33" s="6"/>
      <c r="G33" s="267">
        <f>TAXREC!E97+TAXREC!E98</f>
        <v>709127</v>
      </c>
      <c r="H33" s="151"/>
    </row>
    <row r="34" spans="1:8" ht="12.75">
      <c r="A34" s="158" t="s">
        <v>55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44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>
        <v>96676</v>
      </c>
      <c r="D36" s="132"/>
      <c r="E36" s="267">
        <f t="shared" si="0"/>
        <v>-96676</v>
      </c>
      <c r="F36" s="6"/>
      <c r="G36" s="267">
        <f>TAXREC!E102+TAXREC!E103</f>
        <v>0</v>
      </c>
      <c r="H36" s="151"/>
    </row>
    <row r="37" spans="1:8" ht="12.75">
      <c r="A37" s="155" t="s">
        <v>84</v>
      </c>
      <c r="B37" s="125">
        <v>11</v>
      </c>
      <c r="C37" s="260">
        <f>REGINFO!D66</f>
        <v>327503.6193812025</v>
      </c>
      <c r="D37" s="132"/>
      <c r="E37" s="267">
        <f t="shared" si="0"/>
        <v>27731.3806187975</v>
      </c>
      <c r="F37" s="6"/>
      <c r="G37" s="267">
        <f>TAXREC!E51</f>
        <v>355235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1689373</v>
      </c>
      <c r="F39" s="6"/>
      <c r="G39" s="267">
        <f>TAXREC!E105</f>
        <v>1689373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52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22378</v>
      </c>
      <c r="F46" s="6"/>
      <c r="G46" s="250">
        <f>TAXREC!E110</f>
        <v>22378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.75">
      <c r="A48" s="465" t="s">
        <v>380</v>
      </c>
      <c r="B48" s="127"/>
      <c r="C48" s="259"/>
      <c r="D48" s="132"/>
      <c r="E48" s="267">
        <f>G48-C48</f>
        <v>2869978</v>
      </c>
      <c r="F48" s="6"/>
      <c r="G48" s="250">
        <f>TAXREC!E108</f>
        <v>2869978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3">
        <f>C16+SUM(C20:C30)-SUM(C33:C48)</f>
        <v>748303.3806187976</v>
      </c>
      <c r="D50" s="102"/>
      <c r="E50" s="263">
        <f>E16+SUM(E20:E30)-SUM(E33:E48)</f>
        <v>365472.6193812024</v>
      </c>
      <c r="F50" s="415"/>
      <c r="G50" s="263">
        <f>G16+SUM(G20:G30)-SUM(G33:G48)</f>
        <v>1113776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2">
        <f>'Tax Rates'!F16</f>
        <v>0.3862</v>
      </c>
      <c r="D53" s="102"/>
      <c r="E53" s="268" t="e">
        <f>+G53-C53</f>
        <v>#DIV/0!</v>
      </c>
      <c r="F53" s="114"/>
      <c r="G53" s="457" t="e">
        <f>TAXREC!E151</f>
        <v>#DIV/0!</v>
      </c>
      <c r="H53" s="151"/>
      <c r="I53" s="45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288994.76559497963</v>
      </c>
      <c r="D55" s="102"/>
      <c r="E55" s="267">
        <f>G55-C55</f>
        <v>-288994.76559497963</v>
      </c>
      <c r="F55" s="415" t="s">
        <v>357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15" t="s">
        <v>357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288994.76559497963</v>
      </c>
      <c r="D60" s="133"/>
      <c r="E60" s="269">
        <f>+E55-E58</f>
        <v>-288994.76559497963</v>
      </c>
      <c r="F60" s="415" t="s">
        <v>357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12710037</v>
      </c>
      <c r="D66" s="102"/>
      <c r="E66" s="267">
        <f>G66-C66</f>
        <v>4250585</v>
      </c>
      <c r="F66" s="6"/>
      <c r="G66" s="459">
        <v>16960622</v>
      </c>
      <c r="H66" s="151"/>
      <c r="I66" s="460" t="s">
        <v>456</v>
      </c>
    </row>
    <row r="67" spans="1:10" ht="12.75">
      <c r="A67" s="152" t="s">
        <v>350</v>
      </c>
      <c r="B67" s="125">
        <v>16</v>
      </c>
      <c r="C67" s="260">
        <f>IF(C66&gt;0,'Tax Rates'!C21,0)</f>
        <v>5000000</v>
      </c>
      <c r="D67" s="102"/>
      <c r="E67" s="267">
        <f>G67-C67</f>
        <v>-27106</v>
      </c>
      <c r="F67" s="6"/>
      <c r="G67" s="267">
        <v>4972894</v>
      </c>
      <c r="H67" s="151"/>
      <c r="I67" s="460" t="s">
        <v>456</v>
      </c>
      <c r="J67" s="474"/>
    </row>
    <row r="68" spans="1:8" ht="12.75">
      <c r="A68" s="152" t="s">
        <v>41</v>
      </c>
      <c r="B68" s="125"/>
      <c r="C68" s="264">
        <f>IF((C66-C67)&gt;0,C66-C67,0)</f>
        <v>7710037</v>
      </c>
      <c r="D68" s="102"/>
      <c r="E68" s="267">
        <f>SUM(E66:E67)</f>
        <v>4223479</v>
      </c>
      <c r="F68" s="114"/>
      <c r="G68" s="264">
        <f>G66-G67</f>
        <v>11987728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4">
        <f>IF(C68&gt;0,C68*C70,0)*REGINFO!$B$6/REGINFO!$B$7</f>
        <v>23130.111</v>
      </c>
      <c r="D72" s="101"/>
      <c r="E72" s="267">
        <f>+G72-C72</f>
        <v>12833.073</v>
      </c>
      <c r="F72" s="461"/>
      <c r="G72" s="264">
        <f>IF(G68&gt;0,G68*G70,0)*REGINFO!$B$6/REGINFO!$B$7</f>
        <v>35963.184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12710037</v>
      </c>
      <c r="D75" s="102"/>
      <c r="E75" s="267">
        <f>+G75-C75</f>
        <v>6955876</v>
      </c>
      <c r="F75" s="6"/>
      <c r="G75" s="459">
        <v>19665913</v>
      </c>
      <c r="H75" s="151"/>
      <c r="I75" s="460" t="s">
        <v>456</v>
      </c>
    </row>
    <row r="76" spans="1:9" ht="12.75">
      <c r="A76" s="152" t="s">
        <v>350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v>10000000</v>
      </c>
      <c r="H76" s="151"/>
      <c r="I76" s="460" t="s">
        <v>456</v>
      </c>
    </row>
    <row r="77" spans="1:8" ht="12.75">
      <c r="A77" s="152" t="s">
        <v>41</v>
      </c>
      <c r="B77" s="125"/>
      <c r="C77" s="264">
        <f>IF((C75-C76)&gt;0,C75-C76,0)</f>
        <v>2710037</v>
      </c>
      <c r="D77" s="19"/>
      <c r="E77" s="267">
        <f>SUM(E75:E76)</f>
        <v>6955876</v>
      </c>
      <c r="F77" s="114"/>
      <c r="G77" s="264">
        <f>G75-G76</f>
        <v>9665913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Rates'!C37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f>IF(C77&gt;0,C77*C79,0)*REGINFO!$B$6/REGINFO!$B$7</f>
        <v>6097.58325</v>
      </c>
      <c r="D81" s="102"/>
      <c r="E81" s="267">
        <f>+G81-C81</f>
        <v>15650.720999999998</v>
      </c>
      <c r="F81" s="6"/>
      <c r="G81" s="264">
        <f>G77*G79*B9/B10</f>
        <v>21748.304249999997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8380.997862930533</v>
      </c>
      <c r="D82" s="102"/>
      <c r="E82" s="267">
        <f>+G82-C82</f>
        <v>-8380.997862930533</v>
      </c>
      <c r="F82" s="6"/>
      <c r="G82" s="300">
        <f>TAXREC!C139*'Tax Rates'!C38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C81-C82</f>
        <v>-2283.4146129305336</v>
      </c>
      <c r="D84" s="16"/>
      <c r="E84" s="267">
        <f>E81-E82</f>
        <v>24031.71886293053</v>
      </c>
      <c r="F84" s="103"/>
      <c r="G84" s="264">
        <f>G81-G82</f>
        <v>21748.304249999997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225</v>
      </c>
      <c r="B88" s="125"/>
      <c r="C88" s="262">
        <f>'Tax Rates'!F16-'Tax Rates'!C20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358</v>
      </c>
      <c r="B90" s="127">
        <v>22</v>
      </c>
      <c r="C90" s="264">
        <f>C60/(1-C88)</f>
        <v>462391.6249519674</v>
      </c>
      <c r="D90" s="20"/>
      <c r="E90" s="139"/>
      <c r="F90" s="414" t="s">
        <v>462</v>
      </c>
      <c r="G90" s="270">
        <f>TAXREC!E156</f>
        <v>0</v>
      </c>
      <c r="H90" s="151"/>
    </row>
    <row r="91" spans="1:8" ht="12.75">
      <c r="A91" s="158" t="s">
        <v>359</v>
      </c>
      <c r="B91" s="127">
        <v>23</v>
      </c>
      <c r="C91" s="264">
        <v>8437</v>
      </c>
      <c r="D91" s="20"/>
      <c r="E91" s="139"/>
      <c r="F91" s="414" t="s">
        <v>462</v>
      </c>
      <c r="G91" s="270">
        <f>TAXREC!E158</f>
        <v>21748</v>
      </c>
      <c r="H91" s="151"/>
    </row>
    <row r="92" spans="1:8" ht="12.75">
      <c r="A92" s="158" t="s">
        <v>342</v>
      </c>
      <c r="B92" s="127">
        <v>24</v>
      </c>
      <c r="C92" s="264">
        <f>C72</f>
        <v>23130.111</v>
      </c>
      <c r="D92" s="20"/>
      <c r="E92" s="139"/>
      <c r="F92" s="414" t="s">
        <v>462</v>
      </c>
      <c r="G92" s="270">
        <f>TAXREC!E157</f>
        <v>35963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463</v>
      </c>
      <c r="B95" s="125">
        <v>25</v>
      </c>
      <c r="C95" s="269">
        <f>SUM(C90:C93)</f>
        <v>493958.73595196736</v>
      </c>
      <c r="D95" s="6"/>
      <c r="E95" s="139"/>
      <c r="F95" s="414" t="s">
        <v>462</v>
      </c>
      <c r="G95" s="397">
        <f>SUM(G90:G94)</f>
        <v>57711</v>
      </c>
      <c r="H95" s="164"/>
    </row>
    <row r="96" spans="1:8" ht="12.75">
      <c r="A96" s="388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3.5">
      <c r="A100" s="166" t="s">
        <v>245</v>
      </c>
      <c r="B100" s="123"/>
      <c r="C100" s="112"/>
      <c r="D100" s="3"/>
      <c r="E100" s="143" t="s">
        <v>247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54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98</v>
      </c>
      <c r="B104" s="127">
        <v>4</v>
      </c>
      <c r="C104" s="112"/>
      <c r="D104" s="3"/>
      <c r="E104" s="250">
        <f>E23</f>
        <v>1872951</v>
      </c>
      <c r="F104" s="37"/>
      <c r="G104" s="200"/>
      <c r="H104" s="164"/>
    </row>
    <row r="105" spans="1:8" ht="12.75">
      <c r="A105" s="158" t="s">
        <v>43</v>
      </c>
      <c r="B105" s="127">
        <v>5</v>
      </c>
      <c r="C105" s="112"/>
      <c r="D105" s="3"/>
      <c r="E105" s="250">
        <f>E24+236101</f>
        <v>-184048</v>
      </c>
      <c r="F105" s="37"/>
      <c r="G105" s="200"/>
      <c r="H105" s="164"/>
    </row>
    <row r="106" spans="1:8" ht="12.75">
      <c r="A106" s="158" t="s">
        <v>353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354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352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55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44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43</v>
      </c>
      <c r="B111" s="127">
        <v>10</v>
      </c>
      <c r="C111" s="112"/>
      <c r="D111" s="3"/>
      <c r="E111" s="250">
        <f>E36</f>
        <v>-96676</v>
      </c>
      <c r="F111" s="37"/>
      <c r="G111" s="200"/>
      <c r="H111" s="164"/>
    </row>
    <row r="112" spans="1:8" ht="12.75">
      <c r="A112" s="155" t="s">
        <v>470</v>
      </c>
      <c r="B112" s="127">
        <v>11</v>
      </c>
      <c r="C112" s="112"/>
      <c r="D112" s="3"/>
      <c r="E112" s="456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99</v>
      </c>
      <c r="B114" s="125">
        <v>4</v>
      </c>
      <c r="C114" s="112"/>
      <c r="D114" s="3"/>
      <c r="E114" s="250">
        <f>E39</f>
        <v>1689373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355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356</v>
      </c>
      <c r="B118" s="127">
        <v>12</v>
      </c>
      <c r="C118" s="112"/>
      <c r="D118" s="3"/>
      <c r="E118" s="250">
        <f>E46</f>
        <v>22378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73828</v>
      </c>
      <c r="F120" s="37"/>
      <c r="G120" s="200"/>
      <c r="H120" s="164"/>
      <c r="I120" s="483"/>
    </row>
    <row r="121" spans="1:9" ht="12.75">
      <c r="A121" s="152"/>
      <c r="B121" s="127"/>
      <c r="C121" s="112"/>
      <c r="D121" s="117"/>
      <c r="E121" s="110"/>
      <c r="F121" s="37"/>
      <c r="G121" s="200"/>
      <c r="H121" s="164"/>
      <c r="I121" s="483"/>
    </row>
    <row r="122" spans="1:8" ht="12.75">
      <c r="A122" s="157" t="s">
        <v>477</v>
      </c>
      <c r="B122" s="127"/>
      <c r="C122" s="112"/>
      <c r="D122" s="3" t="s">
        <v>229</v>
      </c>
      <c r="E122" s="453">
        <f>0.3468</f>
        <v>0.3468</v>
      </c>
      <c r="F122" s="454"/>
      <c r="G122" s="200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25603.5504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25603.5504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312">
        <f>E122-0.0112</f>
        <v>0.3356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343</v>
      </c>
      <c r="B132" s="130"/>
      <c r="C132" s="112"/>
      <c r="D132" s="3"/>
      <c r="E132" s="468">
        <f>E128/(1-E130)</f>
        <v>38536.34918723661</v>
      </c>
      <c r="F132" s="37"/>
      <c r="G132" s="200"/>
      <c r="H132" s="164"/>
      <c r="I132" s="483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27">
      <c r="A134" s="169" t="s">
        <v>346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6.25">
      <c r="A136" s="171" t="s">
        <v>233</v>
      </c>
      <c r="B136" s="130"/>
      <c r="C136" s="112"/>
      <c r="D136" s="118" t="s">
        <v>187</v>
      </c>
      <c r="E136" s="302">
        <f>C50</f>
        <v>748303.3806187976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0.3468</f>
        <v>0.3468</v>
      </c>
      <c r="F138" s="196" t="s">
        <v>100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259511.612398599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259511.612398599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6.25">
      <c r="A146" s="171" t="s">
        <v>237</v>
      </c>
      <c r="B146" s="130"/>
      <c r="C146" s="112"/>
      <c r="D146" s="118" t="s">
        <v>186</v>
      </c>
      <c r="E146" s="302">
        <f>C60</f>
        <v>288994.76559497963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230</v>
      </c>
      <c r="B148" s="130"/>
      <c r="C148" s="112"/>
      <c r="D148" s="118" t="s">
        <v>187</v>
      </c>
      <c r="E148" s="302">
        <f>(E144-E146)</f>
        <v>-29483.15319638062</v>
      </c>
      <c r="F148" s="476"/>
      <c r="G148" s="200"/>
      <c r="H148" s="164"/>
      <c r="I148" s="476"/>
    </row>
    <row r="149" spans="1:8" ht="12.75">
      <c r="A149" s="171"/>
      <c r="B149" s="130"/>
      <c r="C149" s="112"/>
      <c r="D149" s="119"/>
      <c r="E149" s="144"/>
      <c r="F149" s="476"/>
      <c r="G149" s="200"/>
      <c r="H149" s="164"/>
    </row>
    <row r="150" spans="1:8" ht="12.75">
      <c r="A150" s="371" t="s">
        <v>19</v>
      </c>
      <c r="B150" s="130"/>
      <c r="C150" s="112"/>
      <c r="D150" s="119"/>
      <c r="E150" s="464"/>
      <c r="F150" s="37"/>
      <c r="G150" s="200"/>
      <c r="H150" s="164"/>
    </row>
    <row r="151" spans="1:8" ht="12.75">
      <c r="A151" s="171" t="s">
        <v>16</v>
      </c>
      <c r="B151" s="130"/>
      <c r="C151" s="112"/>
      <c r="D151" s="119" t="s">
        <v>187</v>
      </c>
      <c r="E151" s="302">
        <f>C66</f>
        <v>12710037</v>
      </c>
      <c r="F151" s="37"/>
      <c r="G151" s="200"/>
      <c r="H151" s="164"/>
    </row>
    <row r="152" spans="1:8" ht="12.75">
      <c r="A152" s="171" t="s">
        <v>349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7710037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8" t="s">
        <v>475</v>
      </c>
      <c r="B155" s="130"/>
      <c r="C155" s="112"/>
      <c r="D155" s="119" t="s">
        <v>229</v>
      </c>
      <c r="E155" s="306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23130.111</v>
      </c>
      <c r="F157" s="37"/>
      <c r="G157" s="200"/>
      <c r="H157" s="164"/>
    </row>
    <row r="158" spans="1:8" ht="26.25">
      <c r="A158" s="171" t="s">
        <v>305</v>
      </c>
      <c r="B158" s="130"/>
      <c r="C158" s="112"/>
      <c r="D158" s="118" t="s">
        <v>186</v>
      </c>
      <c r="E158" s="305">
        <f>C72</f>
        <v>23130.111</v>
      </c>
      <c r="F158" s="37"/>
      <c r="G158" s="200"/>
      <c r="H158" s="164"/>
    </row>
    <row r="159" spans="1:9" ht="12.75" customHeight="1">
      <c r="A159" s="172" t="s">
        <v>242</v>
      </c>
      <c r="B159" s="130"/>
      <c r="C159" s="112"/>
      <c r="D159" s="118" t="s">
        <v>187</v>
      </c>
      <c r="E159" s="458">
        <f>E157-E158</f>
        <v>0</v>
      </c>
      <c r="F159" s="37"/>
      <c r="G159" s="200"/>
      <c r="H159" s="164"/>
      <c r="I159" s="483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1" t="s">
        <v>234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12710037</v>
      </c>
      <c r="F162" s="37"/>
      <c r="G162" s="200"/>
      <c r="H162" s="164"/>
    </row>
    <row r="163" spans="1:8" ht="12.75">
      <c r="A163" s="171" t="s">
        <v>348</v>
      </c>
      <c r="B163" s="130"/>
      <c r="C163" s="112"/>
      <c r="D163" s="118" t="s">
        <v>186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2710037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8" t="s">
        <v>476</v>
      </c>
      <c r="B166" s="130"/>
      <c r="C166" s="112"/>
      <c r="D166" s="119"/>
      <c r="E166" s="306">
        <f>'Tax Rates'!C37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6097.58325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186</v>
      </c>
      <c r="E169" s="307">
        <f>'Tax Rates'!C38*TAXCALC!C50</f>
        <v>8380.997862930533</v>
      </c>
      <c r="F169" s="37"/>
      <c r="G169" s="200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-2283.4146129305336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8" t="s">
        <v>341</v>
      </c>
      <c r="B172" s="130"/>
      <c r="C172" s="112"/>
      <c r="D172" s="118" t="s">
        <v>186</v>
      </c>
      <c r="E172" s="305">
        <f>C84</f>
        <v>-2283.4146129305336</v>
      </c>
      <c r="F172" s="37"/>
      <c r="G172" s="200"/>
      <c r="H172" s="164"/>
    </row>
    <row r="173" spans="1:9" ht="12.75">
      <c r="A173" s="155" t="s">
        <v>243</v>
      </c>
      <c r="B173" s="130"/>
      <c r="C173" s="112"/>
      <c r="D173" s="119" t="s">
        <v>187</v>
      </c>
      <c r="E173" s="458">
        <f>E170-E172</f>
        <v>0</v>
      </c>
      <c r="F173" s="37"/>
      <c r="G173" s="200"/>
      <c r="H173" s="164"/>
      <c r="I173" s="483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10" ht="12.75">
      <c r="A175" s="155" t="s">
        <v>339</v>
      </c>
      <c r="B175" s="130"/>
      <c r="C175" s="112"/>
      <c r="D175" s="119"/>
      <c r="E175" s="453">
        <f>E138-0.0112</f>
        <v>0.3356</v>
      </c>
      <c r="F175" s="454"/>
      <c r="G175" s="200"/>
      <c r="H175" s="164"/>
      <c r="I175" s="476"/>
      <c r="J175" s="473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6"/>
    </row>
    <row r="177" spans="1:9" ht="12.75">
      <c r="A177" s="168" t="s">
        <v>241</v>
      </c>
      <c r="B177" s="130"/>
      <c r="C177" s="112"/>
      <c r="D177" s="119" t="s">
        <v>185</v>
      </c>
      <c r="E177" s="302">
        <f>E148/(1-E175)</f>
        <v>-44375.606857887746</v>
      </c>
      <c r="F177" s="37"/>
      <c r="G177" s="200"/>
      <c r="H177" s="164"/>
      <c r="I177" s="476"/>
    </row>
    <row r="178" spans="1:8" ht="12.75">
      <c r="A178" s="168" t="s">
        <v>32</v>
      </c>
      <c r="B178" s="130"/>
      <c r="C178" s="112"/>
      <c r="D178" s="119" t="s">
        <v>185</v>
      </c>
      <c r="E178" s="302">
        <f>E173/(1-E175)</f>
        <v>0</v>
      </c>
      <c r="F178" s="37"/>
      <c r="G178" s="200"/>
      <c r="H178" s="164"/>
    </row>
    <row r="179" spans="1:8" ht="12.75">
      <c r="A179" s="168" t="s">
        <v>19</v>
      </c>
      <c r="B179" s="130"/>
      <c r="C179" s="112"/>
      <c r="D179" s="119" t="s">
        <v>185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344</v>
      </c>
      <c r="B181" s="130"/>
      <c r="C181" s="112"/>
      <c r="D181" s="119" t="s">
        <v>187</v>
      </c>
      <c r="E181" s="467">
        <f>SUM(E177:E179)</f>
        <v>-44375.606857887746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469</v>
      </c>
      <c r="B183" s="130"/>
      <c r="C183" s="112"/>
      <c r="D183" s="119" t="s">
        <v>185</v>
      </c>
      <c r="E183" s="467">
        <f>E132</f>
        <v>38536.34918723661</v>
      </c>
      <c r="F183" s="37" t="s">
        <v>100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3.5">
      <c r="A185" s="479" t="s">
        <v>345</v>
      </c>
      <c r="B185" s="130"/>
      <c r="C185" s="112"/>
      <c r="D185" s="119" t="s">
        <v>187</v>
      </c>
      <c r="E185" s="484">
        <f>E181+E183</f>
        <v>-5839.257670651139</v>
      </c>
      <c r="F185" s="37"/>
      <c r="G185" s="200"/>
      <c r="H185" s="164"/>
    </row>
    <row r="186" spans="1:8" ht="12.75">
      <c r="A186" s="480" t="s">
        <v>246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56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81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460738.84124999994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327503.6193812025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8">
        <f>E193-E194</f>
        <v>133235.22186879744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83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355235</v>
      </c>
      <c r="F201" s="3"/>
      <c r="G201" s="469"/>
      <c r="H201" s="164"/>
    </row>
    <row r="202" spans="1:8" ht="12.75">
      <c r="A202" s="477" t="s">
        <v>474</v>
      </c>
      <c r="B202" s="127"/>
      <c r="C202" s="112"/>
      <c r="D202" s="120"/>
      <c r="E202" s="308">
        <f>REGINFO!D62</f>
        <v>460738.84124999994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82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471</v>
      </c>
      <c r="B206" s="127"/>
      <c r="C206" s="112"/>
      <c r="D206" s="120"/>
      <c r="E206" s="45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223</v>
      </c>
      <c r="B208" s="177"/>
      <c r="C208" s="178"/>
      <c r="D208" s="179"/>
      <c r="E208" s="309">
        <f>+E196-E204</f>
        <v>133235.22186879744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24" r:id="rId3"/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97">
      <selection activeCell="C158" sqref="C15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/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2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29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>
        <f>Ratebase*REGINFO!D33*0.0025</f>
        <v>15887.546250000001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62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62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4" t="s">
        <v>321</v>
      </c>
      <c r="B23" s="385"/>
      <c r="C23" s="386"/>
      <c r="D23" s="387"/>
      <c r="E23" s="28"/>
      <c r="F23" s="11"/>
      <c r="G23" s="11"/>
      <c r="H23" s="6"/>
      <c r="I23" s="6"/>
    </row>
    <row r="24" spans="1:9" ht="12.75">
      <c r="A24" s="384" t="s">
        <v>257</v>
      </c>
      <c r="B24" s="385"/>
      <c r="C24" s="386"/>
      <c r="D24" s="387"/>
      <c r="E24" s="28"/>
      <c r="F24" s="11"/>
      <c r="G24" s="11"/>
      <c r="H24" s="6"/>
      <c r="I24" s="6"/>
    </row>
    <row r="25" spans="1:9" ht="12.75">
      <c r="A25" s="384" t="s">
        <v>221</v>
      </c>
      <c r="B25" s="385"/>
      <c r="C25" s="386"/>
      <c r="D25" s="387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4" t="s">
        <v>319</v>
      </c>
      <c r="B27" s="385"/>
      <c r="C27" s="386"/>
      <c r="D27" s="387"/>
      <c r="E27" s="28"/>
      <c r="F27" s="11"/>
      <c r="G27" s="11"/>
      <c r="H27" s="6"/>
      <c r="I27" s="6"/>
    </row>
    <row r="28" spans="1:9" ht="12.75">
      <c r="A28" s="384" t="s">
        <v>320</v>
      </c>
      <c r="B28" s="385"/>
      <c r="C28" s="386"/>
      <c r="D28" s="387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185</v>
      </c>
      <c r="C31" s="285">
        <v>15512668</v>
      </c>
      <c r="D31" s="286"/>
      <c r="E31" s="284">
        <f>C31-D31</f>
        <v>15512668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4187602</v>
      </c>
      <c r="D32" s="286"/>
      <c r="E32" s="284">
        <f>C32-D32</f>
        <v>4187602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648094</v>
      </c>
      <c r="D33" s="286"/>
      <c r="E33" s="284">
        <f>C33-D33</f>
        <v>648094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>
        <v>22378</v>
      </c>
      <c r="D34" s="286"/>
      <c r="E34" s="284">
        <f>C34-D34</f>
        <v>22378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>
        <v>15512668</v>
      </c>
      <c r="D39" s="286"/>
      <c r="E39" s="284">
        <f>C39-D39</f>
        <v>15512668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f>765636+63091+1225+8965</f>
        <v>838917</v>
      </c>
      <c r="D40" s="286"/>
      <c r="E40" s="284">
        <f aca="true" t="shared" si="0" ref="E40:E48">C40-D40</f>
        <v>838917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698758</v>
      </c>
      <c r="D41" s="286"/>
      <c r="E41" s="284">
        <f t="shared" si="0"/>
        <v>698758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v>1197014</v>
      </c>
      <c r="D42" s="286"/>
      <c r="E42" s="284">
        <f t="shared" si="0"/>
        <v>1197014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v>730470</v>
      </c>
      <c r="D43" s="286"/>
      <c r="E43" s="284">
        <f t="shared" si="0"/>
        <v>730470</v>
      </c>
      <c r="F43" s="11"/>
      <c r="G43" s="11"/>
      <c r="H43" s="6"/>
      <c r="I43" s="6"/>
    </row>
    <row r="44" spans="1:9" ht="12.75">
      <c r="A44" s="473" t="s">
        <v>276</v>
      </c>
      <c r="B44" s="23" t="s">
        <v>186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73" t="s">
        <v>481</v>
      </c>
      <c r="B45" s="23" t="s">
        <v>186</v>
      </c>
      <c r="C45" s="481">
        <v>183578</v>
      </c>
      <c r="D45" s="286"/>
      <c r="E45" s="284">
        <f t="shared" si="0"/>
        <v>183578</v>
      </c>
      <c r="F45" s="11"/>
      <c r="G45" s="472"/>
      <c r="H45" s="33"/>
      <c r="I45" s="33"/>
      <c r="J45" s="32"/>
      <c r="K45" s="32"/>
    </row>
    <row r="46" spans="1:11" ht="12.75">
      <c r="A46" s="473" t="s">
        <v>478</v>
      </c>
      <c r="B46" s="23" t="s">
        <v>186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80</v>
      </c>
      <c r="B50" s="23" t="s">
        <v>187</v>
      </c>
      <c r="C50" s="281">
        <f>SUM(C31:C36)-SUM(C39:C49)</f>
        <v>1209337</v>
      </c>
      <c r="D50" s="281">
        <f>SUM(D31:D36)-SUM(D39:D49)</f>
        <v>0</v>
      </c>
      <c r="E50" s="281">
        <f>SUM(E31:E35)-SUM(E39:E48)</f>
        <v>1209337</v>
      </c>
      <c r="F50" s="11"/>
      <c r="G50" s="11"/>
      <c r="H50" s="6"/>
      <c r="I50" s="6"/>
    </row>
    <row r="51" spans="1:9" ht="12.75">
      <c r="A51" s="4" t="s">
        <v>89</v>
      </c>
      <c r="B51" s="23" t="s">
        <v>186</v>
      </c>
      <c r="C51" s="285">
        <f>400+27936+326899</f>
        <v>355235</v>
      </c>
      <c r="D51" s="285"/>
      <c r="E51" s="282">
        <f>+C51-D51</f>
        <v>355235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/>
      <c r="D52" s="285"/>
      <c r="E52" s="283">
        <f>+C52-D52</f>
        <v>0</v>
      </c>
      <c r="F52" s="8"/>
      <c r="G52" s="399"/>
    </row>
    <row r="53" spans="1:6" ht="12.75">
      <c r="A53" s="2" t="s">
        <v>129</v>
      </c>
      <c r="B53" s="8" t="s">
        <v>187</v>
      </c>
      <c r="C53" s="281">
        <f>C50-C51-C52</f>
        <v>854102</v>
      </c>
      <c r="D53" s="281">
        <f>D50-D51-D52</f>
        <v>0</v>
      </c>
      <c r="E53" s="281">
        <f>E50-E51-E52</f>
        <v>854102</v>
      </c>
      <c r="F53" s="8"/>
    </row>
    <row r="54" spans="1:6" ht="36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0</v>
      </c>
      <c r="D59" s="287">
        <f>D52</f>
        <v>0</v>
      </c>
      <c r="E59" s="272">
        <f>+C59-D59</f>
        <v>0</v>
      </c>
      <c r="F59" s="8"/>
      <c r="G59" s="399"/>
    </row>
    <row r="60" spans="1:6" ht="12.75">
      <c r="A60" s="4" t="s">
        <v>322</v>
      </c>
      <c r="B60" s="8" t="s">
        <v>185</v>
      </c>
      <c r="C60" s="318"/>
      <c r="D60" s="318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C43+86739</f>
        <v>817209</v>
      </c>
      <c r="D61" s="287">
        <f>D43</f>
        <v>0</v>
      </c>
      <c r="E61" s="272">
        <f>+C61-D61</f>
        <v>817209</v>
      </c>
      <c r="F61" s="8"/>
      <c r="G61" s="399"/>
    </row>
    <row r="62" spans="1:6" ht="12.75">
      <c r="A62" t="s">
        <v>6</v>
      </c>
      <c r="B62" s="8" t="s">
        <v>185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50</v>
      </c>
      <c r="B64" s="8" t="s">
        <v>185</v>
      </c>
      <c r="C64" s="316">
        <f>'Tax Reserves'!C63</f>
        <v>1872951</v>
      </c>
      <c r="D64" s="317">
        <f>'Tax Reserves'!D63</f>
        <v>0</v>
      </c>
      <c r="E64" s="272">
        <f>+C64-D64</f>
        <v>1872951</v>
      </c>
      <c r="F64" s="8"/>
    </row>
    <row r="65" spans="1:6" ht="12.75">
      <c r="A65" t="s">
        <v>429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51" t="s">
        <v>380</v>
      </c>
      <c r="B66" s="8"/>
      <c r="C66" s="430">
        <f>'TAXREC 3 No True-up'!C47</f>
        <v>2845285</v>
      </c>
      <c r="D66" s="430">
        <f>'TAXREC 3 No True-up'!D47</f>
        <v>0</v>
      </c>
      <c r="E66" s="272">
        <f>+C66-D66</f>
        <v>2845285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15085</v>
      </c>
      <c r="D68" s="250">
        <f>'TAXREC 2'!D78</f>
        <v>0</v>
      </c>
      <c r="E68" s="272">
        <f>+C68-D68</f>
        <v>15085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5550530</v>
      </c>
      <c r="D70" s="272">
        <f>SUM(D59:D68)</f>
        <v>0</v>
      </c>
      <c r="E70" s="272">
        <f>SUM(E59:E68)</f>
        <v>5550530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6">
        <v>0</v>
      </c>
      <c r="D76" s="294"/>
      <c r="E76" s="46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48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187</v>
      </c>
      <c r="C82" s="250">
        <f>C70+C80</f>
        <v>5550530</v>
      </c>
      <c r="D82" s="250">
        <f>D70+D80</f>
        <v>0</v>
      </c>
      <c r="E82" s="250">
        <f>E70+E80</f>
        <v>5550530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417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4">
        <v>536953</v>
      </c>
      <c r="D97" s="294"/>
      <c r="E97" s="272">
        <f>+C97-D97</f>
        <v>536953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>
        <v>172174</v>
      </c>
      <c r="D98" s="294"/>
      <c r="E98" s="272">
        <f>+C98-D98</f>
        <v>172174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9">
        <f>'Tax Reserves'!C50</f>
        <v>1689373</v>
      </c>
      <c r="D105" s="319">
        <f>'Tax Reserves'!D50</f>
        <v>0</v>
      </c>
      <c r="E105" s="282">
        <f t="shared" si="5"/>
        <v>1689373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1" t="s">
        <v>380</v>
      </c>
      <c r="B108" s="8"/>
      <c r="C108" s="253">
        <f>'TAXREC 3 No True-up'!C73</f>
        <v>2869978</v>
      </c>
      <c r="D108" s="253">
        <f>'TAXREC 3 No True-up'!D73</f>
        <v>0</v>
      </c>
      <c r="E108" s="272">
        <f t="shared" si="5"/>
        <v>2869978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22378</v>
      </c>
      <c r="D110" s="250">
        <f>'TAXREC 2'!D119</f>
        <v>0</v>
      </c>
      <c r="E110" s="250">
        <f>'TAXREC 2'!E119</f>
        <v>22378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5290856</v>
      </c>
      <c r="D113" s="250">
        <f>SUM(D97:D111)</f>
        <v>0</v>
      </c>
      <c r="E113" s="250">
        <f>SUM(E97:E111)</f>
        <v>5290856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471"/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49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187</v>
      </c>
      <c r="C122" s="250">
        <f>C113+C120</f>
        <v>5290856</v>
      </c>
      <c r="D122" s="250">
        <f>D113+D120</f>
        <v>0</v>
      </c>
      <c r="E122" s="250">
        <f>+E113+E120</f>
        <v>5290856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187</v>
      </c>
      <c r="C134" s="250">
        <f>+C53+C82-C122</f>
        <v>1113776</v>
      </c>
      <c r="D134" s="250">
        <f>D53+D82-D122</f>
        <v>0</v>
      </c>
      <c r="E134" s="250">
        <f>E53+E82-E122</f>
        <v>1113776</v>
      </c>
      <c r="F134" s="8"/>
      <c r="G134" s="45"/>
      <c r="H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364</v>
      </c>
      <c r="B136" s="8" t="s">
        <v>186</v>
      </c>
      <c r="C136" s="294">
        <v>1113776</v>
      </c>
      <c r="D136" s="294"/>
      <c r="E136" s="264">
        <f>C136-D136</f>
        <v>1113776</v>
      </c>
      <c r="F136" s="8"/>
      <c r="G136" s="45"/>
      <c r="H136" s="45"/>
      <c r="J136" s="45"/>
      <c r="K136" s="45"/>
    </row>
    <row r="137" spans="1:11" ht="12.75">
      <c r="A137" s="46" t="s">
        <v>365</v>
      </c>
      <c r="B137" s="8" t="s">
        <v>186</v>
      </c>
      <c r="C137" s="310"/>
      <c r="D137" s="310"/>
      <c r="E137" s="378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78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185</v>
      </c>
      <c r="C142" s="298"/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185</v>
      </c>
      <c r="C143" s="298"/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186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97</v>
      </c>
      <c r="B146" s="8" t="s">
        <v>187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9" t="e">
        <f>C142/C139</f>
        <v>#DIV/0!</v>
      </c>
      <c r="D149" s="5"/>
      <c r="E149" s="390" t="e">
        <f>C149</f>
        <v>#DIV/0!</v>
      </c>
      <c r="F149" s="8"/>
      <c r="G149" s="482" t="s">
        <v>479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89" t="e">
        <f>C143/C139</f>
        <v>#DIV/0!</v>
      </c>
      <c r="D150" s="470"/>
      <c r="E150" s="390" t="e">
        <f>C150</f>
        <v>#DIV/0!</v>
      </c>
      <c r="F150" s="8"/>
      <c r="G150" s="482" t="s">
        <v>479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90" t="e">
        <f>SUM(C149:C150)</f>
        <v>#DIV/0!</v>
      </c>
      <c r="D151" s="5"/>
      <c r="E151" s="390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459</v>
      </c>
      <c r="B155" s="8"/>
    </row>
    <row r="156" spans="1:5" ht="12.75">
      <c r="A156" t="s">
        <v>217</v>
      </c>
      <c r="B156" s="86" t="s">
        <v>185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19</v>
      </c>
      <c r="B157" s="86" t="s">
        <v>185</v>
      </c>
      <c r="C157" s="463">
        <v>35963</v>
      </c>
      <c r="D157" s="250"/>
      <c r="E157" s="250">
        <f>C157+D157</f>
        <v>35963</v>
      </c>
    </row>
    <row r="158" spans="1:5" ht="12.75">
      <c r="A158" t="s">
        <v>216</v>
      </c>
      <c r="B158" s="86" t="s">
        <v>185</v>
      </c>
      <c r="C158" s="463">
        <v>21748</v>
      </c>
      <c r="D158" s="250"/>
      <c r="E158" s="250">
        <f>C158+D158</f>
        <v>21748</v>
      </c>
    </row>
    <row r="159" ht="12.75">
      <c r="B159" s="8"/>
    </row>
    <row r="160" spans="1:5" ht="12.75">
      <c r="A160" s="2" t="s">
        <v>300</v>
      </c>
      <c r="B160" s="66" t="s">
        <v>187</v>
      </c>
      <c r="C160" s="250">
        <f>C156+C157+C158</f>
        <v>57711</v>
      </c>
      <c r="D160" s="250">
        <f>D156+D157+D158</f>
        <v>0</v>
      </c>
      <c r="E160" s="250">
        <f>E156+E157+E158</f>
        <v>57711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1" fitToWidth="1" horizontalDpi="600" verticalDpi="600" orientation="portrait" scale="34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25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s="2" t="s">
        <v>480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279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0">
        <f t="shared" si="0"/>
        <v>0</v>
      </c>
    </row>
    <row r="16" spans="1:5" ht="12.75">
      <c r="A16" s="61" t="s">
        <v>281</v>
      </c>
      <c r="B16" s="61"/>
      <c r="C16" s="294"/>
      <c r="D16" s="294"/>
      <c r="E16" s="250">
        <f t="shared" si="0"/>
        <v>0</v>
      </c>
    </row>
    <row r="17" spans="1:5" ht="12.75">
      <c r="A17" s="61" t="s">
        <v>282</v>
      </c>
      <c r="B17" s="61"/>
      <c r="C17" s="294"/>
      <c r="D17" s="294"/>
      <c r="E17" s="250">
        <f t="shared" si="0"/>
        <v>0</v>
      </c>
    </row>
    <row r="18" spans="1:5" ht="12.75">
      <c r="A18" s="61" t="s">
        <v>434</v>
      </c>
      <c r="B18" s="61"/>
      <c r="C18" s="294"/>
      <c r="D18" s="294"/>
      <c r="E18" s="250">
        <f t="shared" si="0"/>
        <v>0</v>
      </c>
    </row>
    <row r="19" spans="1:5" ht="12.75">
      <c r="A19" s="61" t="s">
        <v>434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279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0">
        <f t="shared" si="1"/>
        <v>0</v>
      </c>
    </row>
    <row r="28" spans="1:5" ht="12.75">
      <c r="A28" s="61" t="s">
        <v>281</v>
      </c>
      <c r="B28" s="61"/>
      <c r="C28" s="294"/>
      <c r="D28" s="294"/>
      <c r="E28" s="250">
        <f t="shared" si="1"/>
        <v>0</v>
      </c>
    </row>
    <row r="29" spans="1:5" ht="12.75">
      <c r="A29" s="61" t="s">
        <v>282</v>
      </c>
      <c r="B29" s="61"/>
      <c r="C29" s="294"/>
      <c r="D29" s="294"/>
      <c r="E29" s="250">
        <f t="shared" si="1"/>
        <v>0</v>
      </c>
    </row>
    <row r="30" spans="1:5" ht="12.75">
      <c r="A30" s="61" t="s">
        <v>434</v>
      </c>
      <c r="B30" s="61"/>
      <c r="C30" s="294"/>
      <c r="D30" s="294"/>
      <c r="E30" s="250">
        <f t="shared" si="1"/>
        <v>0</v>
      </c>
    </row>
    <row r="31" spans="1:5" ht="12.75">
      <c r="A31" s="61" t="s">
        <v>434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0">
        <f t="shared" si="2"/>
        <v>0</v>
      </c>
    </row>
    <row r="44" spans="1:5" ht="12.75">
      <c r="A44" s="61" t="s">
        <v>266</v>
      </c>
      <c r="B44" s="61"/>
      <c r="C44" s="294"/>
      <c r="D44" s="294"/>
      <c r="E44" s="250">
        <f t="shared" si="2"/>
        <v>0</v>
      </c>
    </row>
    <row r="45" spans="1:5" ht="12.75">
      <c r="A45" s="61" t="s">
        <v>267</v>
      </c>
      <c r="B45" s="61"/>
      <c r="C45" s="294"/>
      <c r="D45" s="294"/>
      <c r="E45" s="250">
        <f t="shared" si="2"/>
        <v>0</v>
      </c>
    </row>
    <row r="46" spans="1:5" ht="12.75">
      <c r="A46" s="61" t="s">
        <v>268</v>
      </c>
      <c r="B46" s="61"/>
      <c r="C46" s="294"/>
      <c r="D46" s="294"/>
      <c r="E46" s="250">
        <f t="shared" si="2"/>
        <v>0</v>
      </c>
    </row>
    <row r="47" spans="1:5" ht="12.75">
      <c r="A47" s="61" t="s">
        <v>481</v>
      </c>
      <c r="B47" s="61"/>
      <c r="C47" s="294">
        <v>1689373</v>
      </c>
      <c r="D47" s="294"/>
      <c r="E47" s="250">
        <f t="shared" si="2"/>
        <v>1689373</v>
      </c>
    </row>
    <row r="48" spans="1:5" ht="12.75">
      <c r="A48" s="61" t="s">
        <v>434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0">
        <f>SUM(C41:C49)</f>
        <v>1689373</v>
      </c>
      <c r="D50" s="250">
        <f>SUM(D41:D49)</f>
        <v>0</v>
      </c>
      <c r="E50" s="250">
        <f>SUM(E41:E49)</f>
        <v>1689373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4"/>
      <c r="D55" s="294"/>
      <c r="E55" s="250">
        <f t="shared" si="3"/>
        <v>0</v>
      </c>
    </row>
    <row r="56" spans="1:5" ht="12.75">
      <c r="A56" s="245" t="s">
        <v>266</v>
      </c>
      <c r="B56" s="61"/>
      <c r="C56" s="294"/>
      <c r="D56" s="294"/>
      <c r="E56" s="250">
        <f t="shared" si="3"/>
        <v>0</v>
      </c>
    </row>
    <row r="57" spans="1:5" ht="12.75">
      <c r="A57" s="245" t="s">
        <v>267</v>
      </c>
      <c r="B57" s="61"/>
      <c r="C57" s="294"/>
      <c r="D57" s="294"/>
      <c r="E57" s="250">
        <f t="shared" si="3"/>
        <v>0</v>
      </c>
    </row>
    <row r="58" spans="1:5" ht="12.75">
      <c r="A58" s="245" t="s">
        <v>268</v>
      </c>
      <c r="B58" s="61"/>
      <c r="C58" s="294"/>
      <c r="D58" s="294"/>
      <c r="E58" s="250">
        <f t="shared" si="3"/>
        <v>0</v>
      </c>
    </row>
    <row r="59" spans="1:5" ht="12.75">
      <c r="A59" s="61" t="s">
        <v>481</v>
      </c>
      <c r="B59" s="61"/>
      <c r="C59" s="294">
        <v>1872951</v>
      </c>
      <c r="D59" s="294"/>
      <c r="E59" s="250">
        <f t="shared" si="3"/>
        <v>1872951</v>
      </c>
    </row>
    <row r="60" spans="1:5" ht="12.75">
      <c r="A60" s="61" t="s">
        <v>434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0">
        <f>SUM(C53:C61)</f>
        <v>1872951</v>
      </c>
      <c r="D63" s="250">
        <f>SUM(D53:D61)</f>
        <v>0</v>
      </c>
      <c r="E63" s="250">
        <f>SUM(E53:E61)</f>
        <v>1872951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399" t="s">
        <v>451</v>
      </c>
      <c r="B5" s="8"/>
      <c r="C5" s="8" t="s">
        <v>2</v>
      </c>
      <c r="D5" s="8"/>
      <c r="E5" s="8"/>
      <c r="F5" s="8"/>
    </row>
    <row r="6" spans="1:6" ht="12.75">
      <c r="A6" s="399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2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>
        <v>8266</v>
      </c>
      <c r="D19" s="295"/>
      <c r="E19" s="313">
        <f t="shared" si="0"/>
        <v>8266</v>
      </c>
    </row>
    <row r="20" spans="1:5" ht="12.75">
      <c r="A20" s="67" t="s">
        <v>435</v>
      </c>
      <c r="B20" t="s">
        <v>185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/>
      <c r="B22" t="s">
        <v>185</v>
      </c>
      <c r="C22" s="295"/>
      <c r="D22" s="295"/>
      <c r="E22" s="313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3">
        <f t="shared" si="0"/>
        <v>0</v>
      </c>
    </row>
    <row r="36" spans="1:5" ht="12.75">
      <c r="A36" s="67" t="s">
        <v>457</v>
      </c>
      <c r="B36" t="s">
        <v>185</v>
      </c>
      <c r="C36" s="295"/>
      <c r="D36" s="295"/>
      <c r="E36" s="313">
        <f t="shared" si="0"/>
        <v>0</v>
      </c>
    </row>
    <row r="37" spans="1:5" ht="12.75">
      <c r="A37" s="67"/>
      <c r="B37" t="s">
        <v>185</v>
      </c>
      <c r="C37" s="295"/>
      <c r="D37" s="295"/>
      <c r="E37" s="313">
        <f t="shared" si="0"/>
        <v>0</v>
      </c>
    </row>
    <row r="38" spans="2:5" ht="12.75">
      <c r="B38" t="s">
        <v>185</v>
      </c>
      <c r="C38" s="295"/>
      <c r="D38" s="295"/>
      <c r="E38" s="250">
        <f t="shared" si="0"/>
        <v>0</v>
      </c>
    </row>
    <row r="39" spans="2:5" ht="12.75">
      <c r="B39" t="s">
        <v>185</v>
      </c>
      <c r="C39" s="294"/>
      <c r="D39" s="295"/>
      <c r="E39" s="250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0">
        <f t="shared" si="0"/>
        <v>0</v>
      </c>
    </row>
    <row r="41" spans="1:5" ht="12.75">
      <c r="A41" s="485" t="s">
        <v>484</v>
      </c>
      <c r="B41" t="s">
        <v>185</v>
      </c>
      <c r="C41" s="294">
        <v>6819</v>
      </c>
      <c r="D41" s="294"/>
      <c r="E41" s="250">
        <f t="shared" si="0"/>
        <v>6819</v>
      </c>
    </row>
    <row r="42" spans="1:5" ht="12.75">
      <c r="A42" s="67"/>
      <c r="B42" t="s">
        <v>185</v>
      </c>
      <c r="C42" s="294"/>
      <c r="D42" s="294"/>
      <c r="E42" s="250">
        <f t="shared" si="0"/>
        <v>0</v>
      </c>
    </row>
    <row r="43" spans="1:5" ht="12.75">
      <c r="A43" s="67"/>
      <c r="B43" t="s">
        <v>185</v>
      </c>
      <c r="C43" s="294"/>
      <c r="D43" s="294"/>
      <c r="E43" s="250">
        <f t="shared" si="0"/>
        <v>0</v>
      </c>
    </row>
    <row r="44" spans="1:5" ht="12.75">
      <c r="A44" s="67"/>
      <c r="B44" t="s">
        <v>185</v>
      </c>
      <c r="C44" s="294"/>
      <c r="D44" s="294"/>
      <c r="E44" s="250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0">
        <f>SUM(C17:C45)</f>
        <v>15085</v>
      </c>
      <c r="D46" s="250">
        <f>SUM(D17:D45)</f>
        <v>0</v>
      </c>
      <c r="E46" s="250">
        <f>SUM(E17:E45)</f>
        <v>15085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142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201</v>
      </c>
      <c r="B78" s="277"/>
      <c r="C78" s="315">
        <f>C46-C77</f>
        <v>15085</v>
      </c>
      <c r="D78" s="315">
        <f>D46-D77</f>
        <v>0</v>
      </c>
      <c r="E78" s="315">
        <f>E46-E77</f>
        <v>15085</v>
      </c>
    </row>
    <row r="79" spans="1:5" ht="12.75">
      <c r="A79" s="276" t="s">
        <v>168</v>
      </c>
      <c r="B79" s="277"/>
      <c r="C79" s="315">
        <f>C77+C78</f>
        <v>15085</v>
      </c>
      <c r="D79" s="315">
        <f>D77+D78</f>
        <v>0</v>
      </c>
      <c r="E79" s="315">
        <f>E77+E78</f>
        <v>15085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>
        <v>22378</v>
      </c>
      <c r="D82" s="294"/>
      <c r="E82" s="250">
        <f>C82-D82</f>
        <v>22378</v>
      </c>
    </row>
    <row r="83" spans="1:5" ht="12.75">
      <c r="A83" s="71" t="s">
        <v>150</v>
      </c>
      <c r="B83" s="8" t="s">
        <v>186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0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0">
        <f t="shared" si="5"/>
        <v>0</v>
      </c>
    </row>
    <row r="87" spans="1:5" ht="12.75">
      <c r="A87" s="67" t="s">
        <v>366</v>
      </c>
      <c r="B87" s="8" t="s">
        <v>186</v>
      </c>
      <c r="C87" s="294"/>
      <c r="D87" s="294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0">
        <f t="shared" si="5"/>
        <v>0</v>
      </c>
    </row>
    <row r="92" spans="2:5" ht="12.75">
      <c r="B92" s="8" t="s">
        <v>186</v>
      </c>
      <c r="C92" s="294"/>
      <c r="D92" s="294"/>
      <c r="E92" s="250"/>
    </row>
    <row r="93" spans="1:5" ht="12.75">
      <c r="A93" s="67"/>
      <c r="B93" s="8" t="s">
        <v>186</v>
      </c>
      <c r="C93" s="294"/>
      <c r="D93" s="294"/>
      <c r="E93" s="250">
        <f t="shared" si="5"/>
        <v>0</v>
      </c>
    </row>
    <row r="94" spans="1:5" ht="12.75">
      <c r="A94" s="67"/>
      <c r="B94" s="8" t="s">
        <v>186</v>
      </c>
      <c r="C94" s="294"/>
      <c r="D94" s="294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0">
        <f t="shared" si="5"/>
        <v>0</v>
      </c>
    </row>
    <row r="96" spans="1:5" ht="12.75">
      <c r="A96" s="67" t="s">
        <v>458</v>
      </c>
      <c r="B96" s="8" t="s">
        <v>186</v>
      </c>
      <c r="C96" s="294">
        <v>0</v>
      </c>
      <c r="D96" s="294"/>
      <c r="E96" s="250">
        <f t="shared" si="5"/>
        <v>0</v>
      </c>
    </row>
    <row r="97" spans="1:5" ht="12.75">
      <c r="A97" s="67"/>
      <c r="B97" s="8" t="s">
        <v>186</v>
      </c>
      <c r="C97" s="294"/>
      <c r="D97" s="294"/>
      <c r="E97" s="250">
        <f t="shared" si="5"/>
        <v>0</v>
      </c>
    </row>
    <row r="98" spans="1:5" ht="12.75">
      <c r="A98" s="67"/>
      <c r="B98" s="8" t="s">
        <v>186</v>
      </c>
      <c r="C98" s="294"/>
      <c r="D98" s="294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22378</v>
      </c>
      <c r="D99" s="250">
        <f>SUM(D82:D98)</f>
        <v>0</v>
      </c>
      <c r="E99" s="250">
        <f>SUM(E82:E98)</f>
        <v>22378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Gain on disposal of assets per f/s</v>
      </c>
      <c r="B102" s="273"/>
      <c r="C102" s="250">
        <f aca="true" t="shared" si="7" ref="C102:E118">IF($E82&gt;$C$11,C82,)</f>
        <v>22378</v>
      </c>
      <c r="D102" s="250">
        <f t="shared" si="7"/>
        <v>0</v>
      </c>
      <c r="E102" s="250">
        <f t="shared" si="7"/>
        <v>22378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200</v>
      </c>
      <c r="B119" s="273"/>
      <c r="C119" s="250">
        <f>SUM(C102:C118)</f>
        <v>22378</v>
      </c>
      <c r="D119" s="250">
        <f>SUM(D102:D118)</f>
        <v>0</v>
      </c>
      <c r="E119" s="250">
        <f>SUM(E102:E118)</f>
        <v>22378</v>
      </c>
    </row>
    <row r="120" spans="1:5" ht="12.75">
      <c r="A120" s="278" t="s">
        <v>199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169</v>
      </c>
      <c r="B121" s="273"/>
      <c r="C121" s="250">
        <f>C119+C120</f>
        <v>22378</v>
      </c>
      <c r="D121" s="250">
        <f>D119+D120</f>
        <v>0</v>
      </c>
      <c r="E121" s="250">
        <f>E119+E120</f>
        <v>22378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57" sqref="F5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">
      <c r="A4" s="448" t="s">
        <v>431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7.25">
      <c r="A5" s="450" t="s">
        <v>374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3">
        <f aca="true" t="shared" si="0" ref="E19:E45">C19-D19</f>
        <v>0</v>
      </c>
    </row>
    <row r="20" spans="1:5" ht="12.75">
      <c r="A20" t="s">
        <v>375</v>
      </c>
      <c r="B20" t="s">
        <v>185</v>
      </c>
      <c r="C20" s="295"/>
      <c r="D20" s="295"/>
      <c r="E20" s="313">
        <f t="shared" si="0"/>
        <v>0</v>
      </c>
    </row>
    <row r="21" spans="1:5" ht="12.75">
      <c r="A21" t="s">
        <v>439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 t="s">
        <v>378</v>
      </c>
      <c r="B22" t="s">
        <v>185</v>
      </c>
      <c r="C22" s="295"/>
      <c r="D22" s="314"/>
      <c r="E22" s="313">
        <f t="shared" si="0"/>
        <v>0</v>
      </c>
    </row>
    <row r="23" spans="1:5" ht="12.75">
      <c r="A23" s="67" t="s">
        <v>379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440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423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377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376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190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418</v>
      </c>
      <c r="B32" t="s">
        <v>185</v>
      </c>
      <c r="C32" s="295">
        <v>678</v>
      </c>
      <c r="D32" s="295"/>
      <c r="E32" s="313">
        <f t="shared" si="0"/>
        <v>678</v>
      </c>
    </row>
    <row r="33" spans="1:5" ht="12.75">
      <c r="A33" s="67" t="s">
        <v>419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436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81" t="s">
        <v>437</v>
      </c>
      <c r="C35" s="295">
        <v>0</v>
      </c>
      <c r="D35" s="295"/>
      <c r="E35" s="313">
        <f t="shared" si="0"/>
        <v>0</v>
      </c>
    </row>
    <row r="36" spans="1:5" ht="12.75">
      <c r="A36" s="67" t="s">
        <v>420</v>
      </c>
      <c r="C36" s="295"/>
      <c r="D36" s="295"/>
      <c r="E36" s="313">
        <f t="shared" si="0"/>
        <v>0</v>
      </c>
    </row>
    <row r="37" spans="1:5" ht="12.75">
      <c r="A37" s="67" t="s">
        <v>421</v>
      </c>
      <c r="C37" s="295"/>
      <c r="D37" s="295"/>
      <c r="E37" s="313">
        <f t="shared" si="0"/>
        <v>0</v>
      </c>
    </row>
    <row r="38" spans="1:5" ht="12.75">
      <c r="A38" s="67" t="s">
        <v>443</v>
      </c>
      <c r="C38" s="295"/>
      <c r="D38" s="295"/>
      <c r="E38" s="313">
        <f t="shared" si="0"/>
        <v>0</v>
      </c>
    </row>
    <row r="39" spans="2:5" ht="12.75">
      <c r="B39" t="s">
        <v>185</v>
      </c>
      <c r="C39" s="295"/>
      <c r="D39" s="295"/>
      <c r="E39" s="313">
        <f t="shared" si="0"/>
        <v>0</v>
      </c>
    </row>
    <row r="40" spans="1:5" ht="12.75">
      <c r="A40" s="487" t="s">
        <v>482</v>
      </c>
      <c r="B40" t="s">
        <v>185</v>
      </c>
      <c r="C40" s="295">
        <v>1215879</v>
      </c>
      <c r="D40" s="295"/>
      <c r="E40" s="313">
        <f t="shared" si="0"/>
        <v>1215879</v>
      </c>
    </row>
    <row r="41" spans="1:5" ht="12.75">
      <c r="A41" s="487" t="s">
        <v>483</v>
      </c>
      <c r="B41" t="s">
        <v>185</v>
      </c>
      <c r="C41" s="295">
        <v>1628728</v>
      </c>
      <c r="D41" s="295"/>
      <c r="E41" s="313">
        <f t="shared" si="0"/>
        <v>1628728</v>
      </c>
    </row>
    <row r="42" spans="2:5" ht="12.75">
      <c r="B42" t="s">
        <v>185</v>
      </c>
      <c r="C42" s="295"/>
      <c r="D42" s="295"/>
      <c r="E42" s="313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3">
        <f t="shared" si="0"/>
        <v>0</v>
      </c>
    </row>
    <row r="44" spans="1:5" ht="12.75">
      <c r="A44" t="s">
        <v>473</v>
      </c>
      <c r="B44" t="s">
        <v>185</v>
      </c>
      <c r="C44" s="294"/>
      <c r="D44" s="294"/>
      <c r="E44" s="250">
        <f t="shared" si="0"/>
        <v>0</v>
      </c>
    </row>
    <row r="45" spans="2:5" ht="12.75">
      <c r="B45" t="s">
        <v>185</v>
      </c>
      <c r="C45" s="294"/>
      <c r="D45" s="294"/>
      <c r="E45" s="250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33" t="s">
        <v>382</v>
      </c>
      <c r="B47" t="s">
        <v>187</v>
      </c>
      <c r="C47" s="250">
        <f>SUM(C19:C46)</f>
        <v>2845285</v>
      </c>
      <c r="D47" s="250">
        <f>SUM(D19:D46)</f>
        <v>0</v>
      </c>
      <c r="E47" s="250">
        <f>SUM(E19:E46)</f>
        <v>2845285</v>
      </c>
    </row>
    <row r="48" ht="12.75">
      <c r="A48" s="67"/>
    </row>
    <row r="49" ht="12.75">
      <c r="A49" s="81" t="s">
        <v>143</v>
      </c>
    </row>
    <row r="51" spans="1:5" ht="12.75">
      <c r="A51" s="71" t="s">
        <v>375</v>
      </c>
      <c r="B51" s="8" t="s">
        <v>186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439</v>
      </c>
      <c r="B52" s="8" t="s">
        <v>186</v>
      </c>
      <c r="C52" s="294"/>
      <c r="D52" s="294"/>
      <c r="E52" s="250">
        <f t="shared" si="1"/>
        <v>0</v>
      </c>
    </row>
    <row r="53" spans="1:5" ht="12.75">
      <c r="A53" t="s">
        <v>376</v>
      </c>
      <c r="B53" s="8" t="s">
        <v>186</v>
      </c>
      <c r="C53" s="294"/>
      <c r="D53" s="294"/>
      <c r="E53" s="250">
        <f t="shared" si="1"/>
        <v>0</v>
      </c>
    </row>
    <row r="54" spans="1:5" ht="12.75">
      <c r="A54" t="s">
        <v>422</v>
      </c>
      <c r="B54" s="8" t="s">
        <v>186</v>
      </c>
      <c r="C54" s="294"/>
      <c r="D54" s="294"/>
      <c r="E54" s="250">
        <f t="shared" si="1"/>
        <v>0</v>
      </c>
    </row>
    <row r="55" spans="1:5" ht="12.75">
      <c r="A55" s="67" t="s">
        <v>430</v>
      </c>
      <c r="B55" s="8" t="s">
        <v>186</v>
      </c>
      <c r="C55" s="294"/>
      <c r="D55" s="294"/>
      <c r="E55" s="250">
        <f t="shared" si="1"/>
        <v>0</v>
      </c>
    </row>
    <row r="56" spans="1:5" ht="12.75">
      <c r="A56" s="67" t="s">
        <v>442</v>
      </c>
      <c r="B56" s="8" t="s">
        <v>186</v>
      </c>
      <c r="C56" s="294"/>
      <c r="D56" s="294"/>
      <c r="E56" s="250">
        <f t="shared" si="1"/>
        <v>0</v>
      </c>
    </row>
    <row r="57" spans="1:5" ht="12.75">
      <c r="A57" s="2" t="s">
        <v>438</v>
      </c>
      <c r="B57" s="8" t="s">
        <v>186</v>
      </c>
      <c r="C57" s="294"/>
      <c r="D57" s="294"/>
      <c r="E57" s="250">
        <f t="shared" si="1"/>
        <v>0</v>
      </c>
    </row>
    <row r="58" spans="1:5" ht="12.75">
      <c r="A58" s="67" t="s">
        <v>441</v>
      </c>
      <c r="B58" s="8" t="s">
        <v>186</v>
      </c>
      <c r="C58" s="294"/>
      <c r="D58" s="294"/>
      <c r="E58" s="250">
        <f t="shared" si="1"/>
        <v>0</v>
      </c>
    </row>
    <row r="59" spans="1:5" ht="12.75">
      <c r="A59" s="475"/>
      <c r="B59" s="8" t="s">
        <v>186</v>
      </c>
      <c r="C59" s="294"/>
      <c r="D59" s="294"/>
      <c r="E59" s="250">
        <f t="shared" si="1"/>
        <v>0</v>
      </c>
    </row>
    <row r="60" spans="2:5" ht="12.75">
      <c r="B60" s="8" t="s">
        <v>186</v>
      </c>
      <c r="C60" s="294"/>
      <c r="D60" s="294"/>
      <c r="E60" s="250">
        <f t="shared" si="1"/>
        <v>0</v>
      </c>
    </row>
    <row r="61" spans="1:5" ht="12.75">
      <c r="A61" s="488" t="s">
        <v>485</v>
      </c>
      <c r="B61" s="8" t="s">
        <v>186</v>
      </c>
      <c r="C61" s="294">
        <v>154515</v>
      </c>
      <c r="D61" s="294"/>
      <c r="E61" s="250">
        <f t="shared" si="1"/>
        <v>154515</v>
      </c>
    </row>
    <row r="62" spans="1:5" ht="12.75">
      <c r="A62" s="488" t="s">
        <v>486</v>
      </c>
      <c r="B62" s="8" t="s">
        <v>186</v>
      </c>
      <c r="C62" s="294">
        <v>1568713</v>
      </c>
      <c r="D62" s="294"/>
      <c r="E62" s="250">
        <f aca="true" t="shared" si="2" ref="E62:E72">C62-D62</f>
        <v>1568713</v>
      </c>
    </row>
    <row r="63" spans="1:5" ht="12.75">
      <c r="A63" s="488" t="s">
        <v>487</v>
      </c>
      <c r="B63" s="8" t="s">
        <v>186</v>
      </c>
      <c r="C63" s="294">
        <v>400948</v>
      </c>
      <c r="D63" s="294"/>
      <c r="E63" s="250">
        <f t="shared" si="2"/>
        <v>400948</v>
      </c>
    </row>
    <row r="64" spans="1:5" ht="12.75">
      <c r="A64" s="488" t="s">
        <v>488</v>
      </c>
      <c r="B64" s="8" t="s">
        <v>186</v>
      </c>
      <c r="C64" s="294">
        <v>745802</v>
      </c>
      <c r="D64" s="294"/>
      <c r="E64" s="250">
        <f t="shared" si="2"/>
        <v>745802</v>
      </c>
    </row>
    <row r="65" spans="2:5" ht="12.75">
      <c r="B65" s="8" t="s">
        <v>186</v>
      </c>
      <c r="C65" s="294"/>
      <c r="D65" s="294"/>
      <c r="E65" s="250">
        <f t="shared" si="2"/>
        <v>0</v>
      </c>
    </row>
    <row r="66" spans="1:5" ht="12.75">
      <c r="A66" s="452"/>
      <c r="B66" s="8" t="s">
        <v>186</v>
      </c>
      <c r="C66" s="294"/>
      <c r="D66" s="294"/>
      <c r="E66" s="250">
        <f t="shared" si="2"/>
        <v>0</v>
      </c>
    </row>
    <row r="67" spans="1:5" ht="12.75">
      <c r="A67" s="67"/>
      <c r="B67" s="8" t="s">
        <v>186</v>
      </c>
      <c r="C67" s="294"/>
      <c r="D67" s="294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0">
        <f t="shared" si="2"/>
        <v>0</v>
      </c>
    </row>
    <row r="69" spans="1:5" ht="12.75">
      <c r="A69" s="67"/>
      <c r="B69" s="8" t="s">
        <v>186</v>
      </c>
      <c r="C69" s="294"/>
      <c r="D69" s="294"/>
      <c r="E69" s="250">
        <f t="shared" si="2"/>
        <v>0</v>
      </c>
    </row>
    <row r="70" spans="1:5" ht="12.75">
      <c r="A70" s="67"/>
      <c r="B70" s="8" t="s">
        <v>186</v>
      </c>
      <c r="C70" s="294"/>
      <c r="D70" s="294"/>
      <c r="E70" s="250">
        <f t="shared" si="2"/>
        <v>0</v>
      </c>
    </row>
    <row r="71" spans="1:5" ht="12.75">
      <c r="A71" s="67"/>
      <c r="B71" s="8" t="s">
        <v>186</v>
      </c>
      <c r="C71" s="294"/>
      <c r="D71" s="294"/>
      <c r="E71" s="250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32" t="s">
        <v>381</v>
      </c>
      <c r="B73" s="8" t="s">
        <v>187</v>
      </c>
      <c r="C73" s="250">
        <f>SUM(C51:C72)</f>
        <v>2869978</v>
      </c>
      <c r="D73" s="250">
        <f>SUM(D51:D72)</f>
        <v>0</v>
      </c>
      <c r="E73" s="250">
        <f>SUM(E51:E72)</f>
        <v>2869978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H35" sqref="H3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9">
        <f>REGINFO!A1</f>
        <v>0</v>
      </c>
      <c r="B1" s="370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105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/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Brant County Power Inc.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394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5" t="s">
        <v>464</v>
      </c>
      <c r="B8" s="496"/>
      <c r="C8" s="496"/>
      <c r="D8" s="496"/>
      <c r="E8" s="342"/>
      <c r="F8" s="36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110</v>
      </c>
      <c r="B9" s="326"/>
      <c r="C9" s="359">
        <v>0</v>
      </c>
      <c r="D9" s="359"/>
      <c r="E9" s="359">
        <v>200001</v>
      </c>
      <c r="F9" s="360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452</v>
      </c>
      <c r="B10" s="327"/>
      <c r="C10" s="361" t="s">
        <v>109</v>
      </c>
      <c r="D10" s="361"/>
      <c r="E10" s="361" t="s">
        <v>109</v>
      </c>
      <c r="F10" s="362" t="s">
        <v>468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114</v>
      </c>
      <c r="C11" s="363">
        <v>200000</v>
      </c>
      <c r="D11" s="363"/>
      <c r="E11" s="363">
        <v>700000</v>
      </c>
      <c r="F11" s="364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298</v>
      </c>
      <c r="B13" s="393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297</v>
      </c>
      <c r="B14" s="244"/>
      <c r="C14" s="328">
        <v>0.1312</v>
      </c>
      <c r="D14" s="328"/>
      <c r="E14" s="329">
        <v>0.2612</v>
      </c>
      <c r="F14" s="329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301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258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107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108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111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5" t="s">
        <v>327</v>
      </c>
      <c r="B21" s="391" t="s">
        <v>454</v>
      </c>
      <c r="C21" s="351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5" t="s">
        <v>328</v>
      </c>
      <c r="B22" s="392" t="s">
        <v>455</v>
      </c>
      <c r="C22" s="352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1" t="s">
        <v>472</v>
      </c>
      <c r="B23" s="492"/>
      <c r="C23" s="492"/>
      <c r="D23" s="492"/>
      <c r="E23" s="492"/>
      <c r="F23" s="492"/>
      <c r="G23" s="422"/>
      <c r="H23" s="40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5"/>
      <c r="B24" s="396"/>
      <c r="C24" s="396"/>
      <c r="D24" s="396"/>
      <c r="E24" s="396"/>
      <c r="F24" s="39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5"/>
      <c r="B25" s="366"/>
      <c r="C25" s="368"/>
      <c r="D25" s="342"/>
      <c r="E25" s="342"/>
      <c r="F25" s="394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7" t="s">
        <v>465</v>
      </c>
      <c r="B26" s="498"/>
      <c r="C26" s="498"/>
      <c r="D26" s="498"/>
      <c r="E26" s="498"/>
      <c r="F26" s="49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110</v>
      </c>
      <c r="B27" s="326"/>
      <c r="C27" s="353">
        <v>0</v>
      </c>
      <c r="D27" s="353"/>
      <c r="E27" s="353">
        <v>200001</v>
      </c>
      <c r="F27" s="354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426</v>
      </c>
      <c r="B28" s="327"/>
      <c r="C28" s="355" t="s">
        <v>109</v>
      </c>
      <c r="D28" s="355"/>
      <c r="E28" s="355" t="s">
        <v>109</v>
      </c>
      <c r="F28" s="356" t="s">
        <v>468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114</v>
      </c>
      <c r="C29" s="357">
        <v>200000</v>
      </c>
      <c r="D29" s="357"/>
      <c r="E29" s="357">
        <v>700000</v>
      </c>
      <c r="F29" s="358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113</v>
      </c>
      <c r="B31" s="393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297</v>
      </c>
      <c r="B32" s="393">
        <v>2003</v>
      </c>
      <c r="C32" s="328"/>
      <c r="D32" s="328"/>
      <c r="E32" s="329"/>
      <c r="F32" s="329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28</v>
      </c>
      <c r="B33" s="393">
        <v>2003</v>
      </c>
      <c r="C33" s="330"/>
      <c r="D33" s="330"/>
      <c r="E33" s="331"/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258</v>
      </c>
      <c r="B34" s="393">
        <v>2003</v>
      </c>
      <c r="C34" s="332"/>
      <c r="D34" s="332"/>
      <c r="E34" s="333"/>
      <c r="F34" s="333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107</v>
      </c>
      <c r="B36" s="393">
        <v>2003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108</v>
      </c>
      <c r="B37" s="393">
        <v>2003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111</v>
      </c>
      <c r="B38" s="393">
        <v>2003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5" t="s">
        <v>466</v>
      </c>
      <c r="B39" s="391" t="s">
        <v>454</v>
      </c>
      <c r="C39" s="351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5" t="s">
        <v>467</v>
      </c>
      <c r="B40" s="392" t="s">
        <v>455</v>
      </c>
      <c r="C40" s="352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3" t="s">
        <v>330</v>
      </c>
      <c r="B41" s="492"/>
      <c r="C41" s="492"/>
      <c r="D41" s="492"/>
      <c r="E41" s="492"/>
      <c r="F41" s="49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4"/>
      <c r="B42" s="494"/>
      <c r="C42" s="494"/>
      <c r="D42" s="494"/>
      <c r="E42" s="494"/>
      <c r="F42" s="49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444</v>
      </c>
      <c r="B2" s="2"/>
    </row>
    <row r="3" spans="1:15" ht="12.75">
      <c r="A3" s="486" t="s">
        <v>480</v>
      </c>
      <c r="O3" s="400" t="str">
        <f>REGINFO!E1</f>
        <v>Version 2009.1</v>
      </c>
    </row>
    <row r="4" spans="1:15" ht="12.75">
      <c r="A4" s="2" t="str">
        <f>REGINFO!A4</f>
        <v>Reporting period:  2003</v>
      </c>
      <c r="E4" s="401" t="s">
        <v>316</v>
      </c>
      <c r="F4" s="383"/>
      <c r="G4" s="383"/>
      <c r="H4" s="383"/>
      <c r="I4" s="383"/>
      <c r="O4" s="40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7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79">
        <v>0</v>
      </c>
      <c r="D11" s="375"/>
      <c r="E11" s="381">
        <f>C22</f>
        <v>0</v>
      </c>
      <c r="F11" s="403"/>
      <c r="G11" s="381">
        <f>E22</f>
        <v>0</v>
      </c>
      <c r="H11" s="403"/>
      <c r="I11" s="381">
        <f>G22</f>
        <v>0</v>
      </c>
      <c r="J11" s="375"/>
      <c r="K11" s="381">
        <f>I22</f>
        <v>0</v>
      </c>
      <c r="L11" s="375"/>
      <c r="M11" s="381">
        <f>K22</f>
        <v>0</v>
      </c>
      <c r="N11" s="375"/>
      <c r="O11" s="381">
        <f>C11</f>
        <v>0</v>
      </c>
    </row>
    <row r="12" spans="1:15" ht="27" customHeight="1">
      <c r="A12" s="81" t="s">
        <v>383</v>
      </c>
      <c r="B12" s="66" t="s">
        <v>188</v>
      </c>
      <c r="C12" s="380"/>
      <c r="D12" s="376"/>
      <c r="E12" s="380"/>
      <c r="F12" s="95"/>
      <c r="G12" s="402">
        <f>C12+E12</f>
        <v>0</v>
      </c>
      <c r="H12" s="95"/>
      <c r="I12" s="402">
        <f>(E12/12*9)+(G12/12*3)</f>
        <v>0</v>
      </c>
      <c r="J12" s="376"/>
      <c r="K12" s="402">
        <f>E12/12*3</f>
        <v>0</v>
      </c>
      <c r="L12" s="376"/>
      <c r="M12" s="402">
        <f>K13/9*12/4</f>
        <v>0</v>
      </c>
      <c r="N12" s="376"/>
      <c r="O12" s="381">
        <f aca="true" t="shared" si="0" ref="O12:O20">SUM(C12:N12)</f>
        <v>0</v>
      </c>
    </row>
    <row r="13" spans="1:15" ht="27" customHeight="1">
      <c r="A13" s="81" t="s">
        <v>425</v>
      </c>
      <c r="B13" s="66"/>
      <c r="C13" s="402"/>
      <c r="D13" s="376"/>
      <c r="E13" s="402"/>
      <c r="F13" s="95"/>
      <c r="G13" s="402"/>
      <c r="H13" s="95"/>
      <c r="I13" s="402"/>
      <c r="J13" s="376"/>
      <c r="K13" s="380"/>
      <c r="L13" s="376"/>
      <c r="M13" s="402"/>
      <c r="N13" s="376"/>
      <c r="O13" s="381">
        <f t="shared" si="0"/>
        <v>0</v>
      </c>
    </row>
    <row r="14" spans="1:15" ht="26.25">
      <c r="A14" s="81" t="s">
        <v>384</v>
      </c>
      <c r="B14" s="66" t="s">
        <v>188</v>
      </c>
      <c r="C14" s="380"/>
      <c r="D14" s="376"/>
      <c r="E14" s="380"/>
      <c r="F14" s="95"/>
      <c r="G14" s="380"/>
      <c r="H14" s="95"/>
      <c r="I14" s="380"/>
      <c r="J14" s="376"/>
      <c r="K14" s="380"/>
      <c r="L14" s="376"/>
      <c r="M14" s="380"/>
      <c r="N14" s="376"/>
      <c r="O14" s="381">
        <f t="shared" si="0"/>
        <v>0</v>
      </c>
    </row>
    <row r="15" spans="1:15" ht="27" customHeight="1">
      <c r="A15" s="81" t="s">
        <v>385</v>
      </c>
      <c r="B15" s="66" t="s">
        <v>188</v>
      </c>
      <c r="C15" s="380"/>
      <c r="D15" s="376"/>
      <c r="E15" s="380"/>
      <c r="F15" s="95"/>
      <c r="G15" s="380"/>
      <c r="H15" s="95"/>
      <c r="I15" s="380"/>
      <c r="J15" s="376"/>
      <c r="K15" s="380"/>
      <c r="L15" s="376"/>
      <c r="M15" s="402"/>
      <c r="N15" s="376"/>
      <c r="O15" s="381">
        <f t="shared" si="0"/>
        <v>0</v>
      </c>
    </row>
    <row r="16" spans="1:15" ht="27" customHeight="1">
      <c r="A16" s="81" t="s">
        <v>386</v>
      </c>
      <c r="B16" s="66"/>
      <c r="C16" s="380"/>
      <c r="D16" s="376"/>
      <c r="E16" s="380"/>
      <c r="F16" s="95"/>
      <c r="G16" s="380"/>
      <c r="H16" s="95"/>
      <c r="I16" s="380"/>
      <c r="J16" s="376"/>
      <c r="K16" s="380"/>
      <c r="L16" s="376"/>
      <c r="M16" s="380"/>
      <c r="N16" s="376"/>
      <c r="O16" s="381">
        <f t="shared" si="0"/>
        <v>0</v>
      </c>
    </row>
    <row r="17" spans="1:15" ht="27.75" customHeight="1">
      <c r="A17" s="81" t="s">
        <v>387</v>
      </c>
      <c r="B17" s="66" t="s">
        <v>188</v>
      </c>
      <c r="C17" s="380"/>
      <c r="D17" s="376"/>
      <c r="E17" s="380"/>
      <c r="F17" s="95"/>
      <c r="G17" s="380"/>
      <c r="H17" s="95"/>
      <c r="I17" s="380"/>
      <c r="J17" s="376"/>
      <c r="K17" s="380"/>
      <c r="L17" s="376"/>
      <c r="M17" s="402"/>
      <c r="N17" s="376"/>
      <c r="O17" s="381">
        <f t="shared" si="0"/>
        <v>0</v>
      </c>
    </row>
    <row r="18" spans="1:15" ht="26.25">
      <c r="A18" s="81" t="s">
        <v>388</v>
      </c>
      <c r="B18" s="66" t="s">
        <v>188</v>
      </c>
      <c r="C18" s="380"/>
      <c r="D18" s="376"/>
      <c r="E18" s="380"/>
      <c r="F18" s="95"/>
      <c r="G18" s="380"/>
      <c r="H18" s="95"/>
      <c r="I18" s="380"/>
      <c r="J18" s="376"/>
      <c r="K18" s="380"/>
      <c r="L18" s="376"/>
      <c r="M18" s="380"/>
      <c r="N18" s="376"/>
      <c r="O18" s="381">
        <f t="shared" si="0"/>
        <v>0</v>
      </c>
    </row>
    <row r="19" spans="1:15" ht="24" customHeight="1">
      <c r="A19" s="416" t="s">
        <v>389</v>
      </c>
      <c r="B19" s="66" t="s">
        <v>188</v>
      </c>
      <c r="C19" s="380"/>
      <c r="D19" s="376"/>
      <c r="E19" s="380"/>
      <c r="F19" s="95"/>
      <c r="G19" s="380"/>
      <c r="H19" s="95"/>
      <c r="I19" s="380"/>
      <c r="J19" s="376"/>
      <c r="K19" s="380"/>
      <c r="L19" s="376"/>
      <c r="M19" s="380"/>
      <c r="N19" s="376"/>
      <c r="O19" s="381">
        <f t="shared" si="0"/>
        <v>0</v>
      </c>
    </row>
    <row r="20" spans="1:15" ht="24.75" customHeight="1">
      <c r="A20" s="81" t="s">
        <v>453</v>
      </c>
      <c r="B20" s="66" t="s">
        <v>186</v>
      </c>
      <c r="C20" s="402">
        <v>0</v>
      </c>
      <c r="D20" s="376"/>
      <c r="E20" s="380"/>
      <c r="F20" s="95"/>
      <c r="G20" s="380"/>
      <c r="H20" s="95"/>
      <c r="I20" s="380"/>
      <c r="J20" s="376"/>
      <c r="K20" s="380"/>
      <c r="L20" s="376"/>
      <c r="M20" s="380"/>
      <c r="N20" s="376"/>
      <c r="O20" s="381">
        <f t="shared" si="0"/>
        <v>0</v>
      </c>
    </row>
    <row r="21" spans="1:15" ht="12.75">
      <c r="A21" s="65"/>
      <c r="C21" s="376"/>
      <c r="D21" s="95"/>
      <c r="E21" s="376"/>
      <c r="F21" s="95"/>
      <c r="G21" s="376"/>
      <c r="H21" s="95"/>
      <c r="I21" s="376"/>
      <c r="J21" s="376"/>
      <c r="K21" s="376"/>
      <c r="L21" s="376"/>
      <c r="M21" s="376"/>
      <c r="N21" s="376"/>
      <c r="O21" s="403"/>
    </row>
    <row r="22" spans="1:15" ht="13.5" thickBot="1">
      <c r="A22" s="81" t="s">
        <v>363</v>
      </c>
      <c r="B22" s="34"/>
      <c r="C22" s="382">
        <f>SUM(C11:C20)</f>
        <v>0</v>
      </c>
      <c r="D22" s="403"/>
      <c r="E22" s="382">
        <f>SUM(E11:E20)</f>
        <v>0</v>
      </c>
      <c r="F22" s="403"/>
      <c r="G22" s="382">
        <f>SUM(G11:G20)</f>
        <v>0</v>
      </c>
      <c r="H22" s="403"/>
      <c r="I22" s="382">
        <f>SUM(I11:I20)</f>
        <v>0</v>
      </c>
      <c r="J22" s="375"/>
      <c r="K22" s="382">
        <f>SUM(K11:K20)</f>
        <v>0</v>
      </c>
      <c r="L22" s="375"/>
      <c r="M22" s="382">
        <f>SUM(M11:M21)</f>
        <v>0</v>
      </c>
      <c r="N22" s="375"/>
      <c r="O22" s="434">
        <f>SUM(O11:O20)</f>
        <v>0</v>
      </c>
    </row>
    <row r="23" spans="1:15" ht="13.5" thickTop="1">
      <c r="A23" s="417"/>
      <c r="B23" s="418"/>
      <c r="C23" s="424"/>
      <c r="D23" s="425"/>
      <c r="E23" s="424"/>
      <c r="F23" s="425"/>
      <c r="G23" s="424"/>
      <c r="H23" s="425"/>
      <c r="I23" s="424"/>
      <c r="J23" s="418"/>
      <c r="K23" s="424"/>
      <c r="L23" s="187"/>
      <c r="M23" s="426"/>
      <c r="N23" s="187"/>
      <c r="O23" s="426"/>
    </row>
    <row r="24" spans="1:15" ht="12.75">
      <c r="A24" s="440"/>
      <c r="B24" s="441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3"/>
    </row>
    <row r="25" spans="1:15" ht="12.75">
      <c r="A25" s="417"/>
      <c r="B25" s="418"/>
      <c r="C25" s="444"/>
      <c r="D25" s="444"/>
      <c r="E25" s="444"/>
      <c r="F25" s="444"/>
      <c r="G25" s="444"/>
      <c r="H25" s="444"/>
      <c r="I25" s="444"/>
      <c r="J25" s="445"/>
      <c r="K25" s="444"/>
      <c r="L25" s="446"/>
      <c r="M25" s="447"/>
      <c r="N25" s="446"/>
      <c r="O25" s="447"/>
    </row>
    <row r="26" spans="1:15" ht="12.75">
      <c r="A26" s="417" t="s">
        <v>390</v>
      </c>
      <c r="B26" s="418"/>
      <c r="C26" s="444"/>
      <c r="D26" s="444"/>
      <c r="E26" s="444"/>
      <c r="F26" s="444"/>
      <c r="G26" s="444"/>
      <c r="H26" s="444"/>
      <c r="I26" s="444"/>
      <c r="J26" s="445"/>
      <c r="K26" s="444"/>
      <c r="L26" s="446"/>
      <c r="M26" s="447"/>
      <c r="N26" s="446"/>
      <c r="O26" s="447"/>
    </row>
    <row r="27" spans="1:15" ht="9" customHeight="1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9"/>
      <c r="L27" s="187"/>
      <c r="M27" s="187"/>
      <c r="N27" s="187"/>
      <c r="O27" s="187"/>
    </row>
    <row r="28" spans="1:15" ht="12.75">
      <c r="A28" s="417" t="s">
        <v>391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187"/>
      <c r="M28" s="187"/>
      <c r="N28" s="187"/>
      <c r="O28" s="187"/>
    </row>
    <row r="29" spans="1:15" ht="12.75">
      <c r="A29" s="420" t="s">
        <v>392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187"/>
      <c r="M29" s="187"/>
      <c r="N29" s="187"/>
      <c r="O29" s="187"/>
    </row>
    <row r="30" spans="1:15" ht="9" customHeight="1">
      <c r="A30" s="18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187"/>
      <c r="M30" s="187"/>
      <c r="N30" s="187"/>
      <c r="O30" s="187"/>
    </row>
    <row r="31" spans="1:15" ht="12.75">
      <c r="A31" s="435" t="s">
        <v>393</v>
      </c>
      <c r="B31" s="80"/>
      <c r="C31" s="80"/>
      <c r="D31" s="80"/>
      <c r="E31" s="80"/>
      <c r="F31" s="80"/>
      <c r="G31" s="80"/>
      <c r="H31" s="80"/>
      <c r="I31" s="431"/>
      <c r="J31" s="431"/>
      <c r="K31" s="431"/>
      <c r="L31" s="431"/>
      <c r="M31" s="431"/>
      <c r="N31" s="431"/>
      <c r="O31" s="431"/>
    </row>
    <row r="32" spans="1:15" ht="9" customHeight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</row>
    <row r="33" spans="1:19" ht="12.75">
      <c r="A33" s="500" t="s">
        <v>394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04"/>
      <c r="Q33" s="404"/>
      <c r="R33" s="404"/>
      <c r="S33" s="404"/>
    </row>
    <row r="34" spans="1:19" ht="12.75">
      <c r="A34" s="499" t="s">
        <v>395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04"/>
      <c r="Q34" s="404"/>
      <c r="R34" s="404"/>
      <c r="S34" s="404"/>
    </row>
    <row r="35" spans="1:19" ht="12.75">
      <c r="A35" s="499" t="s">
        <v>416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04"/>
      <c r="Q35" s="404"/>
      <c r="R35" s="404"/>
      <c r="S35" s="404"/>
    </row>
    <row r="36" spans="1:19" ht="12.75">
      <c r="A36" s="499" t="s">
        <v>396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04"/>
      <c r="Q36" s="404"/>
      <c r="R36" s="404"/>
      <c r="S36" s="404"/>
    </row>
    <row r="37" spans="1:19" ht="12.75">
      <c r="A37" s="421" t="s">
        <v>360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04"/>
      <c r="Q37" s="404"/>
      <c r="R37" s="404"/>
      <c r="S37" s="404"/>
    </row>
    <row r="38" spans="1:19" ht="12.75">
      <c r="A38" s="421" t="s">
        <v>361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04"/>
      <c r="Q38" s="404"/>
      <c r="R38" s="404"/>
      <c r="S38" s="404"/>
    </row>
    <row r="39" spans="1:19" ht="12.75">
      <c r="A39" s="421" t="s">
        <v>397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04"/>
      <c r="Q39" s="404"/>
      <c r="R39" s="404"/>
      <c r="S39" s="404"/>
    </row>
    <row r="40" spans="1:19" ht="12.75">
      <c r="A40" s="421" t="s">
        <v>398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04"/>
      <c r="Q40" s="404"/>
      <c r="R40" s="404"/>
      <c r="S40" s="404"/>
    </row>
    <row r="41" spans="2:19" ht="9" customHeight="1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04"/>
      <c r="Q41" s="404"/>
      <c r="R41" s="404"/>
      <c r="S41" s="404"/>
    </row>
    <row r="42" spans="1:15" ht="12.75">
      <c r="A42" s="423" t="s">
        <v>399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187"/>
      <c r="M42" s="187"/>
      <c r="N42" s="187"/>
      <c r="O42" s="187"/>
    </row>
    <row r="43" spans="1:15" ht="12.75">
      <c r="A43" s="418" t="s">
        <v>400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187"/>
      <c r="M43" s="187"/>
      <c r="N43" s="187"/>
      <c r="O43" s="187"/>
    </row>
    <row r="44" spans="1:15" ht="9" customHeight="1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187"/>
      <c r="M44" s="187"/>
      <c r="N44" s="187"/>
      <c r="O44" s="187"/>
    </row>
    <row r="45" spans="1:15" ht="12.75">
      <c r="A45" s="423" t="s">
        <v>401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187"/>
      <c r="M45" s="187"/>
      <c r="N45" s="187"/>
      <c r="O45" s="187"/>
    </row>
    <row r="46" spans="1:15" ht="12.75">
      <c r="A46" s="418" t="s">
        <v>402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187"/>
      <c r="M46" s="187"/>
      <c r="N46" s="187"/>
      <c r="O46" s="187"/>
    </row>
    <row r="47" spans="1:15" ht="9" customHeight="1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187"/>
      <c r="M47" s="187"/>
      <c r="N47" s="187"/>
      <c r="O47" s="187"/>
    </row>
    <row r="48" spans="1:15" ht="12.75">
      <c r="A48" s="423" t="s">
        <v>403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187"/>
      <c r="M48" s="187"/>
      <c r="N48" s="187"/>
      <c r="O48" s="187"/>
    </row>
    <row r="49" spans="1:15" ht="12.75">
      <c r="A49" s="418" t="s">
        <v>404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187"/>
      <c r="M49" s="187"/>
      <c r="N49" s="187"/>
      <c r="O49" s="187"/>
    </row>
    <row r="50" spans="1:15" ht="9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187"/>
      <c r="M50" s="187"/>
      <c r="N50" s="187"/>
      <c r="O50" s="187"/>
    </row>
    <row r="51" spans="1:15" ht="12.75">
      <c r="A51" s="423" t="s">
        <v>405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187"/>
      <c r="M51" s="187"/>
      <c r="N51" s="187"/>
      <c r="O51" s="187"/>
    </row>
    <row r="52" spans="1:15" ht="12.75">
      <c r="A52" s="418" t="s">
        <v>402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187"/>
      <c r="M52" s="187"/>
      <c r="N52" s="187"/>
      <c r="O52" s="187"/>
    </row>
    <row r="53" spans="1:15" ht="9" customHeight="1">
      <c r="A53" s="42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187"/>
      <c r="M53" s="187"/>
      <c r="N53" s="187"/>
      <c r="O53" s="187"/>
    </row>
    <row r="54" spans="1:15" ht="12.75">
      <c r="A54" s="418" t="s">
        <v>406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187"/>
      <c r="M54" s="187"/>
      <c r="N54" s="187"/>
      <c r="O54" s="187"/>
    </row>
    <row r="55" spans="1:15" ht="9" customHeight="1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187"/>
      <c r="M55" s="187"/>
      <c r="N55" s="187"/>
      <c r="O55" s="187"/>
    </row>
    <row r="56" spans="1:15" ht="12.75" customHeight="1">
      <c r="A56" s="423" t="s">
        <v>407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187"/>
      <c r="M56" s="187"/>
      <c r="N56" s="187"/>
      <c r="O56" s="187"/>
    </row>
    <row r="57" spans="1:15" ht="9" customHeight="1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187"/>
      <c r="M57" s="187"/>
      <c r="N57" s="187"/>
      <c r="O57" s="187"/>
    </row>
    <row r="58" spans="1:15" ht="12.75">
      <c r="A58" s="418" t="s">
        <v>408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187"/>
      <c r="M58" s="187"/>
      <c r="N58" s="187"/>
      <c r="O58" s="187"/>
    </row>
    <row r="59" spans="1:15" ht="12.75">
      <c r="A59" s="418" t="s">
        <v>409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187"/>
      <c r="M59" s="187"/>
      <c r="N59" s="187"/>
      <c r="O59" s="187"/>
    </row>
    <row r="60" spans="1:15" ht="12.75">
      <c r="A60" s="418" t="s">
        <v>410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187"/>
      <c r="M60" s="187"/>
      <c r="N60" s="187"/>
      <c r="O60" s="187"/>
    </row>
    <row r="61" spans="1:15" ht="12.75">
      <c r="A61" s="418" t="s">
        <v>370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187"/>
      <c r="M61" s="187"/>
      <c r="N61" s="187"/>
      <c r="O61" s="187"/>
    </row>
    <row r="62" spans="1:15" ht="9" customHeight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187"/>
      <c r="M62" s="187"/>
      <c r="N62" s="187"/>
      <c r="O62" s="187"/>
    </row>
    <row r="63" spans="1:15" ht="12.75">
      <c r="A63" s="418" t="s">
        <v>411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187"/>
      <c r="M63" s="187"/>
      <c r="N63" s="187"/>
      <c r="O63" s="187"/>
    </row>
    <row r="64" spans="1:15" ht="12.75">
      <c r="A64" s="418" t="s">
        <v>412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187"/>
      <c r="M64" s="187"/>
      <c r="N64" s="187"/>
      <c r="O64" s="187"/>
    </row>
    <row r="65" spans="1:15" ht="12.75">
      <c r="A65" s="418" t="s">
        <v>372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187"/>
      <c r="M65" s="187"/>
      <c r="N65" s="187"/>
      <c r="O65" s="187"/>
    </row>
    <row r="66" spans="1:15" ht="3.75" customHeight="1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187"/>
      <c r="M66" s="187"/>
      <c r="N66" s="187"/>
      <c r="O66" s="187"/>
    </row>
    <row r="67" spans="1:15" ht="12.75">
      <c r="A67" s="418" t="s">
        <v>371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187"/>
      <c r="M67" s="187"/>
      <c r="N67" s="187"/>
      <c r="O67" s="187"/>
    </row>
    <row r="68" spans="1:15" ht="12.75">
      <c r="A68" s="418" t="s">
        <v>373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187"/>
      <c r="M68" s="187"/>
      <c r="N68" s="187"/>
      <c r="O68" s="187"/>
    </row>
    <row r="69" spans="1:15" ht="3.75" customHeight="1">
      <c r="A69" s="418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187"/>
      <c r="M69" s="187"/>
      <c r="N69" s="187"/>
      <c r="O69" s="187"/>
    </row>
    <row r="70" spans="1:15" ht="12.75">
      <c r="A70" s="418" t="s">
        <v>413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187"/>
      <c r="M70" s="187"/>
      <c r="N70" s="187"/>
      <c r="O70" s="187"/>
    </row>
    <row r="71" spans="1:15" ht="12.75">
      <c r="A71" s="418" t="s">
        <v>414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187"/>
      <c r="M71" s="187"/>
      <c r="N71" s="187"/>
      <c r="O71" s="187"/>
    </row>
    <row r="72" spans="1:15" ht="12.75">
      <c r="A72" s="418" t="s">
        <v>415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187"/>
      <c r="M72" s="187"/>
      <c r="N72" s="187"/>
      <c r="O72" s="187"/>
    </row>
    <row r="73" spans="1:15" ht="9" customHeight="1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187"/>
      <c r="M73" s="187"/>
      <c r="N73" s="187"/>
      <c r="O73" s="187"/>
    </row>
    <row r="74" spans="1:15" ht="12.75" customHeight="1">
      <c r="A74" s="499" t="s">
        <v>445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18" t="s">
        <v>362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187"/>
      <c r="M75" s="187"/>
      <c r="N75" s="187"/>
      <c r="O75" s="187"/>
    </row>
    <row r="76" spans="1:15" ht="12.75">
      <c r="A76" s="187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187"/>
      <c r="M76" s="187"/>
      <c r="N76" s="187"/>
      <c r="O76" s="187"/>
    </row>
    <row r="77" spans="1:15" ht="12.75">
      <c r="A77" s="18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187"/>
      <c r="M77" s="187"/>
      <c r="N77" s="187"/>
      <c r="O77" s="187"/>
    </row>
    <row r="78" spans="1:17" ht="12.75">
      <c r="A78" s="18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187"/>
      <c r="O78" s="187"/>
      <c r="P78" s="187"/>
      <c r="Q78" s="187"/>
    </row>
    <row r="79" spans="1:17" ht="12.75">
      <c r="A79" s="18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187"/>
      <c r="O79" s="187"/>
      <c r="P79" s="187"/>
      <c r="Q79" s="187"/>
    </row>
    <row r="80" spans="1:17" ht="12.75">
      <c r="A80" s="18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187"/>
      <c r="O80" s="187"/>
      <c r="P80" s="187"/>
      <c r="Q80" s="187"/>
    </row>
    <row r="81" spans="1:17" ht="12.75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187"/>
      <c r="O81" s="187"/>
      <c r="P81" s="187"/>
      <c r="Q81" s="187"/>
    </row>
    <row r="82" spans="1:17" ht="12.75">
      <c r="A82" s="187"/>
      <c r="B82" s="187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187"/>
      <c r="O82" s="187"/>
      <c r="P82" s="187"/>
      <c r="Q82" s="187"/>
    </row>
    <row r="83" spans="1:17" ht="12.75">
      <c r="A83" s="187"/>
      <c r="B83" s="18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187"/>
      <c r="O83" s="187"/>
      <c r="P83" s="187"/>
      <c r="Q83" s="187"/>
    </row>
    <row r="84" spans="1:17" ht="12.75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187"/>
      <c r="O84" s="187"/>
      <c r="P84" s="187"/>
      <c r="Q84" s="187"/>
    </row>
    <row r="85" spans="1:17" ht="12.75">
      <c r="A85" s="187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187"/>
      <c r="O85" s="187"/>
      <c r="P85" s="187"/>
      <c r="Q85" s="187"/>
    </row>
    <row r="86" spans="1:17" ht="12.75">
      <c r="A86" s="18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187"/>
      <c r="O86" s="187"/>
      <c r="P86" s="187"/>
      <c r="Q86" s="187"/>
    </row>
    <row r="87" spans="1:17" ht="12.75">
      <c r="A87" s="187"/>
      <c r="B87" s="187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187"/>
      <c r="O87" s="187"/>
      <c r="P87" s="187"/>
      <c r="Q87" s="187"/>
    </row>
    <row r="88" spans="1:17" ht="12.75">
      <c r="A88" s="187"/>
      <c r="B88" s="18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187"/>
      <c r="O88" s="187"/>
      <c r="P88" s="187"/>
      <c r="Q88" s="187"/>
    </row>
    <row r="89" spans="1:17" ht="12.75">
      <c r="A89" s="187"/>
      <c r="B89" s="18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187"/>
      <c r="O89" s="187"/>
      <c r="P89" s="187"/>
      <c r="Q89" s="187"/>
    </row>
    <row r="90" spans="1:17" ht="12.75">
      <c r="A90" s="187"/>
      <c r="B90" s="18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187"/>
      <c r="O90" s="187"/>
      <c r="P90" s="187"/>
      <c r="Q90" s="187"/>
    </row>
    <row r="91" spans="1:17" ht="12.75">
      <c r="A91" s="187"/>
      <c r="B91" s="187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187"/>
      <c r="O91" s="187"/>
      <c r="P91" s="187"/>
      <c r="Q91" s="187"/>
    </row>
    <row r="92" spans="1:17" ht="12.75">
      <c r="A92" s="187"/>
      <c r="B92" s="187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7"/>
      <c r="B93" s="187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50" r:id="rId1"/>
  <headerFooter alignWithMargins="0">
    <oddHeader>&amp;C&amp;"Arial,Bold"&amp;KC00000SEE MONTHLY PILS CONTINUITY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Jim</cp:lastModifiedBy>
  <cp:lastPrinted>2011-07-07T17:50:16Z</cp:lastPrinted>
  <dcterms:created xsi:type="dcterms:W3CDTF">2001-11-07T16:15:53Z</dcterms:created>
  <dcterms:modified xsi:type="dcterms:W3CDTF">2012-06-11T12:07:53Z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