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65368" windowWidth="13116" windowHeight="7656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<sst xmlns="http://schemas.openxmlformats.org/spreadsheetml/2006/main" count="883" uniqueCount="512">
  <si>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</si>
  <si>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</si>
  <si>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</si>
  <si>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</si>
  <si>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</si>
  <si>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</si>
  <si>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</si>
  <si>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</si>
  <si>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</si>
  <si>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</si>
  <si>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</si>
  <si>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</si>
  <si>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</si>
  <si>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</si>
  <si>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</si>
  <si>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</si>
  <si>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</si>
  <si>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</si>
  <si>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</si>
  <si>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</si>
  <si>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</si>
  <si>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</si>
  <si>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</si>
  <si>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</si>
  <si>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</si>
  <si>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</si>
  <si>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</si>
  <si>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</si>
  <si>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</si>
  <si>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</si>
  <si>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</si>
  <si>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</si>
  <si>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</si>
  <si>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</si>
  <si>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</si>
  <si>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</si>
  <si>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</si>
  <si>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</si>
  <si>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</si>
  <si>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</si>
  <si>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</si>
  <si>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</si>
  <si>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</si>
  <si>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</si>
  <si>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</si>
  <si>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</si>
  <si>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</si>
  <si>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</si>
  <si>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</si>
  <si>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</si>
  <si>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</si>
  <si>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</si>
  <si>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</si>
  <si>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</si>
  <si>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</si>
  <si>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</si>
  <si>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</si>
  <si>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</si>
  <si>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</si>
  <si>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</si>
  <si>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</si>
  <si>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</si>
  <si>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</si>
  <si>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</si>
  <si>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</si>
  <si>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</si>
  <si>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</si>
  <si>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</si>
  <si>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</si>
  <si>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</si>
  <si>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</si>
  <si>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</si>
  <si>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</si>
  <si>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</si>
  <si>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</si>
  <si>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</si>
  <si>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</si>
  <si>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</si>
  <si>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</si>
  <si>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</si>
  <si>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</si>
  <si>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</si>
  <si>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</si>
  <si>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</si>
  <si>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</si>
  <si>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</si>
  <si>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</si>
  <si>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</si>
  <si>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</si>
  <si>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</si>
  <si>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</si>
  <si>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</si>
  <si>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</si>
  <si>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</si>
  <si>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</si>
  <si>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</si>
  <si>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</si>
  <si>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</si>
  <si>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</si>
  <si>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</si>
  <si>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</si>
  <si>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</si>
  <si>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</si>
  <si>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</si>
  <si>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</si>
  <si>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</si>
  <si>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</si>
  <si>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</si>
  <si>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</si>
  <si>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</si>
  <si>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</si>
  <si>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</si>
  <si>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</si>
  <si>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</si>
  <si>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</si>
  <si>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</si>
  <si>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</si>
  <si>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</si>
  <si>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</si>
  <si>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</si>
  <si>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</si>
  <si>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</si>
  <si>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</si>
  <si>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</si>
  <si>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</si>
  <si>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</si>
  <si>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</si>
  <si>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</si>
  <si>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</si>
  <si>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</si>
  <si>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</si>
  <si>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</si>
  <si>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</si>
  <si>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</si>
  <si>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</si>
  <si>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</si>
  <si>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</si>
  <si>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</si>
  <si>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</si>
  <si>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</si>
  <si>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</si>
  <si>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</si>
  <si>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</si>
  <si>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</si>
  <si>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</si>
  <si>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</si>
  <si>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</si>
  <si>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</si>
  <si>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</si>
  <si>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</si>
  <si>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</si>
  <si>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</si>
  <si>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</si>
  <si>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</si>
  <si>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</si>
  <si>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</si>
  <si>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</si>
  <si>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</si>
  <si>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</si>
  <si>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</si>
  <si>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</si>
  <si>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</si>
  <si>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</si>
  <si>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</si>
  <si>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</si>
  <si>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</si>
  <si>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</si>
  <si>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</si>
  <si>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</si>
  <si>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</si>
  <si>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</si>
  <si>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</si>
  <si>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</si>
  <si>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</si>
  <si>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</si>
  <si>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</si>
  <si>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</si>
  <si>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</si>
  <si>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</si>
  <si>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</si>
  <si>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</si>
  <si>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</si>
  <si>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</si>
  <si>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</si>
  <si>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</si>
  <si>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</si>
  <si>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</si>
  <si>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</si>
  <si>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</si>
  <si>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</si>
  <si>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</si>
  <si>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</si>
  <si>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</si>
  <si>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</si>
  <si>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</si>
  <si>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</si>
  <si>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</si>
  <si>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</si>
  <si>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</si>
  <si>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</si>
  <si>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</si>
  <si>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</si>
  <si>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</si>
  <si>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</si>
  <si>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</si>
  <si>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</si>
  <si>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</si>
  <si>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</si>
  <si>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</si>
  <si>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</si>
  <si>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</si>
  <si>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</si>
  <si>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</si>
  <si>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</si>
  <si>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</si>
  <si>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</si>
  <si>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</si>
  <si>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</si>
  <si>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</si>
  <si>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</si>
  <si>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</si>
  <si>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</si>
  <si>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</si>
  <si>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</si>
  <si>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</si>
  <si>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</si>
  <si>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</si>
  <si>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</si>
  <si>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</si>
  <si>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</si>
  <si>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</si>
  <si>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</si>
  <si>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</si>
  <si>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</si>
  <si>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</si>
  <si>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</si>
  <si>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</si>
  <si>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</si>
  <si>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</si>
  <si>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</si>
  <si>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</si>
  <si>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</si>
  <si>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</si>
  <si>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</si>
  <si>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</si>
  <si>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</si>
  <si>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</si>
  <si>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</si>
  <si>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</si>
  <si>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</si>
  <si>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</si>
  <si>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</si>
  <si>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</si>
  <si>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</si>
  <si>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</si>
  <si>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</si>
  <si>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</si>
  <si>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</si>
  <si>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</si>
  <si>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</si>
  <si>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</si>
  <si>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</si>
  <si>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</si>
  <si>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</si>
  <si>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</si>
  <si>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</si>
  <si>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</si>
  <si>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</si>
  <si>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</si>
  <si>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</si>
  <si>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</si>
  <si>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</si>
  <si>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</si>
  <si>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</si>
  <si>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</si>
  <si>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</si>
  <si>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</si>
  <si>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</si>
  <si>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</si>
  <si>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</si>
  <si>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</si>
  <si>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</si>
  <si>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</si>
  <si>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</si>
  <si>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</si>
  <si>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</si>
  <si>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</si>
  <si>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</si>
  <si>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</si>
  <si>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</si>
  <si>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</si>
  <si>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</si>
  <si>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</si>
  <si>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</si>
  <si>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</si>
  <si>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</si>
  <si>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</si>
  <si>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</si>
  <si>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</si>
  <si>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</si>
  <si>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</si>
  <si>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</si>
  <si>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</si>
  <si>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</si>
  <si>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</si>
  <si>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</si>
  <si>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</si>
  <si>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</si>
  <si>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</si>
  <si>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</si>
  <si>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</si>
  <si>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</si>
  <si>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</si>
  <si>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</si>
  <si>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</si>
  <si>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</si>
  <si>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</si>
  <si>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</si>
  <si>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</si>
  <si>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</si>
  <si>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</si>
  <si>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</si>
  <si>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</si>
  <si>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</si>
  <si>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</si>
  <si>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</si>
  <si>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</si>
  <si>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</si>
  <si>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</si>
  <si>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</si>
  <si>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</si>
  <si>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</si>
  <si>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</si>
  <si>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</si>
  <si>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</si>
  <si>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</si>
  <si>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</si>
  <si>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</si>
  <si>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</si>
  <si>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</si>
  <si>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</si>
  <si>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</si>
  <si>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</si>
  <si>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</si>
  <si>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</si>
  <si>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</si>
  <si>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</si>
  <si>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</si>
  <si>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</si>
  <si>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</si>
  <si>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</si>
  <si>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</si>
  <si>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</si>
  <si>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</si>
  <si>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</si>
  <si>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</si>
  <si>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</si>
  <si>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</si>
  <si>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</si>
  <si>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</si>
  <si>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</si>
  <si>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</si>
  <si>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</si>
  <si>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</si>
  <si>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</si>
  <si>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</si>
  <si>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</si>
  <si>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</si>
  <si>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</si>
  <si>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</si>
  <si>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</si>
  <si>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</si>
  <si>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</si>
  <si>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</si>
  <si>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</si>
  <si>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</si>
  <si>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</si>
  <si>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</si>
  <si>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</si>
  <si>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</si>
  <si>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</si>
  <si>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</si>
  <si>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</si>
  <si>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</si>
  <si>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</si>
  <si>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</si>
  <si>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</si>
  <si>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</si>
  <si>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</si>
  <si>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</si>
  <si>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</si>
  <si>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</si>
  <si>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</si>
  <si>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</si>
  <si>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</si>
  <si>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</si>
  <si>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</si>
  <si>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</si>
  <si>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</si>
  <si>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</si>
  <si>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</si>
  <si>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</si>
  <si>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</si>
  <si>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</si>
  <si>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</si>
  <si>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</si>
  <si>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</si>
  <si>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</si>
  <si>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</si>
  <si>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</si>
  <si>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</si>
  <si>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</si>
  <si>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</si>
  <si>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</si>
  <si>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</si>
  <si>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</si>
  <si>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</si>
  <si>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</si>
  <si>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</si>
  <si>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</si>
  <si>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</si>
  <si>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</si>
  <si>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</si>
  <si>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</si>
  <si>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</si>
  <si>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</si>
  <si>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</si>
  <si>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</si>
  <si>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</si>
  <si>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</si>
  <si>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</si>
  <si>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</si>
  <si>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</si>
  <si>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</si>
  <si>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</si>
  <si>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</si>
  <si>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</si>
  <si>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</si>
  <si>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</si>
  <si>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</si>
  <si>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</si>
  <si>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</si>
  <si>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</si>
  <si>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</si>
  <si>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</si>
  <si>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</si>
  <si>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</si>
  <si>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</si>
  <si>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</si>
  <si>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</si>
  <si>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</si>
  <si>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</si>
  <si>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</si>
  <si>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</si>
  <si>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</si>
  <si>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</si>
  <si>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</si>
  <si>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</si>
  <si>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</si>
  <si>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</si>
  <si>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</si>
  <si>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</si>
  <si>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</si>
  <si>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</si>
  <si>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</si>
  <si>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</si>
  <si>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</si>
  <si>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</si>
  <si>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</si>
  <si>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</si>
  <si>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</si>
  <si>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</si>
  <si>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</si>
  <si>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</si>
  <si>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</si>
  <si>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</si>
  <si>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</si>
  <si>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</si>
  <si>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</si>
  <si>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</si>
  <si>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</si>
  <si>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</si>
  <si>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</si>
  <si>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</si>
  <si>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</si>
  <si>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</si>
  <si>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</si>
  <si>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</si>
  <si>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</si>
  <si>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</si>
  <si>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</si>
  <si>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</si>
  <si>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Utility Name: Centre Wellington Hydro Ltd.</t>
  </si>
  <si>
    <t>Y</t>
  </si>
  <si>
    <t>N</t>
  </si>
  <si>
    <t>Ontario capital Tax per financial statements</t>
  </si>
  <si>
    <r>
      <t xml:space="preserve">   other deductions-</t>
    </r>
    <r>
      <rPr>
        <i/>
        <sz val="10"/>
        <color indexed="30"/>
        <rFont val="Arial"/>
        <family val="2"/>
      </rPr>
      <t>Settlement Variance</t>
    </r>
  </si>
  <si>
    <t>Settlement Variance</t>
  </si>
  <si>
    <t>Capital taxes included in tax provision, deducted from tax provision, Line 59</t>
  </si>
  <si>
    <t>Deemed Interest</t>
  </si>
  <si>
    <t>Net Taxable income per sheet</t>
  </si>
  <si>
    <t xml:space="preserve">  Taxable income before Unrealized Income</t>
  </si>
  <si>
    <t>Less:Small Business Deduction</t>
  </si>
  <si>
    <t>Revised Net Taxable income</t>
  </si>
  <si>
    <t xml:space="preserve">      Equals Legislative Tax rate of 34.12%</t>
  </si>
  <si>
    <t>Less Recovery of regulatory assets</t>
  </si>
  <si>
    <t>(Includes $114137 Settlement Variance)</t>
  </si>
  <si>
    <t>Add back Settlement Variance</t>
  </si>
  <si>
    <t>Effective Tax Rates</t>
  </si>
  <si>
    <t>Taxable dividends deductible under 112 or 113</t>
  </si>
  <si>
    <t xml:space="preserve">     Interest on customer deposits</t>
  </si>
  <si>
    <t>TAX CALCULATIONS (TAXCALC)    Scenario A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</si>
</sst>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0.000000000000000%"/>
  </numFmts>
  <fonts count="6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i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8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45" fillId="0" borderId="0">
      <alignment/>
      <protection/>
    </xf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2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4" applyFont="1" applyFill="1" applyBorder="1" applyAlignment="1" applyProtection="1">
      <alignment vertical="top"/>
      <protection locked="0"/>
    </xf>
    <xf numFmtId="0" fontId="0" fillId="40" borderId="17" xfId="0" applyFont="1" applyFill="1" applyBorder="1" applyAlignment="1">
      <alignment horizontal="center" vertical="top"/>
    </xf>
    <xf numFmtId="0" fontId="59" fillId="0" borderId="0" xfId="0" applyFont="1" applyAlignment="1">
      <alignment vertical="top" wrapText="1"/>
    </xf>
    <xf numFmtId="0" fontId="59" fillId="0" borderId="0" xfId="0" applyFont="1" applyBorder="1" applyAlignment="1">
      <alignment vertical="top" wrapText="1"/>
    </xf>
    <xf numFmtId="10" fontId="0" fillId="0" borderId="0" xfId="64" applyFont="1" applyAlignment="1" applyProtection="1">
      <alignment vertical="top"/>
      <protection locked="0"/>
    </xf>
    <xf numFmtId="0" fontId="0" fillId="0" borderId="0" xfId="0" applyFont="1" applyFill="1" applyBorder="1" applyAlignment="1">
      <alignment vertical="top"/>
    </xf>
    <xf numFmtId="0" fontId="60" fillId="0" borderId="0" xfId="0" applyFont="1" applyAlignment="1">
      <alignment vertical="top" wrapText="1"/>
    </xf>
    <xf numFmtId="10" fontId="0" fillId="36" borderId="14" xfId="64" applyFont="1" applyFill="1" applyBorder="1" applyAlignment="1" applyProtection="1" quotePrefix="1">
      <alignment horizontal="right"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37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3" fontId="0" fillId="0" borderId="58" xfId="0" applyNumberFormat="1" applyFill="1" applyBorder="1" applyAlignment="1">
      <alignment vertical="top"/>
    </xf>
    <xf numFmtId="3" fontId="0" fillId="0" borderId="56" xfId="0" applyNumberForma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10" fontId="0" fillId="0" borderId="0" xfId="0" applyNumberFormat="1" applyFont="1" applyFill="1" applyBorder="1" applyAlignment="1">
      <alignment horizontal="left" vertical="top"/>
    </xf>
    <xf numFmtId="10" fontId="0" fillId="0" borderId="0" xfId="0" applyNumberFormat="1" applyFill="1" applyBorder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19" fillId="0" borderId="0" xfId="0" applyFont="1" applyAlignment="1" quotePrefix="1">
      <alignment vertical="top"/>
    </xf>
    <xf numFmtId="0" fontId="0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75" zoomScaleNormal="75" zoomScalePageLayoutView="0" workbookViewId="0" topLeftCell="A1">
      <selection activeCell="D19" sqref="D1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457</v>
      </c>
      <c r="C1" s="8"/>
      <c r="E1" s="2" t="s">
        <v>458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492</v>
      </c>
      <c r="C3" s="8"/>
      <c r="D3" s="456" t="s">
        <v>443</v>
      </c>
      <c r="E3" s="8"/>
      <c r="F3" s="8"/>
      <c r="G3" s="8"/>
      <c r="H3" s="8"/>
    </row>
    <row r="4" spans="1:8" ht="12.75">
      <c r="A4" s="2" t="s">
        <v>479</v>
      </c>
      <c r="C4" s="8"/>
      <c r="D4" s="455" t="s">
        <v>438</v>
      </c>
      <c r="E4" s="429"/>
      <c r="H4" s="8"/>
    </row>
    <row r="5" spans="1:8" ht="12.75">
      <c r="A5" s="52"/>
      <c r="C5" s="8"/>
      <c r="D5" s="454" t="s">
        <v>439</v>
      </c>
      <c r="E5" s="399"/>
      <c r="H5" s="8"/>
    </row>
    <row r="6" spans="1:8" ht="12.75">
      <c r="A6" s="2" t="s">
        <v>124</v>
      </c>
      <c r="B6" s="389">
        <v>366</v>
      </c>
      <c r="C6" s="8" t="s">
        <v>125</v>
      </c>
      <c r="D6" s="21"/>
      <c r="H6" s="8"/>
    </row>
    <row r="7" spans="1:8" ht="13.5" thickBot="1">
      <c r="A7" s="52" t="s">
        <v>254</v>
      </c>
      <c r="B7" s="249">
        <v>366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492" t="s">
        <v>493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492" t="s">
        <v>494</v>
      </c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63</v>
      </c>
      <c r="D17" s="492" t="s">
        <v>494</v>
      </c>
    </row>
    <row r="18" spans="1:4" ht="15" customHeight="1">
      <c r="A18" s="390" t="s">
        <v>313</v>
      </c>
      <c r="C18" s="8"/>
      <c r="D18" s="8"/>
    </row>
    <row r="19" spans="1:4" ht="15" customHeight="1">
      <c r="A19" s="511" t="s">
        <v>314</v>
      </c>
      <c r="B19" s="8" t="s">
        <v>311</v>
      </c>
      <c r="C19" s="8" t="s">
        <v>63</v>
      </c>
      <c r="D19" s="389"/>
    </row>
    <row r="20" spans="1:4" ht="13.5" thickBot="1">
      <c r="A20" s="512"/>
      <c r="B20" s="8" t="s">
        <v>312</v>
      </c>
      <c r="C20" s="8" t="s">
        <v>63</v>
      </c>
      <c r="D20" s="258"/>
    </row>
    <row r="21" spans="1:4" ht="12.75">
      <c r="A21" s="511" t="s">
        <v>310</v>
      </c>
      <c r="B21" s="8" t="s">
        <v>311</v>
      </c>
      <c r="C21" s="8"/>
      <c r="D21" s="424">
        <v>1</v>
      </c>
    </row>
    <row r="22" spans="1:4" ht="12.75">
      <c r="A22" s="511"/>
      <c r="B22" s="8" t="s">
        <v>312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210</v>
      </c>
      <c r="C24" s="8" t="s">
        <v>211</v>
      </c>
      <c r="D24" s="425" t="s">
        <v>480</v>
      </c>
    </row>
    <row r="25" ht="6.75" customHeight="1" thickBot="1">
      <c r="A25" s="12"/>
    </row>
    <row r="26" spans="1:5" ht="12.75">
      <c r="A26" s="255" t="s">
        <v>66</v>
      </c>
      <c r="C26" s="8"/>
      <c r="E26" s="444" t="s">
        <v>295</v>
      </c>
    </row>
    <row r="27" spans="1:5" ht="12.75">
      <c r="A27" s="256" t="s">
        <v>67</v>
      </c>
      <c r="C27" s="8"/>
      <c r="E27" s="445" t="s">
        <v>296</v>
      </c>
    </row>
    <row r="28" spans="1:3" ht="12.75">
      <c r="A28" s="256" t="s">
        <v>68</v>
      </c>
      <c r="C28" s="38"/>
    </row>
    <row r="29" ht="12.75">
      <c r="A29" s="257" t="s">
        <v>69</v>
      </c>
    </row>
    <row r="30" ht="12.75">
      <c r="A30" s="35"/>
    </row>
    <row r="31" spans="1:8" ht="12.75">
      <c r="A31" t="s">
        <v>285</v>
      </c>
      <c r="D31" s="422">
        <v>8553726</v>
      </c>
      <c r="H31" s="5"/>
    </row>
    <row r="32" ht="6" customHeight="1"/>
    <row r="33" spans="1:8" ht="12.75">
      <c r="A33" t="s">
        <v>70</v>
      </c>
      <c r="D33" s="423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71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23">
        <v>0.0988</v>
      </c>
      <c r="H37" s="41"/>
    </row>
    <row r="38" ht="4.5" customHeight="1">
      <c r="H38" s="34"/>
    </row>
    <row r="39" spans="1:8" ht="12.75">
      <c r="A39" t="s">
        <v>73</v>
      </c>
      <c r="D39" s="423">
        <v>0.0725</v>
      </c>
      <c r="H39" s="41"/>
    </row>
    <row r="40" ht="6" customHeight="1">
      <c r="H40" s="34"/>
    </row>
    <row r="41" spans="1:8" ht="12.75">
      <c r="A41" t="s">
        <v>74</v>
      </c>
      <c r="D41" s="251">
        <f>D31*((D33*D37)+(D35*D39))</f>
        <v>732626.6319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6">
        <v>555088</v>
      </c>
      <c r="E43" s="388">
        <f>D43</f>
        <v>555088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1">
        <f>D41-D43</f>
        <v>177538.63190000004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27">
        <v>59179.56</v>
      </c>
      <c r="E47" s="388">
        <f aca="true" t="shared" si="0" ref="E47:E53">D47</f>
        <v>59179.56</v>
      </c>
      <c r="H47" s="40"/>
      <c r="J47" s="5"/>
      <c r="K47" s="5"/>
    </row>
    <row r="48" spans="1:11" ht="12.75">
      <c r="A48" t="s">
        <v>288</v>
      </c>
      <c r="D48" s="427">
        <v>59180</v>
      </c>
      <c r="E48" s="388">
        <f>D48</f>
        <v>59180</v>
      </c>
      <c r="F48" s="22"/>
      <c r="H48" s="40"/>
      <c r="J48" s="5"/>
      <c r="K48" s="5"/>
    </row>
    <row r="49" spans="1:11" ht="12.75">
      <c r="A49" t="s">
        <v>289</v>
      </c>
      <c r="D49" s="428">
        <v>0</v>
      </c>
      <c r="E49" s="388">
        <v>0</v>
      </c>
      <c r="F49" s="22"/>
      <c r="H49" s="40"/>
      <c r="J49" s="5"/>
      <c r="K49" s="5"/>
    </row>
    <row r="50" spans="1:11" ht="12.75">
      <c r="A50" t="s">
        <v>290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435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459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291</v>
      </c>
      <c r="E54" s="254">
        <f>SUM(E43:E53)</f>
        <v>673447.56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2">
        <f>D31*D33</f>
        <v>4276863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2">
        <f>D56*D37</f>
        <v>422554.0644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2">
        <f>Ratebase*0.5</f>
        <v>4276863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2">
        <f>D60*D39</f>
        <v>310072.5675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3">
        <f>IF(D41&gt;0,(((D43+D47)/D41)*D62),0)</f>
        <v>259978.97314652658</v>
      </c>
      <c r="F64" s="5"/>
      <c r="H64" s="32"/>
      <c r="J64" s="5"/>
      <c r="K64" s="5"/>
    </row>
    <row r="65" spans="1:11" ht="12.75">
      <c r="A65" s="33" t="s">
        <v>374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3">
        <f>IF(D41&gt;0,(((D43+D47+D48)/D41)*D62),0)</f>
        <v>285025.9667250438</v>
      </c>
      <c r="F66" s="5"/>
      <c r="H66" s="32"/>
      <c r="J66" s="5"/>
      <c r="K66" s="5"/>
    </row>
    <row r="67" spans="1:11" ht="12.75">
      <c r="A67" s="33" t="s">
        <v>375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3">
        <f>IF(D41&gt;0,(((D43+D47+D48)/D41)*D62),0)</f>
        <v>285025.9667250438</v>
      </c>
      <c r="F68" s="5"/>
      <c r="H68" s="32"/>
      <c r="J68" s="5"/>
    </row>
    <row r="69" spans="1:10" ht="12.75">
      <c r="A69" s="33" t="s">
        <v>376</v>
      </c>
      <c r="B69" s="5"/>
      <c r="C69" s="5"/>
      <c r="D69" s="5"/>
      <c r="F69" s="5"/>
      <c r="H69" s="32"/>
      <c r="J69" s="5"/>
    </row>
    <row r="70" spans="1:10" ht="12.75">
      <c r="A70" s="45" t="s">
        <v>444</v>
      </c>
      <c r="B70" s="5"/>
      <c r="C70" s="5"/>
      <c r="D70" s="253">
        <f>D62</f>
        <v>310072.5675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83" r:id="rId1"/>
  <headerFooter alignWithMargins="0">
    <oddHeader>&amp;C&amp;A</oddHeader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126</v>
      </c>
      <c r="C1" s="205" t="s">
        <v>34</v>
      </c>
      <c r="D1" s="206"/>
      <c r="E1" s="207" t="s">
        <v>23</v>
      </c>
      <c r="F1" s="208" t="s">
        <v>23</v>
      </c>
      <c r="G1" s="209" t="s">
        <v>461</v>
      </c>
      <c r="H1" s="210"/>
    </row>
    <row r="2" spans="1:8" ht="12.75">
      <c r="A2" s="211" t="s">
        <v>460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462</v>
      </c>
      <c r="H2" s="217"/>
    </row>
    <row r="3" spans="1:8" ht="12.75">
      <c r="A3" s="211" t="s">
        <v>511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248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Centre Wellington Hydro Ltd.</v>
      </c>
      <c r="B6" s="115"/>
      <c r="D6" s="137"/>
      <c r="E6" s="115"/>
      <c r="G6" s="115"/>
      <c r="H6" s="466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66"/>
    </row>
    <row r="8" spans="2:12" ht="12.75">
      <c r="B8" s="222"/>
      <c r="C8" s="230"/>
      <c r="D8" s="214"/>
      <c r="E8" s="137"/>
      <c r="F8" s="220"/>
      <c r="G8" s="183" t="s">
        <v>86</v>
      </c>
      <c r="H8" s="217"/>
      <c r="J8" s="47" t="s">
        <v>127</v>
      </c>
      <c r="K8" s="47"/>
      <c r="L8" s="47"/>
    </row>
    <row r="9" spans="1:8" ht="12.75">
      <c r="A9" s="211" t="s">
        <v>124</v>
      </c>
      <c r="B9" s="430">
        <f>REGINFO!B6</f>
        <v>366</v>
      </c>
      <c r="C9" s="231" t="s">
        <v>125</v>
      </c>
      <c r="D9" s="214"/>
      <c r="E9" s="137"/>
      <c r="F9" s="220"/>
      <c r="G9" s="183" t="s">
        <v>89</v>
      </c>
      <c r="H9" s="217"/>
    </row>
    <row r="10" spans="1:8" ht="12.75">
      <c r="A10" s="211" t="s">
        <v>254</v>
      </c>
      <c r="B10" s="430">
        <f>REGINFO!B7</f>
        <v>366</v>
      </c>
      <c r="C10" s="231" t="s">
        <v>125</v>
      </c>
      <c r="D10" s="214"/>
      <c r="E10" s="232"/>
      <c r="F10" s="220"/>
      <c r="G10" s="233" t="s">
        <v>87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100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339</v>
      </c>
      <c r="B16" s="125">
        <v>1</v>
      </c>
      <c r="C16" s="259">
        <f>REGINFO!E54</f>
        <v>673447.56</v>
      </c>
      <c r="D16" s="17"/>
      <c r="E16" s="267">
        <f>G16-C16</f>
        <v>144630.43999999994</v>
      </c>
      <c r="F16" s="3"/>
      <c r="G16" s="267">
        <f>TAXREC!E50</f>
        <v>818078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206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442771</v>
      </c>
      <c r="D20" s="18"/>
      <c r="E20" s="267">
        <f>G20-C20</f>
        <v>65553</v>
      </c>
      <c r="F20" s="6"/>
      <c r="G20" s="267">
        <f>TAXREC!E61</f>
        <v>508324</v>
      </c>
      <c r="H20" s="151"/>
    </row>
    <row r="21" spans="1:8" ht="12.75">
      <c r="A21" s="158" t="s">
        <v>55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262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261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263</v>
      </c>
      <c r="B24" s="127">
        <v>5</v>
      </c>
      <c r="C24" s="261">
        <v>0</v>
      </c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52</v>
      </c>
      <c r="B25" s="127"/>
      <c r="C25" s="105" t="s">
        <v>100</v>
      </c>
      <c r="D25" s="18"/>
      <c r="E25" s="186"/>
      <c r="F25" s="33"/>
      <c r="G25" s="186"/>
      <c r="H25" s="151"/>
    </row>
    <row r="26" spans="1:8" ht="12.75">
      <c r="A26" s="158" t="s">
        <v>154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157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156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155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">
      <c r="A30" s="483" t="s">
        <v>391</v>
      </c>
      <c r="B30" s="127"/>
      <c r="C30" s="259"/>
      <c r="D30" s="18"/>
      <c r="E30" s="267">
        <f>G30-C30</f>
        <v>193027</v>
      </c>
      <c r="F30" s="6"/>
      <c r="G30" s="267">
        <f>TAXREC!E66</f>
        <v>193027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340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101</v>
      </c>
      <c r="B33" s="127">
        <v>7</v>
      </c>
      <c r="C33" s="261">
        <v>332314</v>
      </c>
      <c r="D33" s="132"/>
      <c r="E33" s="267">
        <f aca="true" t="shared" si="0" ref="E33:E42">G33-C33</f>
        <v>279534</v>
      </c>
      <c r="F33" s="6"/>
      <c r="G33" s="267">
        <f>TAXREC!E97+TAXREC!E98</f>
        <v>611848</v>
      </c>
      <c r="H33" s="151"/>
    </row>
    <row r="34" spans="1:8" ht="12.75">
      <c r="A34" s="158" t="s">
        <v>56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264</v>
      </c>
      <c r="B36" s="127">
        <v>10</v>
      </c>
      <c r="C36" s="261">
        <v>0</v>
      </c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60">
        <f>REGINFO!D66</f>
        <v>285025.9667250438</v>
      </c>
      <c r="D37" s="132"/>
      <c r="E37" s="267">
        <f t="shared" si="0"/>
        <v>88176.03327495622</v>
      </c>
      <c r="F37" s="6"/>
      <c r="G37" s="267">
        <f>TAXREC!E51</f>
        <v>373202</v>
      </c>
      <c r="H37" s="151"/>
    </row>
    <row r="38" spans="1:8" ht="12.75">
      <c r="A38" s="155" t="s">
        <v>260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259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182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154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151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153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152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">
      <c r="A48" s="483" t="s">
        <v>391</v>
      </c>
      <c r="B48" s="127"/>
      <c r="C48" s="259"/>
      <c r="D48" s="132"/>
      <c r="E48" s="267">
        <f>G48-C48</f>
        <v>171860</v>
      </c>
      <c r="F48" s="6"/>
      <c r="G48" s="251">
        <f>TAXREC!E108</f>
        <v>171860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326</v>
      </c>
      <c r="B50" s="125"/>
      <c r="C50" s="263">
        <f>C16+SUM(C20:C30)-SUM(C33:C48)</f>
        <v>498878.59327495634</v>
      </c>
      <c r="D50" s="102"/>
      <c r="E50" s="263">
        <f>E16+SUM(E20:E30)-SUM(E33:E48)</f>
        <v>-136359.59327495634</v>
      </c>
      <c r="F50" s="432"/>
      <c r="G50" s="263">
        <f>G16+SUM(G20:G30)-SUM(G33:G48)</f>
        <v>362519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334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338</v>
      </c>
      <c r="B53" s="127">
        <v>13</v>
      </c>
      <c r="C53" s="262">
        <f>IF($C$50&gt;'Tax Rates'!$E$11,'Tax Rates'!$F$16,IF($C$50&gt;'Tax Rates'!$C$11,'Tax Rates'!$E$16,'Tax Rates'!$C$16))</f>
        <v>0.3412</v>
      </c>
      <c r="D53" s="102"/>
      <c r="E53" s="268">
        <f>+G53-C53</f>
        <v>-0.12840000000000001</v>
      </c>
      <c r="F53" s="114"/>
      <c r="G53" s="474">
        <v>0.2128</v>
      </c>
      <c r="H53" s="151"/>
      <c r="I53" s="471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170217.3760254151</v>
      </c>
      <c r="D55" s="102"/>
      <c r="E55" s="267">
        <f>G55-C55</f>
        <v>-85160.37602541511</v>
      </c>
      <c r="F55" s="432"/>
      <c r="G55" s="264">
        <f>TAXREC!E144</f>
        <v>85057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2"/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170217.3760254151</v>
      </c>
      <c r="D60" s="133"/>
      <c r="E60" s="269">
        <f>+E55-E58</f>
        <v>-85160.37602541511</v>
      </c>
      <c r="F60" s="432"/>
      <c r="G60" s="269">
        <f>+G55-G58</f>
        <v>85057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8553726</v>
      </c>
      <c r="D66" s="102"/>
      <c r="E66" s="267">
        <f>G66-C66</f>
        <v>3948782</v>
      </c>
      <c r="F66" s="6"/>
      <c r="G66" s="476">
        <v>12502508</v>
      </c>
      <c r="H66" s="151"/>
      <c r="I66" s="477" t="s">
        <v>469</v>
      </c>
    </row>
    <row r="67" spans="1:10" ht="12.75">
      <c r="A67" s="152" t="s">
        <v>358</v>
      </c>
      <c r="B67" s="125">
        <v>16</v>
      </c>
      <c r="C67" s="260">
        <f>IF(C66&gt;0,'Tax Rates'!C21,0)</f>
        <v>5000000</v>
      </c>
      <c r="D67" s="102"/>
      <c r="E67" s="267">
        <f>G67-C67</f>
        <v>0</v>
      </c>
      <c r="F67" s="6"/>
      <c r="G67" s="267">
        <f>'Tax Rates'!C57</f>
        <v>5000000</v>
      </c>
      <c r="H67" s="151"/>
      <c r="I67" s="477" t="s">
        <v>469</v>
      </c>
      <c r="J67" s="478"/>
    </row>
    <row r="68" spans="1:8" ht="12.75">
      <c r="A68" s="152" t="s">
        <v>42</v>
      </c>
      <c r="B68" s="125"/>
      <c r="C68" s="264">
        <f>IF((C66-C67)&gt;0,C66-C67,0)</f>
        <v>3553726</v>
      </c>
      <c r="D68" s="102"/>
      <c r="E68" s="267">
        <f>SUM(E66:E67)</f>
        <v>3948782</v>
      </c>
      <c r="F68" s="114"/>
      <c r="G68" s="264">
        <f>G66-G67</f>
        <v>7502508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359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315</v>
      </c>
      <c r="B72" s="125"/>
      <c r="C72" s="264">
        <f>IF(C68&gt;0,C68*C70,0)*REGINFO!$B$6/REGINFO!$B$7</f>
        <v>10661.178</v>
      </c>
      <c r="D72" s="101"/>
      <c r="E72" s="267">
        <f>+G72-C72</f>
        <v>11846.346000000001</v>
      </c>
      <c r="F72" s="479"/>
      <c r="G72" s="264">
        <f>IF(G68&gt;0,G68*G70,0)*REGINFO!$B$6/REGINFO!$B$7</f>
        <v>22507.524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216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8553726</v>
      </c>
      <c r="D75" s="102"/>
      <c r="E75" s="267">
        <f>+G75-C75</f>
        <v>3948811</v>
      </c>
      <c r="F75" s="6"/>
      <c r="G75" s="476">
        <v>12502537</v>
      </c>
      <c r="H75" s="151"/>
      <c r="I75" s="477" t="s">
        <v>469</v>
      </c>
    </row>
    <row r="76" spans="1:9" ht="12.75">
      <c r="A76" s="152" t="s">
        <v>358</v>
      </c>
      <c r="B76" s="125">
        <v>19</v>
      </c>
      <c r="C76" s="260">
        <f>IF(C75&gt;0,'Tax Rates'!C22,0)</f>
        <v>10000000</v>
      </c>
      <c r="D76" s="18"/>
      <c r="E76" s="267">
        <f>+G76-C76</f>
        <v>40000000</v>
      </c>
      <c r="F76" s="6"/>
      <c r="G76" s="267">
        <f>'Tax Rates'!C58</f>
        <v>50000000</v>
      </c>
      <c r="H76" s="151"/>
      <c r="I76" s="477" t="s">
        <v>469</v>
      </c>
    </row>
    <row r="77" spans="1:8" ht="12.75">
      <c r="A77" s="152" t="s">
        <v>42</v>
      </c>
      <c r="B77" s="125"/>
      <c r="C77" s="264">
        <f>IF((C75-C76)&gt;0,C75-C76,0)</f>
        <v>0</v>
      </c>
      <c r="D77" s="19"/>
      <c r="E77" s="267">
        <f>SUM(E75:E76)</f>
        <v>43948811</v>
      </c>
      <c r="F77" s="114"/>
      <c r="G77" s="264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359</v>
      </c>
      <c r="B79" s="125">
        <v>20</v>
      </c>
      <c r="C79" s="301">
        <f>'Tax Rates'!C19</f>
        <v>0.00225</v>
      </c>
      <c r="D79" s="102"/>
      <c r="E79" s="268">
        <f>G79-C79</f>
        <v>-0.0002499999999999998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316</v>
      </c>
      <c r="B81" s="125"/>
      <c r="C81" s="264">
        <f>IF(C77&gt;0,C77*C79,0)*REGINFO!$B$6/REGINFO!$B$7</f>
        <v>0</v>
      </c>
      <c r="D81" s="102"/>
      <c r="E81" s="267">
        <f>+G81-C81</f>
        <v>0</v>
      </c>
      <c r="F81" s="6"/>
      <c r="G81" s="264">
        <f>G77*G79*B9/B10</f>
        <v>0</v>
      </c>
      <c r="H81" s="151"/>
    </row>
    <row r="82" spans="1:8" ht="12.75">
      <c r="A82" s="152" t="s">
        <v>317</v>
      </c>
      <c r="B82" s="125">
        <v>21</v>
      </c>
      <c r="C82" s="300">
        <f>IF(C77&gt;0,IF(C60&gt;0,C50*'Tax Rates'!C20,0),0)</f>
        <v>0</v>
      </c>
      <c r="D82" s="102"/>
      <c r="E82" s="267">
        <f>+G82-C82</f>
        <v>0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0</v>
      </c>
      <c r="D84" s="16"/>
      <c r="E84" s="267">
        <f>E81-E82</f>
        <v>0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116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225</v>
      </c>
      <c r="B88" s="125"/>
      <c r="C88" s="262">
        <f>IF($C$50&gt;'Tax Rates'!$E$11,'Tax Rates'!$F$16,IF(AND($C$50&gt;='Tax Rates'!$C$11,$C$50&lt;='Tax Rates'!E11),'Tax Rates'!$E$16,'Tax Rates'!$C$16))</f>
        <v>0.3412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365</v>
      </c>
      <c r="B90" s="127">
        <v>22</v>
      </c>
      <c r="C90" s="264">
        <f>C60/(1-C88)</f>
        <v>258374.88771313766</v>
      </c>
      <c r="D90" s="20"/>
      <c r="E90" s="139"/>
      <c r="F90" s="431" t="s">
        <v>482</v>
      </c>
      <c r="G90" s="270">
        <f>TAXREC!E156</f>
        <v>85057</v>
      </c>
      <c r="H90" s="151"/>
    </row>
    <row r="91" spans="1:8" ht="12.75">
      <c r="A91" s="158" t="s">
        <v>366</v>
      </c>
      <c r="B91" s="127">
        <v>23</v>
      </c>
      <c r="C91" s="264">
        <f>C84/(1-C88)</f>
        <v>0</v>
      </c>
      <c r="D91" s="20"/>
      <c r="E91" s="139"/>
      <c r="F91" s="431" t="s">
        <v>482</v>
      </c>
      <c r="G91" s="270">
        <f>TAXREC!E158</f>
        <v>0</v>
      </c>
      <c r="H91" s="151"/>
    </row>
    <row r="92" spans="1:8" ht="12.75">
      <c r="A92" s="158" t="s">
        <v>346</v>
      </c>
      <c r="B92" s="127">
        <v>24</v>
      </c>
      <c r="C92" s="264">
        <f>C72</f>
        <v>10661.178</v>
      </c>
      <c r="D92" s="20"/>
      <c r="E92" s="139"/>
      <c r="F92" s="431" t="s">
        <v>482</v>
      </c>
      <c r="G92" s="270">
        <f>TAXREC!E157</f>
        <v>22508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473</v>
      </c>
      <c r="B95" s="125">
        <v>25</v>
      </c>
      <c r="C95" s="269">
        <f>SUM(C90:C93)</f>
        <v>269036.0657131377</v>
      </c>
      <c r="D95" s="6"/>
      <c r="E95" s="139"/>
      <c r="F95" s="431" t="s">
        <v>482</v>
      </c>
      <c r="G95" s="414">
        <f>SUM(G90:G94)</f>
        <v>107565</v>
      </c>
      <c r="H95" s="164"/>
    </row>
    <row r="96" spans="1:8" ht="12.75">
      <c r="A96" s="404" t="s">
        <v>306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303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245</v>
      </c>
      <c r="B100" s="123"/>
      <c r="C100" s="112"/>
      <c r="D100" s="3"/>
      <c r="E100" s="143" t="s">
        <v>247</v>
      </c>
      <c r="F100" s="37"/>
      <c r="G100" s="200"/>
      <c r="H100" s="164"/>
    </row>
    <row r="101" spans="1:8" ht="12.75">
      <c r="A101" s="156" t="s">
        <v>344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55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98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361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362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360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56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477</v>
      </c>
      <c r="B112" s="127">
        <v>11</v>
      </c>
      <c r="C112" s="112"/>
      <c r="D112" s="3"/>
      <c r="E112" s="473">
        <f>E206</f>
        <v>63129.432499999995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99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363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364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218</v>
      </c>
      <c r="B120" s="127">
        <v>26</v>
      </c>
      <c r="C120" s="112"/>
      <c r="D120" s="117" t="s">
        <v>187</v>
      </c>
      <c r="E120" s="264">
        <f>SUM(E102:E107)-SUM(E109:E118)</f>
        <v>-63129.432499999995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481</v>
      </c>
      <c r="B122" s="127"/>
      <c r="C122" s="112"/>
      <c r="D122" s="3" t="s">
        <v>229</v>
      </c>
      <c r="E122" s="470">
        <f>G53</f>
        <v>0.2128</v>
      </c>
      <c r="F122" s="471"/>
      <c r="G122" s="201" t="s">
        <v>100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100</v>
      </c>
      <c r="H123" s="164"/>
    </row>
    <row r="124" spans="1:8" ht="12.75">
      <c r="A124" s="158" t="s">
        <v>244</v>
      </c>
      <c r="B124" s="127"/>
      <c r="C124" s="112"/>
      <c r="D124" s="3" t="s">
        <v>187</v>
      </c>
      <c r="E124" s="264">
        <f>E120*E122</f>
        <v>-13433.943236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112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115</v>
      </c>
      <c r="B128" s="127"/>
      <c r="C128" s="112"/>
      <c r="D128" s="3"/>
      <c r="E128" s="264">
        <f>E124-E126</f>
        <v>-13433.943236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194</v>
      </c>
      <c r="B130" s="127"/>
      <c r="C130" s="112"/>
      <c r="D130" s="3"/>
      <c r="E130" s="498">
        <f>E122-1.12%</f>
        <v>0.2016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350</v>
      </c>
      <c r="B132" s="130"/>
      <c r="C132" s="112"/>
      <c r="D132" s="3"/>
      <c r="E132" s="486">
        <f>E128/(1-E130)</f>
        <v>-16826.081207414827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353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233</v>
      </c>
      <c r="B136" s="130"/>
      <c r="C136" s="112"/>
      <c r="D136" s="118" t="s">
        <v>187</v>
      </c>
      <c r="E136" s="302">
        <f>C50</f>
        <v>498878.59327495634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235</v>
      </c>
      <c r="B138" s="130"/>
      <c r="C138" s="112"/>
      <c r="D138" s="119" t="s">
        <v>229</v>
      </c>
      <c r="E138" s="312">
        <f>E122</f>
        <v>0.2128</v>
      </c>
      <c r="F138" s="197" t="s">
        <v>100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227</v>
      </c>
      <c r="B140" s="130"/>
      <c r="C140" s="112"/>
      <c r="D140" s="118" t="s">
        <v>187</v>
      </c>
      <c r="E140" s="303">
        <f>IF(E136&gt;0,E136*E138,0)</f>
        <v>106161.3646489107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236</v>
      </c>
      <c r="B142" s="130"/>
      <c r="C142" s="112"/>
      <c r="D142" s="118" t="s">
        <v>186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228</v>
      </c>
      <c r="B144" s="130"/>
      <c r="C144" s="112"/>
      <c r="D144" s="119" t="s">
        <v>187</v>
      </c>
      <c r="E144" s="302">
        <f>E140-E142</f>
        <v>106161.3646489107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237</v>
      </c>
      <c r="B146" s="130"/>
      <c r="C146" s="112"/>
      <c r="D146" s="118" t="s">
        <v>186</v>
      </c>
      <c r="E146" s="302">
        <f>C60</f>
        <v>170217.3760254151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230</v>
      </c>
      <c r="B148" s="130"/>
      <c r="C148" s="112"/>
      <c r="D148" s="118" t="s">
        <v>187</v>
      </c>
      <c r="E148" s="302">
        <f>E144-E146</f>
        <v>-64056.01137650441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2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187</v>
      </c>
      <c r="E151" s="302">
        <f>C66</f>
        <v>8553726</v>
      </c>
      <c r="F151" s="37"/>
      <c r="G151" s="201"/>
      <c r="H151" s="164"/>
    </row>
    <row r="152" spans="1:8" ht="12.75">
      <c r="A152" s="171" t="s">
        <v>356</v>
      </c>
      <c r="B152" s="130"/>
      <c r="C152" s="112"/>
      <c r="D152" s="118" t="s">
        <v>186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231</v>
      </c>
      <c r="B153" s="130"/>
      <c r="C153" s="112"/>
      <c r="D153" s="118" t="s">
        <v>187</v>
      </c>
      <c r="E153" s="302">
        <f>E151-E152</f>
        <v>3553726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357</v>
      </c>
      <c r="B155" s="130"/>
      <c r="C155" s="112"/>
      <c r="D155" s="119" t="s">
        <v>229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232</v>
      </c>
      <c r="B157" s="130"/>
      <c r="C157" s="112"/>
      <c r="D157" s="119" t="s">
        <v>187</v>
      </c>
      <c r="E157" s="302">
        <f>IF(E153&gt;0,E153*E155*B9/B10,0)</f>
        <v>10661.178</v>
      </c>
      <c r="F157" s="37"/>
      <c r="G157" s="201"/>
      <c r="H157" s="164"/>
    </row>
    <row r="158" spans="1:8" ht="26.25">
      <c r="A158" s="171" t="s">
        <v>307</v>
      </c>
      <c r="B158" s="130"/>
      <c r="C158" s="112"/>
      <c r="D158" s="118" t="s">
        <v>186</v>
      </c>
      <c r="E158" s="305">
        <f>C72</f>
        <v>10661.178</v>
      </c>
      <c r="F158" s="37"/>
      <c r="G158" s="201"/>
      <c r="H158" s="164"/>
    </row>
    <row r="159" spans="1:8" ht="12.75" customHeight="1">
      <c r="A159" s="172" t="s">
        <v>242</v>
      </c>
      <c r="B159" s="130"/>
      <c r="C159" s="112"/>
      <c r="D159" s="118" t="s">
        <v>187</v>
      </c>
      <c r="E159" s="47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234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8553726</v>
      </c>
      <c r="F162" s="37"/>
      <c r="G162" s="201"/>
      <c r="H162" s="164"/>
    </row>
    <row r="163" spans="1:8" ht="12.75">
      <c r="A163" s="171" t="s">
        <v>355</v>
      </c>
      <c r="B163" s="130"/>
      <c r="C163" s="112"/>
      <c r="D163" s="118" t="s">
        <v>186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238</v>
      </c>
      <c r="B164" s="130"/>
      <c r="C164" s="112"/>
      <c r="D164" s="119" t="s">
        <v>187</v>
      </c>
      <c r="E164" s="302">
        <f>E162-E163</f>
        <v>-41446274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308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239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318</v>
      </c>
      <c r="B169" s="130"/>
      <c r="C169" s="112"/>
      <c r="D169" s="118" t="s">
        <v>186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240</v>
      </c>
      <c r="B170" s="130"/>
      <c r="C170" s="112"/>
      <c r="D170" s="119" t="s">
        <v>187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345</v>
      </c>
      <c r="B172" s="130"/>
      <c r="C172" s="112"/>
      <c r="D172" s="118" t="s">
        <v>186</v>
      </c>
      <c r="E172" s="305">
        <f>C84</f>
        <v>0</v>
      </c>
      <c r="F172" s="37"/>
      <c r="G172" s="201"/>
      <c r="H172" s="164"/>
    </row>
    <row r="173" spans="1:8" ht="12.75">
      <c r="A173" s="155" t="s">
        <v>243</v>
      </c>
      <c r="B173" s="130"/>
      <c r="C173" s="112"/>
      <c r="D173" s="119" t="s">
        <v>187</v>
      </c>
      <c r="E173" s="475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343</v>
      </c>
      <c r="B175" s="130"/>
      <c r="C175" s="112"/>
      <c r="D175" s="119"/>
      <c r="E175" s="470">
        <f>E130</f>
        <v>0.2016</v>
      </c>
      <c r="F175" s="471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241</v>
      </c>
      <c r="B177" s="130"/>
      <c r="C177" s="112"/>
      <c r="D177" s="119" t="s">
        <v>185</v>
      </c>
      <c r="E177" s="302">
        <f>E148/(1-E175)</f>
        <v>-80230.47517097245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185</v>
      </c>
      <c r="E178" s="302">
        <f>IF(E164&gt;0,E173/(1-E175),-C91)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185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351</v>
      </c>
      <c r="B181" s="130"/>
      <c r="C181" s="112"/>
      <c r="D181" s="119" t="s">
        <v>187</v>
      </c>
      <c r="E181" s="485">
        <f>SUM(E177:E179)</f>
        <v>-80230.47517097245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476</v>
      </c>
      <c r="B183" s="130"/>
      <c r="C183" s="112"/>
      <c r="D183" s="119" t="s">
        <v>185</v>
      </c>
      <c r="E183" s="485">
        <f>E132</f>
        <v>-16826.081207414827</v>
      </c>
      <c r="F183" s="37" t="s">
        <v>100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352</v>
      </c>
      <c r="B185" s="130"/>
      <c r="C185" s="112"/>
      <c r="D185" s="119" t="s">
        <v>187</v>
      </c>
      <c r="E185" s="485">
        <f>E181+E183</f>
        <v>-97056.55637838728</v>
      </c>
      <c r="F185" s="37"/>
      <c r="G185" s="201"/>
      <c r="H185" s="164"/>
    </row>
    <row r="186" spans="1:8" ht="12.75">
      <c r="A186" s="162" t="s">
        <v>246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57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82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222</v>
      </c>
      <c r="B193" s="127"/>
      <c r="C193" s="112"/>
      <c r="D193" s="120"/>
      <c r="E193" s="308">
        <f>REGINFO!D62</f>
        <v>310072.5675</v>
      </c>
      <c r="F193" s="3"/>
      <c r="G193" s="123"/>
      <c r="H193" s="164"/>
    </row>
    <row r="194" spans="1:8" ht="12.75">
      <c r="A194" s="155" t="s">
        <v>249</v>
      </c>
      <c r="B194" s="127"/>
      <c r="C194" s="112"/>
      <c r="D194" s="120"/>
      <c r="E194" s="308">
        <f>REGINFO!D66</f>
        <v>285025.9667250438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341</v>
      </c>
      <c r="B196" s="127"/>
      <c r="C196" s="112"/>
      <c r="D196" s="120"/>
      <c r="E196" s="308">
        <f>E193-E194</f>
        <v>25046.600774956227</v>
      </c>
      <c r="F196" s="3"/>
      <c r="G196" s="123"/>
      <c r="H196" s="164"/>
    </row>
    <row r="197" spans="1:8" ht="12.75">
      <c r="A197" s="155" t="s">
        <v>342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90"/>
      <c r="H199" s="164"/>
    </row>
    <row r="200" spans="1:8" ht="12.75">
      <c r="A200" s="176" t="s">
        <v>84</v>
      </c>
      <c r="B200" s="127"/>
      <c r="C200" s="112"/>
      <c r="D200" s="120"/>
      <c r="E200" s="147"/>
      <c r="H200" s="164"/>
    </row>
    <row r="201" spans="1:8" ht="12.75">
      <c r="A201" s="155" t="s">
        <v>250</v>
      </c>
      <c r="B201" s="127"/>
      <c r="C201" s="112"/>
      <c r="D201" s="120"/>
      <c r="E201" s="308">
        <f>G37+G42</f>
        <v>373202</v>
      </c>
      <c r="F201" s="3"/>
      <c r="G201" s="490"/>
      <c r="H201" s="164"/>
    </row>
    <row r="202" spans="1:8" ht="12.75">
      <c r="A202" s="499" t="s">
        <v>499</v>
      </c>
      <c r="B202" s="127"/>
      <c r="C202" s="112"/>
      <c r="D202" s="120"/>
      <c r="E202" s="308">
        <f>REGINFO!D62</f>
        <v>310072.5675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83</v>
      </c>
      <c r="B204" s="127"/>
      <c r="C204" s="112"/>
      <c r="D204" s="120"/>
      <c r="E204" s="303">
        <f>IF((E201-E202)&gt;0,E201-E202,0)</f>
        <v>63129.432499999995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478</v>
      </c>
      <c r="B206" s="127"/>
      <c r="C206" s="112"/>
      <c r="D206" s="120"/>
      <c r="E206" s="472">
        <f>IF((E201-E202)&gt;0,E201-E202,0)</f>
        <v>63129.432499999995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223</v>
      </c>
      <c r="B208" s="178"/>
      <c r="C208" s="179"/>
      <c r="D208" s="180"/>
      <c r="E208" s="309">
        <f>+E196-E204</f>
        <v>-38082.83172504377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100</v>
      </c>
      <c r="D221" s="85"/>
      <c r="E221" s="72"/>
    </row>
    <row r="222" spans="3:5" ht="12.75">
      <c r="C222" t="s">
        <v>100</v>
      </c>
      <c r="D222" s="85"/>
      <c r="E222" s="72"/>
    </row>
    <row r="223" spans="3:5" ht="12.75">
      <c r="C223" t="s">
        <v>100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8267716535433072" bottom="0.3937007874015748" header="0.2755905511811024" footer="0"/>
  <pageSetup fitToHeight="2" fitToWidth="1" horizontalDpi="600" verticalDpi="600" orientation="portrait" scale="10" r:id="rId1"/>
  <headerFooter alignWithMargins="0">
    <oddHeader>&amp;C&amp;A</oddHeader>
    <oddFooter>&amp;C&amp;F&amp;RPage &amp;P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1">
      <selection activeCell="A14" sqref="A1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13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Centre Wellington Hydro Ltd.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120</v>
      </c>
      <c r="B11" s="20"/>
      <c r="C11" s="446">
        <f>REGINFO!B6</f>
        <v>366</v>
      </c>
      <c r="D11" s="37" t="s">
        <v>125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488">
        <f>REGINFO!D56*0.0025</f>
        <v>10692.1575</v>
      </c>
      <c r="D13" s="83" t="s">
        <v>184</v>
      </c>
      <c r="E13" s="25"/>
      <c r="F13" s="20"/>
      <c r="G13" s="3"/>
      <c r="H13" s="3"/>
      <c r="I13" s="3"/>
    </row>
    <row r="14" spans="1:9" ht="12.75">
      <c r="A14" s="2" t="s">
        <v>118</v>
      </c>
      <c r="B14" s="20" t="s">
        <v>63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119</v>
      </c>
      <c r="B15" s="20" t="s">
        <v>63</v>
      </c>
      <c r="C15" s="8" t="s">
        <v>100</v>
      </c>
      <c r="D15" s="25"/>
      <c r="E15" s="25"/>
      <c r="F15" s="20"/>
      <c r="G15" s="3"/>
      <c r="H15" s="3"/>
      <c r="I15" s="3"/>
    </row>
    <row r="16" spans="1:9" ht="12.75">
      <c r="A16" s="299" t="s">
        <v>226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63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148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324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257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221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322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323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272</v>
      </c>
      <c r="B31" s="23" t="s">
        <v>185</v>
      </c>
      <c r="C31" s="285">
        <v>8887465</v>
      </c>
      <c r="D31" s="286"/>
      <c r="E31" s="284">
        <f>C31-D31</f>
        <v>8887465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285">
        <v>2424493</v>
      </c>
      <c r="D32" s="286"/>
      <c r="E32" s="284">
        <f>C32-D32</f>
        <v>2424493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5">
        <v>255755</v>
      </c>
      <c r="D33" s="286">
        <v>0</v>
      </c>
      <c r="E33" s="284">
        <f>C33-D33</f>
        <v>255755</v>
      </c>
      <c r="F33" s="11"/>
      <c r="G33" s="11"/>
      <c r="H33" s="6"/>
      <c r="I33" s="6"/>
    </row>
    <row r="34" spans="1:9" ht="12.75">
      <c r="A34" s="4" t="s">
        <v>224</v>
      </c>
      <c r="B34" s="23" t="s">
        <v>185</v>
      </c>
      <c r="C34" s="285">
        <v>102054</v>
      </c>
      <c r="D34" s="286"/>
      <c r="E34" s="284">
        <f>C34-D34</f>
        <v>102054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179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5">
        <v>8887465</v>
      </c>
      <c r="D39" s="286"/>
      <c r="E39" s="284">
        <f>C39-D39</f>
        <v>8887465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5">
        <v>596510</v>
      </c>
      <c r="D40" s="286">
        <v>0</v>
      </c>
      <c r="E40" s="284">
        <f aca="true" t="shared" si="0" ref="E40:E48">C40-D40</f>
        <v>596510</v>
      </c>
      <c r="F40" s="11"/>
      <c r="G40" s="11"/>
      <c r="H40" s="6"/>
      <c r="I40" s="6"/>
    </row>
    <row r="41" spans="1:9" ht="12.75">
      <c r="A41" s="4" t="s">
        <v>273</v>
      </c>
      <c r="B41" s="23" t="s">
        <v>186</v>
      </c>
      <c r="C41" s="285">
        <v>402211</v>
      </c>
      <c r="D41" s="286"/>
      <c r="E41" s="284">
        <f t="shared" si="0"/>
        <v>402211</v>
      </c>
      <c r="F41" s="11"/>
      <c r="G41" s="11"/>
      <c r="H41" s="6"/>
      <c r="I41" s="6"/>
    </row>
    <row r="42" spans="1:9" ht="12.75">
      <c r="A42" s="4" t="s">
        <v>274</v>
      </c>
      <c r="B42" s="23" t="s">
        <v>186</v>
      </c>
      <c r="C42" s="285">
        <v>455973</v>
      </c>
      <c r="D42" s="286"/>
      <c r="E42" s="284">
        <f t="shared" si="0"/>
        <v>455973</v>
      </c>
      <c r="F42" s="11"/>
      <c r="G42" s="11"/>
      <c r="H42" s="6"/>
      <c r="I42" s="6"/>
    </row>
    <row r="43" spans="1:9" ht="12.75">
      <c r="A43" s="4" t="s">
        <v>275</v>
      </c>
      <c r="B43" s="23" t="s">
        <v>186</v>
      </c>
      <c r="C43" s="285">
        <v>508324</v>
      </c>
      <c r="D43" s="286">
        <v>0</v>
      </c>
      <c r="E43" s="284">
        <f t="shared" si="0"/>
        <v>508324</v>
      </c>
      <c r="F43" s="11"/>
      <c r="G43" s="11"/>
      <c r="H43" s="6"/>
      <c r="I43" s="6"/>
    </row>
    <row r="44" spans="1:9" ht="12.75">
      <c r="A44" s="4" t="s">
        <v>276</v>
      </c>
      <c r="B44" s="23" t="s">
        <v>186</v>
      </c>
      <c r="C44" s="285">
        <v>0</v>
      </c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" t="s">
        <v>490</v>
      </c>
      <c r="B45" s="23" t="s">
        <v>186</v>
      </c>
      <c r="C45" s="285">
        <v>0</v>
      </c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510" t="s">
        <v>510</v>
      </c>
      <c r="B46" s="23" t="s">
        <v>186</v>
      </c>
      <c r="C46" s="285">
        <v>1206</v>
      </c>
      <c r="D46" s="286"/>
      <c r="E46" s="284">
        <f t="shared" si="0"/>
        <v>1206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186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186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187</v>
      </c>
      <c r="C50" s="281">
        <f>SUM(C31:C36)-SUM(C39:C49)</f>
        <v>818078</v>
      </c>
      <c r="D50" s="281">
        <f>SUM(D31:D36)-SUM(D39:D49)</f>
        <v>0</v>
      </c>
      <c r="E50" s="281">
        <f>SUM(E31:E35)-SUM(E39:E48)</f>
        <v>818078</v>
      </c>
      <c r="F50" s="11"/>
      <c r="G50" s="11"/>
      <c r="H50" s="6"/>
      <c r="I50" s="6"/>
    </row>
    <row r="51" spans="1:9" ht="12.75">
      <c r="A51" s="4" t="s">
        <v>90</v>
      </c>
      <c r="B51" s="23" t="s">
        <v>186</v>
      </c>
      <c r="C51" s="285">
        <v>373202</v>
      </c>
      <c r="D51" s="285"/>
      <c r="E51" s="282">
        <f>+C51-D51</f>
        <v>373202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5">
        <v>115550</v>
      </c>
      <c r="D52" s="285"/>
      <c r="E52" s="283">
        <f>+C52-D52</f>
        <v>115550</v>
      </c>
      <c r="F52" s="8"/>
      <c r="G52" s="416"/>
    </row>
    <row r="53" spans="1:6" ht="12.75">
      <c r="A53" s="2" t="s">
        <v>129</v>
      </c>
      <c r="B53" s="8" t="s">
        <v>187</v>
      </c>
      <c r="C53" s="281">
        <f>C50-C51-C52</f>
        <v>329326</v>
      </c>
      <c r="D53" s="281">
        <f>D50-D51-D52</f>
        <v>0</v>
      </c>
      <c r="E53" s="281">
        <f>E50-E51-E52</f>
        <v>329326</v>
      </c>
      <c r="F53" s="508"/>
    </row>
    <row r="54" spans="1:6" ht="22.5">
      <c r="A54" s="87" t="s">
        <v>212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96</v>
      </c>
      <c r="B59" s="8" t="s">
        <v>185</v>
      </c>
      <c r="C59" s="287">
        <f>C52</f>
        <v>115550</v>
      </c>
      <c r="D59" s="287">
        <f>D52</f>
        <v>0</v>
      </c>
      <c r="E59" s="272">
        <f>+C59-D59</f>
        <v>115550</v>
      </c>
      <c r="F59" s="8"/>
      <c r="G59" s="509"/>
    </row>
    <row r="60" spans="1:6" ht="12.75">
      <c r="A60" s="4" t="s">
        <v>325</v>
      </c>
      <c r="B60" s="8" t="s">
        <v>185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185</v>
      </c>
      <c r="C61" s="287">
        <f>C43</f>
        <v>508324</v>
      </c>
      <c r="D61" s="287">
        <f>D43</f>
        <v>0</v>
      </c>
      <c r="E61" s="272">
        <f>+C61-D61</f>
        <v>508324</v>
      </c>
      <c r="F61" s="8"/>
      <c r="G61" s="416"/>
    </row>
    <row r="62" spans="1:6" ht="12.75">
      <c r="A62" t="s">
        <v>6</v>
      </c>
      <c r="B62" s="8" t="s">
        <v>185</v>
      </c>
      <c r="C62" s="318">
        <v>0</v>
      </c>
      <c r="D62" s="287">
        <v>0</v>
      </c>
      <c r="E62" s="272">
        <f>+C62-D62</f>
        <v>0</v>
      </c>
      <c r="F62" s="8"/>
    </row>
    <row r="63" spans="1:6" ht="12.75">
      <c r="A63" s="31" t="s">
        <v>277</v>
      </c>
      <c r="B63" s="8" t="s">
        <v>185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51</v>
      </c>
      <c r="B64" s="8" t="s">
        <v>185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440</v>
      </c>
      <c r="B65" s="8" t="s">
        <v>185</v>
      </c>
      <c r="C65" s="286"/>
      <c r="D65" s="286"/>
      <c r="E65" s="272">
        <f>+C65-D65</f>
        <v>0</v>
      </c>
      <c r="F65" s="8"/>
    </row>
    <row r="66" spans="1:6" ht="15">
      <c r="A66" s="468" t="s">
        <v>391</v>
      </c>
      <c r="B66" s="8"/>
      <c r="C66" s="447">
        <f>'TAXREC 3 No True-up'!C47</f>
        <v>193027</v>
      </c>
      <c r="D66" s="447">
        <f>'TAXREC 3 No True-up'!D47</f>
        <v>0</v>
      </c>
      <c r="E66" s="272">
        <f>+C66-D66</f>
        <v>193027</v>
      </c>
      <c r="F66" s="8"/>
    </row>
    <row r="67" spans="1:6" ht="12.75">
      <c r="A67" t="s">
        <v>158</v>
      </c>
      <c r="B67" s="8" t="s">
        <v>185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159</v>
      </c>
      <c r="B68" s="8" t="s">
        <v>185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104</v>
      </c>
      <c r="B70" s="8"/>
      <c r="C70" s="272">
        <f>SUM(C59:C68)</f>
        <v>816901</v>
      </c>
      <c r="D70" s="272">
        <f>SUM(D59:D68)</f>
        <v>0</v>
      </c>
      <c r="E70" s="272">
        <f>SUM(E59:E68)</f>
        <v>816901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146</v>
      </c>
      <c r="B74" s="8" t="s">
        <v>185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185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493"/>
      <c r="B76" s="8" t="s">
        <v>185</v>
      </c>
      <c r="C76" s="484"/>
      <c r="D76" s="294"/>
      <c r="E76" s="480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493"/>
      <c r="B77" s="8" t="s">
        <v>185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493" t="s">
        <v>495</v>
      </c>
      <c r="B78" s="8" t="s">
        <v>185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185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187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187</v>
      </c>
      <c r="C82" s="251">
        <f>C70+C80</f>
        <v>816901</v>
      </c>
      <c r="D82" s="251">
        <f>D70+D80</f>
        <v>0</v>
      </c>
      <c r="E82" s="251">
        <f>E70+E80</f>
        <v>816901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149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428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195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186</v>
      </c>
      <c r="C97" s="294">
        <v>611848</v>
      </c>
      <c r="D97" s="294"/>
      <c r="E97" s="272">
        <f>+C97-D97</f>
        <v>611848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4">
        <v>0</v>
      </c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4">
        <v>0</v>
      </c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186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186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186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496</v>
      </c>
      <c r="B103" s="8" t="s">
        <v>186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186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186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391</v>
      </c>
      <c r="B108" s="8"/>
      <c r="C108" s="254">
        <f>'TAXREC 3 No True-up'!C73</f>
        <v>171860</v>
      </c>
      <c r="D108" s="254">
        <f>'TAXREC 3 No True-up'!D73</f>
        <v>0</v>
      </c>
      <c r="E108" s="272">
        <f t="shared" si="5"/>
        <v>171860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162</v>
      </c>
      <c r="B113" s="8" t="s">
        <v>187</v>
      </c>
      <c r="C113" s="251">
        <f>SUM(C97:C111)</f>
        <v>783708</v>
      </c>
      <c r="D113" s="251">
        <f>SUM(D97:D111)</f>
        <v>0</v>
      </c>
      <c r="E113" s="251">
        <f>SUM(E97:E111)</f>
        <v>783708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186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220</v>
      </c>
      <c r="B116" s="8" t="s">
        <v>186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493"/>
      <c r="B117" s="8" t="s">
        <v>186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493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26.25">
      <c r="A119" s="494" t="s">
        <v>498</v>
      </c>
      <c r="B119" s="8" t="s">
        <v>186</v>
      </c>
      <c r="C119" s="294">
        <v>0</v>
      </c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187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187</v>
      </c>
      <c r="C122" s="251">
        <f>C113+C120</f>
        <v>783708</v>
      </c>
      <c r="D122" s="251">
        <f>D113+D120</f>
        <v>0</v>
      </c>
      <c r="E122" s="251">
        <f>+E113+E120</f>
        <v>783708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197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198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196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187</v>
      </c>
      <c r="C134" s="251">
        <f>+C53+C82-C122</f>
        <v>362519</v>
      </c>
      <c r="D134" s="251">
        <f>D53+D82-D122</f>
        <v>0</v>
      </c>
      <c r="E134" s="251">
        <f>E53+E82-E122</f>
        <v>362519</v>
      </c>
      <c r="F134" s="8"/>
      <c r="G134" s="30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371</v>
      </c>
      <c r="B136" s="8" t="s">
        <v>186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372</v>
      </c>
      <c r="B137" s="8" t="s">
        <v>186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187</v>
      </c>
      <c r="C139" s="252">
        <f>C134-C136-C137-C138</f>
        <v>362519</v>
      </c>
      <c r="D139" s="252">
        <f>D134-D136-D137-D138</f>
        <v>0</v>
      </c>
      <c r="E139" s="252">
        <f>E134-E136-E137-E138</f>
        <v>362519</v>
      </c>
      <c r="F139" s="8"/>
      <c r="G139" s="45"/>
      <c r="H139" s="500" t="s">
        <v>500</v>
      </c>
      <c r="I139" s="30">
        <f>C139</f>
        <v>362519</v>
      </c>
      <c r="J139" s="496" t="s">
        <v>506</v>
      </c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500" t="s">
        <v>505</v>
      </c>
      <c r="I140" s="30">
        <v>-96959</v>
      </c>
      <c r="J140" s="45"/>
      <c r="K140" s="45"/>
    </row>
    <row r="141" spans="1:11" ht="12.75">
      <c r="A141" s="320" t="s">
        <v>304</v>
      </c>
      <c r="B141" s="8"/>
      <c r="C141" s="5"/>
      <c r="D141" s="5"/>
      <c r="E141" s="5"/>
      <c r="F141" s="8"/>
      <c r="G141" s="45"/>
      <c r="H141" s="500"/>
      <c r="I141" s="30"/>
      <c r="J141" s="45"/>
      <c r="K141" s="45"/>
    </row>
    <row r="142" spans="1:11" ht="12.75">
      <c r="A142" s="46" t="s">
        <v>321</v>
      </c>
      <c r="B142" s="8" t="s">
        <v>185</v>
      </c>
      <c r="C142" s="298">
        <f>66969+333</f>
        <v>67302</v>
      </c>
      <c r="D142" s="487">
        <f>D139*C149</f>
        <v>0</v>
      </c>
      <c r="E142" s="252">
        <f>C142-D142</f>
        <v>67302</v>
      </c>
      <c r="F142" s="8"/>
      <c r="G142" s="45"/>
      <c r="H142" s="501" t="s">
        <v>507</v>
      </c>
      <c r="I142" s="30">
        <v>114137</v>
      </c>
      <c r="J142" s="45"/>
      <c r="K142" s="45"/>
    </row>
    <row r="143" spans="1:11" ht="12.75">
      <c r="A143" s="46" t="s">
        <v>320</v>
      </c>
      <c r="B143" s="8" t="s">
        <v>185</v>
      </c>
      <c r="C143" s="298">
        <v>17755</v>
      </c>
      <c r="D143" s="487">
        <f>D139*C150</f>
        <v>0</v>
      </c>
      <c r="E143" s="292">
        <f>C143-D143</f>
        <v>17755</v>
      </c>
      <c r="F143" s="8"/>
      <c r="G143" s="45"/>
      <c r="H143" s="502" t="s">
        <v>501</v>
      </c>
      <c r="I143" s="503">
        <f>SUM(I139:I142)</f>
        <v>379697</v>
      </c>
      <c r="J143" s="45"/>
      <c r="K143" s="45"/>
    </row>
    <row r="144" spans="1:11" ht="12.75">
      <c r="A144" s="46" t="s">
        <v>171</v>
      </c>
      <c r="B144" s="8" t="s">
        <v>187</v>
      </c>
      <c r="C144" s="252">
        <f>C142+C143</f>
        <v>85057</v>
      </c>
      <c r="D144" s="252">
        <f>D142+D143</f>
        <v>0</v>
      </c>
      <c r="E144" s="252">
        <f>E142+E143</f>
        <v>85057</v>
      </c>
      <c r="F144" s="8"/>
      <c r="G144" s="45"/>
      <c r="H144" s="502" t="s">
        <v>502</v>
      </c>
      <c r="I144" s="45">
        <v>-23502</v>
      </c>
      <c r="J144" s="45"/>
      <c r="K144" s="45"/>
    </row>
    <row r="145" spans="1:11" ht="13.5" thickBot="1">
      <c r="A145" s="46" t="s">
        <v>332</v>
      </c>
      <c r="B145" s="8" t="s">
        <v>186</v>
      </c>
      <c r="C145" s="298">
        <v>0</v>
      </c>
      <c r="D145" s="487"/>
      <c r="E145" s="293">
        <f>C145-D145</f>
        <v>0</v>
      </c>
      <c r="F145" s="8"/>
      <c r="G145" s="45"/>
      <c r="H145" s="502" t="s">
        <v>503</v>
      </c>
      <c r="I145" s="504">
        <f>SUM(I143:I144)</f>
        <v>356195</v>
      </c>
      <c r="J145" s="496" t="s">
        <v>504</v>
      </c>
      <c r="K145" s="45"/>
    </row>
    <row r="146" spans="1:11" ht="13.5" thickTop="1">
      <c r="A146" s="320" t="s">
        <v>97</v>
      </c>
      <c r="B146" s="8" t="s">
        <v>187</v>
      </c>
      <c r="C146" s="252">
        <f>C144-C145</f>
        <v>85057</v>
      </c>
      <c r="D146" s="252">
        <f>D144-D145</f>
        <v>0</v>
      </c>
      <c r="E146" s="252">
        <f>E144-E145</f>
        <v>85057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304</v>
      </c>
      <c r="B148" s="8"/>
      <c r="C148" s="5"/>
      <c r="D148" s="5"/>
      <c r="E148" s="5"/>
      <c r="F148" s="8"/>
      <c r="G148" s="505" t="s">
        <v>508</v>
      </c>
      <c r="H148" s="45"/>
      <c r="I148" s="45"/>
      <c r="J148" s="45"/>
      <c r="K148" s="45"/>
    </row>
    <row r="149" spans="1:11" ht="12.75">
      <c r="A149" s="46" t="s">
        <v>327</v>
      </c>
      <c r="B149" s="8"/>
      <c r="C149" s="405">
        <f>G149</f>
        <v>0.1889470655118685</v>
      </c>
      <c r="D149" s="495"/>
      <c r="E149" s="406">
        <f>C149</f>
        <v>0.1889470655118685</v>
      </c>
      <c r="F149" s="8"/>
      <c r="G149" s="506">
        <f>C142/I145</f>
        <v>0.1889470655118685</v>
      </c>
      <c r="H149" s="45"/>
      <c r="I149" s="45"/>
      <c r="J149" s="45"/>
      <c r="K149" s="45"/>
    </row>
    <row r="150" spans="1:11" ht="12.75">
      <c r="A150" s="46" t="s">
        <v>328</v>
      </c>
      <c r="B150" s="8"/>
      <c r="C150" s="405">
        <f>G150</f>
        <v>0.04984629205912492</v>
      </c>
      <c r="D150" s="495"/>
      <c r="E150" s="406">
        <f>C150</f>
        <v>0.04984629205912492</v>
      </c>
      <c r="F150" s="8"/>
      <c r="G150" s="507">
        <f>C143/I145</f>
        <v>0.04984629205912492</v>
      </c>
      <c r="H150" s="45"/>
      <c r="I150" s="45"/>
      <c r="J150" s="45"/>
      <c r="K150" s="45"/>
    </row>
    <row r="151" spans="1:11" ht="12.75">
      <c r="A151" t="s">
        <v>329</v>
      </c>
      <c r="B151" s="8"/>
      <c r="C151" s="406">
        <f>SUM(C149:C150)</f>
        <v>0.2387933575709934</v>
      </c>
      <c r="D151" s="5"/>
      <c r="E151" s="406">
        <f>SUM(E149:E150)</f>
        <v>0.2387933575709934</v>
      </c>
      <c r="F151" s="8"/>
      <c r="G151" s="507">
        <f>SUM(G149:G150)</f>
        <v>0.2387933575709934</v>
      </c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354</v>
      </c>
      <c r="B153" s="8"/>
    </row>
    <row r="154" spans="1:2" ht="12.75">
      <c r="A154" s="14"/>
      <c r="B154" s="8"/>
    </row>
    <row r="155" spans="1:2" ht="12.75">
      <c r="A155" s="2" t="s">
        <v>472</v>
      </c>
      <c r="B155" s="8"/>
    </row>
    <row r="156" spans="1:5" ht="12.75">
      <c r="A156" t="s">
        <v>217</v>
      </c>
      <c r="B156" s="86" t="s">
        <v>185</v>
      </c>
      <c r="C156" s="251">
        <f>C146</f>
        <v>85057</v>
      </c>
      <c r="D156" s="251">
        <f>D146</f>
        <v>0</v>
      </c>
      <c r="E156" s="251">
        <f>E146</f>
        <v>85057</v>
      </c>
    </row>
    <row r="157" spans="1:5" ht="12.75">
      <c r="A157" t="s">
        <v>20</v>
      </c>
      <c r="B157" s="86" t="s">
        <v>185</v>
      </c>
      <c r="C157" s="481">
        <v>22508</v>
      </c>
      <c r="D157" s="251"/>
      <c r="E157" s="251">
        <f>C157+D157</f>
        <v>22508</v>
      </c>
    </row>
    <row r="158" spans="1:5" ht="12.75">
      <c r="A158" t="s">
        <v>216</v>
      </c>
      <c r="B158" s="86" t="s">
        <v>185</v>
      </c>
      <c r="C158" s="481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301</v>
      </c>
      <c r="B160" s="66" t="s">
        <v>187</v>
      </c>
      <c r="C160" s="251">
        <f>C156+C157+C158</f>
        <v>107565</v>
      </c>
      <c r="D160" s="251">
        <f>D156+D157+D158</f>
        <v>0</v>
      </c>
      <c r="E160" s="251">
        <f>E156+E157+E158</f>
        <v>107565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8267716535433072" bottom="0.3937007874015748" header="0.2755905511811024" footer="0"/>
  <pageSetup fitToHeight="2" fitToWidth="1" horizontalDpi="600" verticalDpi="600" orientation="portrait" scale="10" r:id="rId1"/>
  <headerFooter alignWithMargins="0">
    <oddHeader>&amp;C&amp;A</oddHeader>
    <oddFooter>&amp;C&amp;F&amp;RPage &amp;P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90" zoomScaleNormal="90" zoomScalePageLayoutView="0" workbookViewId="0" topLeftCell="A1">
      <selection activeCell="C27" sqref="C27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Centre Wellington Hydro Ltd.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7" t="s">
        <v>271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279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280</v>
      </c>
      <c r="B15" s="61"/>
      <c r="C15" s="294"/>
      <c r="D15" s="294"/>
      <c r="E15" s="251">
        <f t="shared" si="0"/>
        <v>0</v>
      </c>
    </row>
    <row r="16" spans="1:5" ht="12.75">
      <c r="A16" s="61" t="s">
        <v>281</v>
      </c>
      <c r="B16" s="61"/>
      <c r="C16" s="294"/>
      <c r="D16" s="294"/>
      <c r="E16" s="251">
        <f t="shared" si="0"/>
        <v>0</v>
      </c>
    </row>
    <row r="17" spans="1:5" ht="12.75">
      <c r="A17" s="61" t="s">
        <v>282</v>
      </c>
      <c r="B17" s="61"/>
      <c r="C17" s="294"/>
      <c r="D17" s="294"/>
      <c r="E17" s="251">
        <f t="shared" si="0"/>
        <v>0</v>
      </c>
    </row>
    <row r="18" spans="1:5" ht="12.75">
      <c r="A18" s="61" t="s">
        <v>445</v>
      </c>
      <c r="B18" s="61"/>
      <c r="C18" s="294"/>
      <c r="D18" s="294"/>
      <c r="E18" s="251">
        <f t="shared" si="0"/>
        <v>0</v>
      </c>
    </row>
    <row r="19" spans="1:5" ht="12.75">
      <c r="A19" s="61" t="s">
        <v>445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178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270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279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280</v>
      </c>
      <c r="B27" s="61"/>
      <c r="C27" s="294"/>
      <c r="D27" s="294"/>
      <c r="E27" s="251">
        <f t="shared" si="1"/>
        <v>0</v>
      </c>
    </row>
    <row r="28" spans="1:5" ht="12.75">
      <c r="A28" s="61" t="s">
        <v>281</v>
      </c>
      <c r="B28" s="61"/>
      <c r="C28" s="294"/>
      <c r="D28" s="294"/>
      <c r="E28" s="251">
        <f t="shared" si="1"/>
        <v>0</v>
      </c>
    </row>
    <row r="29" spans="1:5" ht="12.75">
      <c r="A29" s="61" t="s">
        <v>282</v>
      </c>
      <c r="B29" s="61"/>
      <c r="C29" s="294"/>
      <c r="D29" s="294"/>
      <c r="E29" s="251">
        <f t="shared" si="1"/>
        <v>0</v>
      </c>
    </row>
    <row r="30" spans="1:5" ht="12.75">
      <c r="A30" s="61" t="s">
        <v>445</v>
      </c>
      <c r="B30" s="61"/>
      <c r="C30" s="294"/>
      <c r="D30" s="294"/>
      <c r="E30" s="251">
        <f t="shared" si="1"/>
        <v>0</v>
      </c>
    </row>
    <row r="31" spans="1:5" ht="12.75">
      <c r="A31" s="61" t="s">
        <v>445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130</v>
      </c>
      <c r="C34" s="22"/>
      <c r="D34" s="22"/>
      <c r="E34" s="279"/>
    </row>
    <row r="35" spans="1:5" ht="12.75">
      <c r="A35" s="2" t="s">
        <v>178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271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265</v>
      </c>
      <c r="B43" s="61"/>
      <c r="C43" s="294"/>
      <c r="D43" s="294"/>
      <c r="E43" s="251">
        <f t="shared" si="2"/>
        <v>0</v>
      </c>
    </row>
    <row r="44" spans="1:5" ht="12.75">
      <c r="A44" s="61" t="s">
        <v>266</v>
      </c>
      <c r="B44" s="61"/>
      <c r="C44" s="294"/>
      <c r="D44" s="294"/>
      <c r="E44" s="251">
        <f t="shared" si="2"/>
        <v>0</v>
      </c>
    </row>
    <row r="45" spans="1:5" ht="12.75">
      <c r="A45" s="61" t="s">
        <v>267</v>
      </c>
      <c r="B45" s="61"/>
      <c r="C45" s="294"/>
      <c r="D45" s="294"/>
      <c r="E45" s="251">
        <f t="shared" si="2"/>
        <v>0</v>
      </c>
    </row>
    <row r="46" spans="1:5" ht="12.75">
      <c r="A46" s="61" t="s">
        <v>268</v>
      </c>
      <c r="B46" s="61"/>
      <c r="C46" s="294"/>
      <c r="D46" s="294"/>
      <c r="E46" s="251">
        <f t="shared" si="2"/>
        <v>0</v>
      </c>
    </row>
    <row r="47" spans="1:5" ht="12.75">
      <c r="A47" s="61" t="s">
        <v>445</v>
      </c>
      <c r="B47" s="61"/>
      <c r="C47" s="294"/>
      <c r="D47" s="294"/>
      <c r="E47" s="251">
        <f t="shared" si="2"/>
        <v>0</v>
      </c>
    </row>
    <row r="48" spans="1:5" ht="12.75">
      <c r="A48" s="61" t="s">
        <v>445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178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270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265</v>
      </c>
      <c r="B55" s="61"/>
      <c r="C55" s="294"/>
      <c r="D55" s="294"/>
      <c r="E55" s="251">
        <f t="shared" si="3"/>
        <v>0</v>
      </c>
    </row>
    <row r="56" spans="1:5" ht="12.75">
      <c r="A56" s="246" t="s">
        <v>266</v>
      </c>
      <c r="B56" s="61"/>
      <c r="C56" s="294"/>
      <c r="D56" s="294"/>
      <c r="E56" s="251">
        <f t="shared" si="3"/>
        <v>0</v>
      </c>
    </row>
    <row r="57" spans="1:5" ht="12.75">
      <c r="A57" s="246" t="s">
        <v>267</v>
      </c>
      <c r="B57" s="61"/>
      <c r="C57" s="294"/>
      <c r="D57" s="294"/>
      <c r="E57" s="251">
        <f t="shared" si="3"/>
        <v>0</v>
      </c>
    </row>
    <row r="58" spans="1:5" ht="12.75">
      <c r="A58" s="246" t="s">
        <v>268</v>
      </c>
      <c r="B58" s="61"/>
      <c r="C58" s="294"/>
      <c r="D58" s="294"/>
      <c r="E58" s="251">
        <f t="shared" si="3"/>
        <v>0</v>
      </c>
    </row>
    <row r="59" spans="1:5" ht="12.75">
      <c r="A59" s="61" t="s">
        <v>445</v>
      </c>
      <c r="B59" s="61"/>
      <c r="C59" s="294"/>
      <c r="D59" s="294"/>
      <c r="E59" s="251">
        <f t="shared" si="3"/>
        <v>0</v>
      </c>
    </row>
    <row r="60" spans="1:5" ht="12.75">
      <c r="A60" s="61" t="s">
        <v>445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130</v>
      </c>
      <c r="C62" s="22"/>
      <c r="D62" s="22"/>
      <c r="E62" s="279"/>
    </row>
    <row r="63" spans="1:5" ht="12.75">
      <c r="A63" s="2" t="s">
        <v>178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10" r:id="rId1"/>
  <headerFooter alignWithMargins="0">
    <oddHeader>&amp;C&amp;A</oddHeader>
    <oddFooter>&amp;C&amp;F&amp;RPage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C7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25" sqref="A2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463</v>
      </c>
      <c r="B5" s="8"/>
      <c r="C5" s="8" t="s">
        <v>2</v>
      </c>
      <c r="D5" s="8"/>
      <c r="E5" s="8"/>
      <c r="F5" s="8"/>
    </row>
    <row r="6" spans="1:6" ht="12.75">
      <c r="A6" s="416" t="s">
        <v>442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Centre Wellington Hydro Ltd.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71">
        <f>TAXREC!C11</f>
        <v>366</v>
      </c>
      <c r="D10" s="60"/>
      <c r="E10" s="25"/>
      <c r="F10" s="20"/>
    </row>
    <row r="11" spans="1:6" ht="12.75">
      <c r="A11" s="2" t="s">
        <v>117</v>
      </c>
      <c r="B11" s="20"/>
      <c r="C11" s="489">
        <f>TAXREC!C13</f>
        <v>10692.1575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7"/>
      <c r="B17" t="s">
        <v>185</v>
      </c>
      <c r="C17" s="295"/>
      <c r="D17" s="295"/>
      <c r="E17" s="313">
        <f>C17-D17</f>
        <v>0</v>
      </c>
    </row>
    <row r="18" spans="1:5" ht="12.75">
      <c r="A18" s="67" t="s">
        <v>251</v>
      </c>
      <c r="B18" t="s">
        <v>185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133</v>
      </c>
      <c r="B19" t="s">
        <v>185</v>
      </c>
      <c r="C19" s="295"/>
      <c r="D19" s="295"/>
      <c r="E19" s="313">
        <f t="shared" si="0"/>
        <v>0</v>
      </c>
    </row>
    <row r="20" spans="1:5" ht="12.75">
      <c r="A20" s="67" t="s">
        <v>446</v>
      </c>
      <c r="B20" t="s">
        <v>185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185</v>
      </c>
      <c r="C21" s="295"/>
      <c r="D21" s="295"/>
      <c r="E21" s="313">
        <f t="shared" si="0"/>
        <v>0</v>
      </c>
    </row>
    <row r="22" spans="1:5" ht="12.75">
      <c r="A22" s="67"/>
      <c r="B22" t="s">
        <v>185</v>
      </c>
      <c r="C22" s="295"/>
      <c r="D22" s="295"/>
      <c r="E22" s="313">
        <f t="shared" si="0"/>
        <v>0</v>
      </c>
    </row>
    <row r="23" spans="1:5" ht="12.75">
      <c r="A23" s="67" t="s">
        <v>135</v>
      </c>
      <c r="B23" t="s">
        <v>185</v>
      </c>
      <c r="C23" s="295"/>
      <c r="D23" s="295"/>
      <c r="E23" s="313">
        <f t="shared" si="0"/>
        <v>0</v>
      </c>
    </row>
    <row r="24" spans="1:5" ht="12.75">
      <c r="A24" s="67" t="s">
        <v>136</v>
      </c>
      <c r="B24" t="s">
        <v>185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185</v>
      </c>
      <c r="C25" s="295"/>
      <c r="D25" s="295"/>
      <c r="E25" s="313">
        <f t="shared" si="0"/>
        <v>0</v>
      </c>
    </row>
    <row r="26" spans="1:5" ht="12.75">
      <c r="A26" s="67" t="s">
        <v>189</v>
      </c>
      <c r="B26" t="s">
        <v>185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185</v>
      </c>
      <c r="C27" s="295"/>
      <c r="D27" s="295"/>
      <c r="E27" s="313">
        <f t="shared" si="0"/>
        <v>0</v>
      </c>
    </row>
    <row r="28" spans="1:5" ht="12.75">
      <c r="A28" s="67" t="s">
        <v>122</v>
      </c>
      <c r="B28" t="s">
        <v>185</v>
      </c>
      <c r="C28" s="295"/>
      <c r="D28" s="295"/>
      <c r="E28" s="313">
        <f t="shared" si="0"/>
        <v>0</v>
      </c>
    </row>
    <row r="29" spans="1:5" ht="12.75">
      <c r="A29" s="67" t="s">
        <v>137</v>
      </c>
      <c r="B29" t="s">
        <v>185</v>
      </c>
      <c r="C29" s="295"/>
      <c r="D29" s="295"/>
      <c r="E29" s="313">
        <f t="shared" si="0"/>
        <v>0</v>
      </c>
    </row>
    <row r="30" spans="1:5" ht="12.75">
      <c r="A30" s="67" t="s">
        <v>138</v>
      </c>
      <c r="B30" t="s">
        <v>185</v>
      </c>
      <c r="C30" s="295"/>
      <c r="D30" s="295"/>
      <c r="E30" s="313">
        <f t="shared" si="0"/>
        <v>0</v>
      </c>
    </row>
    <row r="31" spans="1:5" ht="12.75">
      <c r="A31" s="67" t="s">
        <v>252</v>
      </c>
      <c r="B31" t="s">
        <v>185</v>
      </c>
      <c r="C31" s="295"/>
      <c r="D31" s="295"/>
      <c r="E31" s="313">
        <f t="shared" si="0"/>
        <v>0</v>
      </c>
    </row>
    <row r="32" spans="1:5" ht="12.75">
      <c r="A32" s="67" t="s">
        <v>139</v>
      </c>
      <c r="B32" t="s">
        <v>185</v>
      </c>
      <c r="C32" s="295"/>
      <c r="D32" s="295"/>
      <c r="E32" s="313">
        <f t="shared" si="0"/>
        <v>0</v>
      </c>
    </row>
    <row r="33" spans="1:5" ht="12.75">
      <c r="A33" s="67" t="s">
        <v>140</v>
      </c>
      <c r="B33" t="s">
        <v>185</v>
      </c>
      <c r="C33" s="295"/>
      <c r="D33" s="295"/>
      <c r="E33" s="313">
        <f t="shared" si="0"/>
        <v>0</v>
      </c>
    </row>
    <row r="34" spans="1:5" ht="12.75">
      <c r="A34" s="67" t="s">
        <v>141</v>
      </c>
      <c r="B34" t="s">
        <v>185</v>
      </c>
      <c r="C34" s="295"/>
      <c r="D34" s="295"/>
      <c r="E34" s="313">
        <f t="shared" si="0"/>
        <v>0</v>
      </c>
    </row>
    <row r="35" spans="1:5" ht="12.75">
      <c r="A35" s="67" t="s">
        <v>191</v>
      </c>
      <c r="B35" t="s">
        <v>185</v>
      </c>
      <c r="C35" s="295"/>
      <c r="D35" s="295"/>
      <c r="E35" s="313">
        <f t="shared" si="0"/>
        <v>0</v>
      </c>
    </row>
    <row r="36" spans="1:5" ht="12.75">
      <c r="A36" s="67" t="s">
        <v>470</v>
      </c>
      <c r="B36" t="s">
        <v>185</v>
      </c>
      <c r="C36" s="295">
        <v>0</v>
      </c>
      <c r="D36" s="295"/>
      <c r="E36" s="313">
        <f t="shared" si="0"/>
        <v>0</v>
      </c>
    </row>
    <row r="37" spans="1:5" ht="12.75">
      <c r="A37" s="67"/>
      <c r="B37" t="s">
        <v>185</v>
      </c>
      <c r="C37" s="295"/>
      <c r="D37" s="295"/>
      <c r="E37" s="313">
        <f t="shared" si="0"/>
        <v>0</v>
      </c>
    </row>
    <row r="38" spans="2:5" ht="12.75">
      <c r="B38" t="s">
        <v>185</v>
      </c>
      <c r="C38" s="295"/>
      <c r="D38" s="295"/>
      <c r="E38" s="251">
        <f t="shared" si="0"/>
        <v>0</v>
      </c>
    </row>
    <row r="39" spans="2:5" ht="12.75">
      <c r="B39" t="s">
        <v>185</v>
      </c>
      <c r="C39" s="294"/>
      <c r="D39" s="295"/>
      <c r="E39" s="251">
        <f t="shared" si="0"/>
        <v>0</v>
      </c>
    </row>
    <row r="40" spans="1:5" ht="12.75">
      <c r="A40" s="68" t="s">
        <v>202</v>
      </c>
      <c r="B40" t="s">
        <v>185</v>
      </c>
      <c r="C40" s="294"/>
      <c r="D40" s="294"/>
      <c r="E40" s="251">
        <f t="shared" si="0"/>
        <v>0</v>
      </c>
    </row>
    <row r="41" spans="1:5" ht="12.75">
      <c r="A41" s="67"/>
      <c r="B41" t="s">
        <v>185</v>
      </c>
      <c r="C41" s="294"/>
      <c r="D41" s="294"/>
      <c r="E41" s="251">
        <f t="shared" si="0"/>
        <v>0</v>
      </c>
    </row>
    <row r="42" spans="1:5" ht="12.75">
      <c r="A42" s="67"/>
      <c r="B42" t="s">
        <v>185</v>
      </c>
      <c r="C42" s="294"/>
      <c r="D42" s="294"/>
      <c r="E42" s="251">
        <f t="shared" si="0"/>
        <v>0</v>
      </c>
    </row>
    <row r="43" spans="1:5" ht="12.75">
      <c r="A43" s="67"/>
      <c r="B43" t="s">
        <v>185</v>
      </c>
      <c r="C43" s="294"/>
      <c r="D43" s="294"/>
      <c r="E43" s="251">
        <f t="shared" si="0"/>
        <v>0</v>
      </c>
    </row>
    <row r="44" spans="1:5" ht="12.75">
      <c r="A44" s="67"/>
      <c r="B44" t="s">
        <v>185</v>
      </c>
      <c r="C44" s="294"/>
      <c r="D44" s="294"/>
      <c r="E44" s="251">
        <f t="shared" si="0"/>
        <v>0</v>
      </c>
    </row>
    <row r="45" spans="1:5" ht="12.75">
      <c r="A45" s="67"/>
      <c r="B45" t="s">
        <v>185</v>
      </c>
      <c r="C45" s="294"/>
      <c r="D45" s="294"/>
      <c r="E45" s="279"/>
    </row>
    <row r="46" spans="1:5" ht="12.75">
      <c r="A46" s="70" t="s">
        <v>168</v>
      </c>
      <c r="B46" t="s">
        <v>187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170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142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201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168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143</v>
      </c>
    </row>
    <row r="82" spans="1:5" ht="12.75">
      <c r="A82" s="67" t="s">
        <v>144</v>
      </c>
      <c r="B82" s="8" t="s">
        <v>186</v>
      </c>
      <c r="C82" s="294"/>
      <c r="D82" s="294"/>
      <c r="E82" s="251">
        <f>C82-D82</f>
        <v>0</v>
      </c>
    </row>
    <row r="83" spans="1:5" ht="12.75">
      <c r="A83" s="71" t="s">
        <v>150</v>
      </c>
      <c r="B83" s="8" t="s">
        <v>186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145</v>
      </c>
      <c r="B84" s="8" t="s">
        <v>186</v>
      </c>
      <c r="C84" s="294"/>
      <c r="D84" s="294"/>
      <c r="E84" s="251">
        <f t="shared" si="5"/>
        <v>0</v>
      </c>
    </row>
    <row r="85" spans="1:5" ht="12.75">
      <c r="A85" s="71" t="s">
        <v>253</v>
      </c>
      <c r="B85" s="8" t="s">
        <v>186</v>
      </c>
      <c r="C85" s="294"/>
      <c r="D85" s="294"/>
      <c r="E85" s="251">
        <f t="shared" si="5"/>
        <v>0</v>
      </c>
    </row>
    <row r="86" spans="1:5" ht="12.75">
      <c r="A86" s="67" t="s">
        <v>192</v>
      </c>
      <c r="B86" s="8" t="s">
        <v>186</v>
      </c>
      <c r="C86" s="294"/>
      <c r="D86" s="294"/>
      <c r="E86" s="251">
        <f t="shared" si="5"/>
        <v>0</v>
      </c>
    </row>
    <row r="87" spans="1:5" ht="12.75">
      <c r="A87" s="67" t="s">
        <v>373</v>
      </c>
      <c r="B87" s="8" t="s">
        <v>186</v>
      </c>
      <c r="C87" s="294">
        <v>0</v>
      </c>
      <c r="D87" s="294"/>
      <c r="E87" s="251">
        <f t="shared" si="5"/>
        <v>0</v>
      </c>
    </row>
    <row r="88" spans="1:5" ht="12.75">
      <c r="A88" s="67" t="s">
        <v>193</v>
      </c>
      <c r="B88" s="8" t="s">
        <v>186</v>
      </c>
      <c r="C88" s="294"/>
      <c r="D88" s="294"/>
      <c r="E88" s="251">
        <f t="shared" si="5"/>
        <v>0</v>
      </c>
    </row>
    <row r="89" spans="1:5" ht="12.75">
      <c r="A89" s="67" t="s">
        <v>165</v>
      </c>
      <c r="B89" s="8" t="s">
        <v>186</v>
      </c>
      <c r="C89" s="294"/>
      <c r="D89" s="294"/>
      <c r="E89" s="251">
        <f t="shared" si="5"/>
        <v>0</v>
      </c>
    </row>
    <row r="90" spans="1:5" ht="12.75">
      <c r="A90" s="67" t="s">
        <v>166</v>
      </c>
      <c r="B90" s="8" t="s">
        <v>186</v>
      </c>
      <c r="C90" s="294"/>
      <c r="D90" s="294"/>
      <c r="E90" s="251">
        <f t="shared" si="5"/>
        <v>0</v>
      </c>
    </row>
    <row r="91" spans="1:5" ht="12.75">
      <c r="A91" s="67" t="s">
        <v>167</v>
      </c>
      <c r="B91" s="8" t="s">
        <v>186</v>
      </c>
      <c r="C91" s="294"/>
      <c r="D91" s="294"/>
      <c r="E91" s="251">
        <f t="shared" si="5"/>
        <v>0</v>
      </c>
    </row>
    <row r="92" spans="2:5" ht="12.75">
      <c r="B92" s="8" t="s">
        <v>186</v>
      </c>
      <c r="C92" s="294"/>
      <c r="D92" s="294"/>
      <c r="E92" s="251"/>
    </row>
    <row r="93" spans="1:5" ht="12.75">
      <c r="A93" s="67"/>
      <c r="B93" s="8" t="s">
        <v>186</v>
      </c>
      <c r="C93" s="294"/>
      <c r="D93" s="294"/>
      <c r="E93" s="251">
        <f t="shared" si="5"/>
        <v>0</v>
      </c>
    </row>
    <row r="94" spans="1:5" ht="12.75">
      <c r="A94" s="67"/>
      <c r="B94" s="8" t="s">
        <v>186</v>
      </c>
      <c r="C94" s="294"/>
      <c r="D94" s="294"/>
      <c r="E94" s="251">
        <f t="shared" si="5"/>
        <v>0</v>
      </c>
    </row>
    <row r="95" spans="1:5" ht="12.75">
      <c r="A95" s="68" t="s">
        <v>203</v>
      </c>
      <c r="B95" s="8" t="s">
        <v>186</v>
      </c>
      <c r="C95" s="294"/>
      <c r="D95" s="294"/>
      <c r="E95" s="251">
        <f t="shared" si="5"/>
        <v>0</v>
      </c>
    </row>
    <row r="96" spans="1:5" ht="12.75">
      <c r="A96" s="67" t="s">
        <v>471</v>
      </c>
      <c r="B96" s="8" t="s">
        <v>186</v>
      </c>
      <c r="C96" s="294">
        <v>0</v>
      </c>
      <c r="D96" s="294"/>
      <c r="E96" s="251">
        <f t="shared" si="5"/>
        <v>0</v>
      </c>
    </row>
    <row r="97" spans="1:5" ht="12.75">
      <c r="A97" s="67"/>
      <c r="B97" s="8" t="s">
        <v>186</v>
      </c>
      <c r="C97" s="294"/>
      <c r="D97" s="294"/>
      <c r="E97" s="251">
        <f t="shared" si="5"/>
        <v>0</v>
      </c>
    </row>
    <row r="98" spans="1:5" ht="12.75">
      <c r="A98" s="67"/>
      <c r="B98" s="8" t="s">
        <v>186</v>
      </c>
      <c r="C98" s="294"/>
      <c r="D98" s="294"/>
      <c r="E98" s="251">
        <f t="shared" si="5"/>
        <v>0</v>
      </c>
    </row>
    <row r="99" spans="1:5" ht="12.75">
      <c r="A99" s="67" t="s">
        <v>169</v>
      </c>
      <c r="B99" s="8" t="s">
        <v>187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172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200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199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169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8267716535433072" bottom="0.3937007874015748" header="0.2755905511811024" footer="0"/>
  <pageSetup fitToHeight="2" fitToWidth="1" horizontalDpi="600" verticalDpi="600" orientation="portrait" scale="76" r:id="rId1"/>
  <headerFooter alignWithMargins="0">
    <oddHeader>&amp;C&amp;A</oddHeader>
    <oddFooter>&amp;C&amp;F&amp;RPage &amp;P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90" zoomScaleNormal="90" zoomScalePageLayoutView="0" workbookViewId="0" topLeftCell="A1">
      <pane xSplit="1" ySplit="8" topLeftCell="B9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14" sqref="A1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381</v>
      </c>
      <c r="E3" s="92"/>
    </row>
    <row r="4" spans="1:6" ht="15">
      <c r="A4" s="465" t="s">
        <v>442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7" t="s">
        <v>382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Centre Wellington Hydro Ltd.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71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7" t="s">
        <v>131</v>
      </c>
      <c r="B19" t="s">
        <v>185</v>
      </c>
      <c r="C19" s="295"/>
      <c r="D19" s="295"/>
      <c r="E19" s="313">
        <f aca="true" t="shared" si="0" ref="E19:E45">C19-D19</f>
        <v>0</v>
      </c>
    </row>
    <row r="20" spans="1:5" ht="12.75">
      <c r="A20" t="s">
        <v>384</v>
      </c>
      <c r="B20" t="s">
        <v>185</v>
      </c>
      <c r="C20" s="295"/>
      <c r="D20" s="295"/>
      <c r="E20" s="313">
        <f t="shared" si="0"/>
        <v>0</v>
      </c>
    </row>
    <row r="21" spans="1:5" ht="12.75">
      <c r="A21" t="s">
        <v>450</v>
      </c>
      <c r="B21" t="s">
        <v>185</v>
      </c>
      <c r="C21" s="295"/>
      <c r="D21" s="295"/>
      <c r="E21" s="313">
        <f t="shared" si="0"/>
        <v>0</v>
      </c>
    </row>
    <row r="22" spans="1:5" ht="12.75">
      <c r="A22" s="67" t="s">
        <v>387</v>
      </c>
      <c r="B22" t="s">
        <v>185</v>
      </c>
      <c r="C22" s="295"/>
      <c r="D22" s="314"/>
      <c r="E22" s="313">
        <f t="shared" si="0"/>
        <v>0</v>
      </c>
    </row>
    <row r="23" spans="1:5" ht="12.75">
      <c r="A23" s="67" t="s">
        <v>388</v>
      </c>
      <c r="B23" t="s">
        <v>185</v>
      </c>
      <c r="C23" s="295"/>
      <c r="D23" s="295"/>
      <c r="E23" s="313">
        <f t="shared" si="0"/>
        <v>0</v>
      </c>
    </row>
    <row r="24" spans="1:5" ht="12.75">
      <c r="A24" s="67" t="s">
        <v>451</v>
      </c>
      <c r="B24" t="s">
        <v>185</v>
      </c>
      <c r="C24" s="295"/>
      <c r="D24" s="295"/>
      <c r="E24" s="313">
        <f t="shared" si="0"/>
        <v>0</v>
      </c>
    </row>
    <row r="25" spans="1:5" ht="12.75">
      <c r="A25" s="67" t="s">
        <v>123</v>
      </c>
      <c r="B25" t="s">
        <v>185</v>
      </c>
      <c r="C25" s="295"/>
      <c r="D25" s="295"/>
      <c r="E25" s="313">
        <f t="shared" si="0"/>
        <v>0</v>
      </c>
    </row>
    <row r="26" spans="1:5" ht="12.75">
      <c r="A26" s="67" t="s">
        <v>132</v>
      </c>
      <c r="B26" t="s">
        <v>185</v>
      </c>
      <c r="C26" s="295"/>
      <c r="D26" s="295"/>
      <c r="E26" s="313">
        <f t="shared" si="0"/>
        <v>0</v>
      </c>
    </row>
    <row r="27" spans="1:5" ht="12.75">
      <c r="A27" s="67" t="s">
        <v>434</v>
      </c>
      <c r="B27" t="s">
        <v>185</v>
      </c>
      <c r="C27" s="295">
        <v>0</v>
      </c>
      <c r="D27" s="295">
        <v>0</v>
      </c>
      <c r="E27" s="313">
        <f t="shared" si="0"/>
        <v>0</v>
      </c>
    </row>
    <row r="28" spans="1:5" ht="12.75">
      <c r="A28" s="67" t="s">
        <v>386</v>
      </c>
      <c r="B28" t="s">
        <v>185</v>
      </c>
      <c r="C28" s="295"/>
      <c r="D28" s="295"/>
      <c r="E28" s="313">
        <f t="shared" si="0"/>
        <v>0</v>
      </c>
    </row>
    <row r="29" spans="1:5" ht="12.75">
      <c r="A29" s="67" t="s">
        <v>134</v>
      </c>
      <c r="B29" t="s">
        <v>185</v>
      </c>
      <c r="C29" s="295"/>
      <c r="D29" s="295"/>
      <c r="E29" s="313">
        <f t="shared" si="0"/>
        <v>0</v>
      </c>
    </row>
    <row r="30" spans="1:5" ht="12.75">
      <c r="A30" s="67" t="s">
        <v>385</v>
      </c>
      <c r="B30" t="s">
        <v>185</v>
      </c>
      <c r="C30" s="295">
        <v>70177</v>
      </c>
      <c r="D30" s="295"/>
      <c r="E30" s="313">
        <f t="shared" si="0"/>
        <v>70177</v>
      </c>
    </row>
    <row r="31" spans="1:5" ht="12.75">
      <c r="A31" s="67" t="s">
        <v>190</v>
      </c>
      <c r="B31" t="s">
        <v>185</v>
      </c>
      <c r="C31" s="295"/>
      <c r="D31" s="295"/>
      <c r="E31" s="313">
        <f t="shared" si="0"/>
        <v>0</v>
      </c>
    </row>
    <row r="32" spans="1:5" ht="12.75">
      <c r="A32" s="67" t="s">
        <v>429</v>
      </c>
      <c r="B32" t="s">
        <v>185</v>
      </c>
      <c r="C32" s="295">
        <v>3357</v>
      </c>
      <c r="D32" s="295"/>
      <c r="E32" s="313">
        <f t="shared" si="0"/>
        <v>3357</v>
      </c>
    </row>
    <row r="33" spans="1:5" ht="12.75">
      <c r="A33" s="67" t="s">
        <v>430</v>
      </c>
      <c r="B33" t="s">
        <v>185</v>
      </c>
      <c r="C33" s="295"/>
      <c r="D33" s="295"/>
      <c r="E33" s="313">
        <f t="shared" si="0"/>
        <v>0</v>
      </c>
    </row>
    <row r="34" spans="1:5" ht="12.75">
      <c r="A34" s="67" t="s">
        <v>447</v>
      </c>
      <c r="B34" t="s">
        <v>185</v>
      </c>
      <c r="C34" s="295"/>
      <c r="D34" s="295"/>
      <c r="E34" s="313">
        <f t="shared" si="0"/>
        <v>0</v>
      </c>
    </row>
    <row r="35" spans="1:5" ht="12.75">
      <c r="A35" s="81" t="s">
        <v>448</v>
      </c>
      <c r="C35" s="295">
        <v>0</v>
      </c>
      <c r="D35" s="295"/>
      <c r="E35" s="313">
        <f t="shared" si="0"/>
        <v>0</v>
      </c>
    </row>
    <row r="36" spans="1:5" ht="12.75">
      <c r="A36" s="67" t="s">
        <v>431</v>
      </c>
      <c r="C36" s="295"/>
      <c r="D36" s="295"/>
      <c r="E36" s="313">
        <f t="shared" si="0"/>
        <v>0</v>
      </c>
    </row>
    <row r="37" spans="1:5" ht="12.75">
      <c r="A37" s="67" t="s">
        <v>432</v>
      </c>
      <c r="C37" s="295"/>
      <c r="D37" s="295"/>
      <c r="E37" s="313">
        <f t="shared" si="0"/>
        <v>0</v>
      </c>
    </row>
    <row r="38" spans="1:5" ht="12.75">
      <c r="A38" s="81" t="s">
        <v>389</v>
      </c>
      <c r="C38" s="295"/>
      <c r="D38" s="295"/>
      <c r="E38" s="313">
        <f t="shared" si="0"/>
        <v>0</v>
      </c>
    </row>
    <row r="39" spans="2:5" ht="12.75">
      <c r="B39" t="s">
        <v>185</v>
      </c>
      <c r="C39" s="295"/>
      <c r="D39" s="295"/>
      <c r="E39" s="313">
        <f t="shared" si="0"/>
        <v>0</v>
      </c>
    </row>
    <row r="40" spans="1:5" ht="12.75">
      <c r="A40" s="81" t="s">
        <v>383</v>
      </c>
      <c r="B40" t="s">
        <v>185</v>
      </c>
      <c r="C40" s="295">
        <v>96659</v>
      </c>
      <c r="D40" s="295"/>
      <c r="E40" s="313">
        <f t="shared" si="0"/>
        <v>96659</v>
      </c>
    </row>
    <row r="41" spans="1:5" ht="12.75">
      <c r="A41" s="67" t="s">
        <v>454</v>
      </c>
      <c r="B41" t="s">
        <v>185</v>
      </c>
      <c r="C41" s="295"/>
      <c r="D41" s="295"/>
      <c r="E41" s="313">
        <f t="shared" si="0"/>
        <v>0</v>
      </c>
    </row>
    <row r="42" spans="2:5" ht="12.75">
      <c r="B42" t="s">
        <v>185</v>
      </c>
      <c r="C42" s="295"/>
      <c r="D42" s="295"/>
      <c r="E42" s="313">
        <f t="shared" si="0"/>
        <v>0</v>
      </c>
    </row>
    <row r="43" spans="1:5" ht="12.75">
      <c r="A43" s="68" t="s">
        <v>202</v>
      </c>
      <c r="B43" t="s">
        <v>185</v>
      </c>
      <c r="C43" s="295"/>
      <c r="D43" s="295"/>
      <c r="E43" s="313">
        <f t="shared" si="0"/>
        <v>0</v>
      </c>
    </row>
    <row r="44" spans="1:5" ht="12.75">
      <c r="A44" s="493" t="s">
        <v>495</v>
      </c>
      <c r="B44" t="s">
        <v>185</v>
      </c>
      <c r="C44" s="294">
        <v>22834</v>
      </c>
      <c r="D44" s="294"/>
      <c r="E44" s="251">
        <f t="shared" si="0"/>
        <v>22834</v>
      </c>
    </row>
    <row r="45" spans="2:5" ht="12.75">
      <c r="B45" t="s">
        <v>185</v>
      </c>
      <c r="C45" s="294"/>
      <c r="D45" s="294"/>
      <c r="E45" s="251">
        <f t="shared" si="0"/>
        <v>0</v>
      </c>
    </row>
    <row r="46" spans="1:5" ht="12.75">
      <c r="A46" s="67"/>
      <c r="B46" t="s">
        <v>185</v>
      </c>
      <c r="C46" s="294"/>
      <c r="D46" s="294"/>
      <c r="E46" s="279"/>
    </row>
    <row r="47" spans="1:5" ht="12.75">
      <c r="A47" s="450" t="s">
        <v>393</v>
      </c>
      <c r="B47" t="s">
        <v>187</v>
      </c>
      <c r="C47" s="251">
        <f>SUM(C19:C46)</f>
        <v>193027</v>
      </c>
      <c r="D47" s="251">
        <f>SUM(D19:D46)</f>
        <v>0</v>
      </c>
      <c r="E47" s="251">
        <f>SUM(E19:E46)</f>
        <v>193027</v>
      </c>
    </row>
    <row r="48" ht="12.75">
      <c r="A48" s="67"/>
    </row>
    <row r="49" ht="12.75">
      <c r="A49" s="81" t="s">
        <v>143</v>
      </c>
    </row>
    <row r="51" spans="1:5" ht="12.75">
      <c r="A51" s="71" t="s">
        <v>384</v>
      </c>
      <c r="B51" s="8" t="s">
        <v>186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450</v>
      </c>
      <c r="B52" s="8" t="s">
        <v>186</v>
      </c>
      <c r="C52" s="294"/>
      <c r="D52" s="294"/>
      <c r="E52" s="251">
        <f t="shared" si="1"/>
        <v>0</v>
      </c>
    </row>
    <row r="53" spans="1:5" ht="12.75">
      <c r="A53" t="s">
        <v>385</v>
      </c>
      <c r="B53" s="8" t="s">
        <v>186</v>
      </c>
      <c r="C53" s="294"/>
      <c r="D53" s="294"/>
      <c r="E53" s="251">
        <f t="shared" si="1"/>
        <v>0</v>
      </c>
    </row>
    <row r="54" spans="1:5" ht="12.75">
      <c r="A54" t="s">
        <v>433</v>
      </c>
      <c r="B54" s="8" t="s">
        <v>186</v>
      </c>
      <c r="C54" s="294">
        <v>34216</v>
      </c>
      <c r="D54" s="294"/>
      <c r="E54" s="251">
        <f t="shared" si="1"/>
        <v>34216</v>
      </c>
    </row>
    <row r="55" spans="1:5" ht="12.75">
      <c r="A55" s="67" t="s">
        <v>441</v>
      </c>
      <c r="B55" s="8" t="s">
        <v>186</v>
      </c>
      <c r="C55" s="294"/>
      <c r="D55" s="294"/>
      <c r="E55" s="251">
        <f t="shared" si="1"/>
        <v>0</v>
      </c>
    </row>
    <row r="56" spans="1:5" ht="12.75">
      <c r="A56" s="67" t="s">
        <v>453</v>
      </c>
      <c r="B56" s="8" t="s">
        <v>186</v>
      </c>
      <c r="C56" s="294"/>
      <c r="D56" s="294"/>
      <c r="E56" s="251">
        <f t="shared" si="1"/>
        <v>0</v>
      </c>
    </row>
    <row r="57" spans="1:5" ht="12.75">
      <c r="A57" s="2" t="s">
        <v>449</v>
      </c>
      <c r="B57" s="8" t="s">
        <v>186</v>
      </c>
      <c r="C57" s="294">
        <v>0</v>
      </c>
      <c r="D57" s="294"/>
      <c r="E57" s="251">
        <f t="shared" si="1"/>
        <v>0</v>
      </c>
    </row>
    <row r="58" spans="1:5" ht="12.75">
      <c r="A58" s="67" t="s">
        <v>452</v>
      </c>
      <c r="B58" s="8" t="s">
        <v>186</v>
      </c>
      <c r="C58" s="294"/>
      <c r="D58" s="294"/>
      <c r="E58" s="251">
        <f t="shared" si="1"/>
        <v>0</v>
      </c>
    </row>
    <row r="59" spans="1:5" ht="12.75">
      <c r="A59" s="67"/>
      <c r="B59" s="8" t="s">
        <v>186</v>
      </c>
      <c r="C59" s="294"/>
      <c r="D59" s="294"/>
      <c r="E59" s="251">
        <f t="shared" si="1"/>
        <v>0</v>
      </c>
    </row>
    <row r="60" spans="1:5" ht="12.75">
      <c r="A60" s="469" t="s">
        <v>390</v>
      </c>
      <c r="B60" s="8" t="s">
        <v>186</v>
      </c>
      <c r="C60" s="294">
        <v>22508</v>
      </c>
      <c r="D60" s="294"/>
      <c r="E60" s="251">
        <f t="shared" si="1"/>
        <v>22508</v>
      </c>
    </row>
    <row r="61" spans="2:5" ht="12.75">
      <c r="B61" s="8" t="s">
        <v>186</v>
      </c>
      <c r="C61" s="294"/>
      <c r="D61" s="294"/>
      <c r="E61" s="251">
        <f t="shared" si="1"/>
        <v>0</v>
      </c>
    </row>
    <row r="62" spans="1:5" ht="12.75">
      <c r="A62" s="469" t="s">
        <v>383</v>
      </c>
      <c r="B62" s="8" t="s">
        <v>186</v>
      </c>
      <c r="C62" s="294">
        <v>114137</v>
      </c>
      <c r="D62" s="294"/>
      <c r="E62" s="251">
        <f aca="true" t="shared" si="2" ref="E62:E72">C62-D62</f>
        <v>114137</v>
      </c>
    </row>
    <row r="63" spans="2:5" ht="12.75">
      <c r="B63" s="8" t="s">
        <v>186</v>
      </c>
      <c r="C63" s="294"/>
      <c r="D63" s="294"/>
      <c r="E63" s="251">
        <f t="shared" si="2"/>
        <v>0</v>
      </c>
    </row>
    <row r="64" spans="1:5" ht="12.75">
      <c r="A64" t="s">
        <v>491</v>
      </c>
      <c r="B64" s="8" t="s">
        <v>186</v>
      </c>
      <c r="C64" s="294">
        <v>0</v>
      </c>
      <c r="D64" s="294"/>
      <c r="E64" s="251">
        <f t="shared" si="2"/>
        <v>0</v>
      </c>
    </row>
    <row r="65" spans="2:5" ht="12.75">
      <c r="B65" s="8" t="s">
        <v>186</v>
      </c>
      <c r="C65" s="294"/>
      <c r="D65" s="294"/>
      <c r="E65" s="251">
        <f t="shared" si="2"/>
        <v>0</v>
      </c>
    </row>
    <row r="66" spans="2:5" ht="12.75">
      <c r="B66" s="8" t="s">
        <v>186</v>
      </c>
      <c r="C66" s="294"/>
      <c r="D66" s="294"/>
      <c r="E66" s="251">
        <f t="shared" si="2"/>
        <v>0</v>
      </c>
    </row>
    <row r="67" spans="1:5" ht="12.75">
      <c r="A67" s="67"/>
      <c r="B67" s="8" t="s">
        <v>186</v>
      </c>
      <c r="C67" s="294"/>
      <c r="D67" s="294"/>
      <c r="E67" s="251">
        <f t="shared" si="2"/>
        <v>0</v>
      </c>
    </row>
    <row r="68" spans="1:5" ht="12.75">
      <c r="A68" s="68" t="s">
        <v>203</v>
      </c>
      <c r="B68" s="8" t="s">
        <v>186</v>
      </c>
      <c r="C68" s="294"/>
      <c r="D68" s="294"/>
      <c r="E68" s="251">
        <f t="shared" si="2"/>
        <v>0</v>
      </c>
    </row>
    <row r="69" spans="1:5" ht="12.75">
      <c r="A69" s="497" t="s">
        <v>497</v>
      </c>
      <c r="B69" s="8" t="s">
        <v>186</v>
      </c>
      <c r="C69" s="294"/>
      <c r="D69" s="294"/>
      <c r="E69" s="251">
        <f t="shared" si="2"/>
        <v>0</v>
      </c>
    </row>
    <row r="70" spans="1:5" ht="12.75">
      <c r="A70" s="497" t="s">
        <v>509</v>
      </c>
      <c r="B70" s="8" t="s">
        <v>186</v>
      </c>
      <c r="C70" s="294">
        <v>999</v>
      </c>
      <c r="D70" s="294"/>
      <c r="E70" s="251">
        <f t="shared" si="2"/>
        <v>999</v>
      </c>
    </row>
    <row r="71" spans="1:5" ht="12.75">
      <c r="A71" s="67"/>
      <c r="B71" s="8" t="s">
        <v>186</v>
      </c>
      <c r="C71" s="294"/>
      <c r="D71" s="294"/>
      <c r="E71" s="251">
        <f t="shared" si="2"/>
        <v>0</v>
      </c>
    </row>
    <row r="72" spans="1:5" ht="12.75">
      <c r="A72" s="67"/>
      <c r="B72" s="8" t="s">
        <v>186</v>
      </c>
      <c r="C72" s="294"/>
      <c r="D72" s="294"/>
      <c r="E72" s="279">
        <f t="shared" si="2"/>
        <v>0</v>
      </c>
    </row>
    <row r="73" spans="1:5" ht="12.75">
      <c r="A73" s="449" t="s">
        <v>392</v>
      </c>
      <c r="B73" s="8" t="s">
        <v>187</v>
      </c>
      <c r="C73" s="251">
        <f>SUM(C51:C72)</f>
        <v>171860</v>
      </c>
      <c r="D73" s="251">
        <f>SUM(D51:D72)</f>
        <v>0</v>
      </c>
      <c r="E73" s="251">
        <f>SUM(E51:E72)</f>
        <v>171860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69" r:id="rId1"/>
  <headerFooter alignWithMargins="0">
    <oddHeader>&amp;C&amp;A</oddHead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EB-2008-381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105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305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Centre Wellington Hydro Ltd.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335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9" t="s">
        <v>474</v>
      </c>
      <c r="B8" s="520"/>
      <c r="C8" s="520"/>
      <c r="D8" s="520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110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465</v>
      </c>
      <c r="B10" s="327"/>
      <c r="C10" s="376" t="s">
        <v>109</v>
      </c>
      <c r="D10" s="376"/>
      <c r="E10" s="376" t="s">
        <v>109</v>
      </c>
      <c r="F10" s="377" t="s">
        <v>475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114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106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298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297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302</v>
      </c>
      <c r="B15" s="245"/>
      <c r="C15" s="330">
        <v>0.055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258</v>
      </c>
      <c r="B16" s="245"/>
      <c r="C16" s="332">
        <f>SUM(C14:C15)</f>
        <v>0.1862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107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108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111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5" t="s">
        <v>330</v>
      </c>
      <c r="B21" s="407" t="s">
        <v>467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5" t="s">
        <v>331</v>
      </c>
      <c r="B22" s="408" t="s">
        <v>468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3" t="s">
        <v>489</v>
      </c>
      <c r="B23" s="514"/>
      <c r="C23" s="514"/>
      <c r="D23" s="514"/>
      <c r="E23" s="514"/>
      <c r="F23" s="514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336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9" t="s">
        <v>485</v>
      </c>
      <c r="B26" s="520"/>
      <c r="C26" s="520"/>
      <c r="D26" s="520"/>
      <c r="E26" s="520"/>
      <c r="F26" s="520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110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437</v>
      </c>
      <c r="B28" s="327"/>
      <c r="C28" s="370" t="s">
        <v>109</v>
      </c>
      <c r="D28" s="370" t="s">
        <v>109</v>
      </c>
      <c r="E28" s="370" t="s">
        <v>109</v>
      </c>
      <c r="F28" s="371" t="s">
        <v>488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114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106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113</v>
      </c>
      <c r="B31" s="410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297</v>
      </c>
      <c r="B32" s="410">
        <v>2004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2004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258</v>
      </c>
      <c r="B34" s="410">
        <v>2004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107</v>
      </c>
      <c r="B36" s="410">
        <v>2004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108</v>
      </c>
      <c r="B37" s="410">
        <v>2004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111</v>
      </c>
      <c r="B38" s="410">
        <v>2004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5" t="s">
        <v>486</v>
      </c>
      <c r="B39" s="407" t="s">
        <v>467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5" t="s">
        <v>487</v>
      </c>
      <c r="B40" s="408" t="s">
        <v>484</v>
      </c>
      <c r="C40" s="363">
        <v>50000000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5" t="s">
        <v>333</v>
      </c>
      <c r="B41" s="514"/>
      <c r="C41" s="514"/>
      <c r="D41" s="514"/>
      <c r="E41" s="514"/>
      <c r="F41" s="514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6"/>
      <c r="B42" s="516"/>
      <c r="C42" s="516"/>
      <c r="D42" s="516"/>
      <c r="E42" s="516"/>
      <c r="F42" s="516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337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483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110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109</v>
      </c>
      <c r="D46" s="370" t="s">
        <v>109</v>
      </c>
      <c r="E46" s="370" t="s">
        <v>109</v>
      </c>
      <c r="F46" s="371" t="s">
        <v>488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114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106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113</v>
      </c>
      <c r="B49" s="410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297</v>
      </c>
      <c r="B50" s="245"/>
      <c r="C50" s="352"/>
      <c r="D50" s="352">
        <f>TAXREC!C149</f>
        <v>0.1889470655118685</v>
      </c>
      <c r="E50" s="353"/>
      <c r="F50" s="353"/>
      <c r="G50" s="194"/>
      <c r="H50" s="491"/>
      <c r="I50" s="491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/>
      <c r="D51" s="354">
        <f>TAXREC!C150</f>
        <v>0.04984629205912492</v>
      </c>
      <c r="E51" s="355"/>
      <c r="F51" s="355"/>
      <c r="G51" s="194"/>
      <c r="H51" s="491"/>
      <c r="I51" s="491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258</v>
      </c>
      <c r="B52" s="245"/>
      <c r="C52" s="332">
        <f>SUM(C50:C51)</f>
        <v>0</v>
      </c>
      <c r="D52" s="332">
        <f>SUM(D50:D51)</f>
        <v>0.2387933575709934</v>
      </c>
      <c r="E52" s="333">
        <f>SUM(E50:E51)</f>
        <v>0</v>
      </c>
      <c r="F52" s="333">
        <f>SUM(F50:F51)</f>
        <v>0</v>
      </c>
      <c r="G52" s="194"/>
      <c r="H52" s="491"/>
      <c r="I52" s="491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107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108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111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5" t="s">
        <v>347</v>
      </c>
      <c r="B57" s="407" t="s">
        <v>467</v>
      </c>
      <c r="C57" s="362">
        <v>5000000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5" t="s">
        <v>348</v>
      </c>
      <c r="B58" s="408" t="s">
        <v>484</v>
      </c>
      <c r="C58" s="363">
        <v>50000000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3" t="s">
        <v>349</v>
      </c>
      <c r="B59" s="517"/>
      <c r="C59" s="517"/>
      <c r="D59" s="517"/>
      <c r="E59" s="517"/>
      <c r="F59" s="517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8"/>
      <c r="B60" s="518"/>
      <c r="C60" s="518"/>
      <c r="D60" s="518"/>
      <c r="E60" s="518"/>
      <c r="F60" s="518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74" r:id="rId1"/>
  <headerFooter alignWithMargins="0">
    <oddHeader>&amp;C&amp;A</oddHead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1">
      <selection activeCell="A12" sqref="A1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455</v>
      </c>
      <c r="B2" s="2"/>
    </row>
    <row r="3" spans="1:15" ht="12.75">
      <c r="A3" s="2" t="str">
        <f>REGINFO!A3</f>
        <v>Utility Name: Centre Wellington Hydro Ltd.</v>
      </c>
      <c r="O3" s="417" t="str">
        <f>REGINFO!E1</f>
        <v>Version 2009.1</v>
      </c>
    </row>
    <row r="4" spans="1:15" ht="12.75">
      <c r="A4" s="2" t="str">
        <f>REGINFO!A4</f>
        <v>Reporting period:  2004</v>
      </c>
      <c r="E4" s="418" t="s">
        <v>319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93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94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102</v>
      </c>
    </row>
    <row r="10" spans="1:8" ht="12.75">
      <c r="A10" s="2"/>
      <c r="F10" s="34"/>
      <c r="H10" s="34"/>
    </row>
    <row r="11" spans="1:15" ht="20.25" customHeight="1">
      <c r="A11" s="81" t="s">
        <v>103</v>
      </c>
      <c r="B11" s="8" t="s">
        <v>187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394</v>
      </c>
      <c r="B12" s="66" t="s">
        <v>188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436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6.25">
      <c r="A14" s="81" t="s">
        <v>395</v>
      </c>
      <c r="B14" s="66" t="s">
        <v>188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396</v>
      </c>
      <c r="B15" s="66" t="s">
        <v>188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-16826.081207414827</v>
      </c>
      <c r="N15" s="392"/>
      <c r="O15" s="397">
        <f t="shared" si="0"/>
        <v>-16826.081207414827</v>
      </c>
    </row>
    <row r="16" spans="1:15" ht="27" customHeight="1">
      <c r="A16" s="81" t="s">
        <v>397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398</v>
      </c>
      <c r="B17" s="66" t="s">
        <v>188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-80230.47517097245</v>
      </c>
      <c r="N17" s="392"/>
      <c r="O17" s="397">
        <f t="shared" si="0"/>
        <v>-80230.47517097245</v>
      </c>
    </row>
    <row r="18" spans="1:15" ht="26.25">
      <c r="A18" s="81" t="s">
        <v>399</v>
      </c>
      <c r="B18" s="66" t="s">
        <v>188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400</v>
      </c>
      <c r="B19" s="66" t="s">
        <v>188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466</v>
      </c>
      <c r="B20" s="66" t="s">
        <v>186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370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-97056.55637838728</v>
      </c>
      <c r="N22" s="391"/>
      <c r="O22" s="451">
        <f>SUM(O11:O20)</f>
        <v>-97056.55637838728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 t="s">
        <v>401</v>
      </c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402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403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2" t="s">
        <v>404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22" t="s">
        <v>405</v>
      </c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421"/>
      <c r="Q33" s="421"/>
      <c r="R33" s="421"/>
      <c r="S33" s="421"/>
    </row>
    <row r="34" spans="1:19" ht="12.75">
      <c r="A34" s="521" t="s">
        <v>406</v>
      </c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421"/>
      <c r="Q34" s="421"/>
      <c r="R34" s="421"/>
      <c r="S34" s="421"/>
    </row>
    <row r="35" spans="1:19" ht="12.75">
      <c r="A35" s="521" t="s">
        <v>427</v>
      </c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421"/>
      <c r="Q35" s="421"/>
      <c r="R35" s="421"/>
      <c r="S35" s="421"/>
    </row>
    <row r="36" spans="1:19" ht="12.75">
      <c r="A36" s="521" t="s">
        <v>407</v>
      </c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421"/>
      <c r="Q36" s="421"/>
      <c r="R36" s="421"/>
      <c r="S36" s="421"/>
    </row>
    <row r="37" spans="1:19" ht="12.75">
      <c r="A37" s="438" t="s">
        <v>367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368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408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409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410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411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412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413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414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415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416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413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417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418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419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420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421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377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422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423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379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378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380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424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425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426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21" t="s">
        <v>456</v>
      </c>
      <c r="B74" s="521"/>
      <c r="C74" s="521"/>
      <c r="D74" s="521"/>
      <c r="E74" s="521"/>
      <c r="F74" s="521"/>
      <c r="G74" s="521"/>
      <c r="H74" s="521"/>
      <c r="I74" s="521"/>
      <c r="J74" s="521"/>
      <c r="K74" s="521"/>
      <c r="L74" s="521"/>
      <c r="M74" s="521"/>
      <c r="N74" s="521"/>
      <c r="O74" s="521"/>
    </row>
    <row r="75" spans="1:15" ht="12.75">
      <c r="A75" s="435" t="s">
        <v>369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21"/>
      <c r="D92" s="521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100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100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100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69" r:id="rId1"/>
  <headerFooter alignWithMargins="0">
    <oddHeader>&amp;C&amp;A</oddHead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Florence Thiessen</cp:lastModifiedBy>
  <cp:lastPrinted>2011-08-03T17:06:50Z</cp:lastPrinted>
  <dcterms:created xsi:type="dcterms:W3CDTF">2001-11-07T16:15:53Z</dcterms:created>
  <dcterms:modified xsi:type="dcterms:W3CDTF">2012-06-18T18:41:28Z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