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120" windowWidth="14256" windowHeight="7416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<sst xmlns="http://schemas.openxmlformats.org/spreadsheetml/2006/main" count="893" uniqueCount="520">
  <si>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</si>
  <si>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</si>
  <si>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</si>
  <si>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</si>
  <si>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</si>
  <si>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</si>
  <si>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</si>
  <si>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</si>
  <si>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</si>
  <si>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</si>
  <si>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</si>
  <si>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</si>
  <si>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</si>
  <si>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</si>
  <si>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</si>
  <si>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</si>
  <si>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</si>
  <si>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</si>
  <si>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</si>
  <si>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</si>
  <si>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</si>
  <si>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</si>
  <si>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</si>
  <si>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</si>
  <si>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</si>
  <si>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</si>
  <si>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</si>
  <si>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</si>
  <si>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</si>
  <si>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</si>
  <si>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</si>
  <si>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</si>
  <si>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</si>
  <si>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</si>
  <si>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</si>
  <si>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</si>
  <si>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</si>
  <si>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</si>
  <si>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</si>
  <si>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</si>
  <si>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</si>
  <si>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</si>
  <si>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</si>
  <si>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</si>
  <si>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</si>
  <si>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</si>
  <si>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</si>
  <si>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</si>
  <si>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</si>
  <si>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</si>
  <si>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</si>
  <si>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</si>
  <si>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</si>
  <si>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</si>
  <si>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</si>
  <si>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</si>
  <si>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</si>
  <si>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</si>
  <si>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</si>
  <si>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</si>
  <si>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</si>
  <si>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</si>
  <si>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</si>
  <si>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</si>
  <si>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</si>
  <si>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</si>
  <si>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</si>
  <si>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</si>
  <si>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</si>
  <si>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</si>
  <si>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</si>
  <si>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</si>
  <si>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</si>
  <si>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</si>
  <si>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</si>
  <si>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</si>
  <si>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</si>
  <si>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</si>
  <si>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</si>
  <si>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</si>
  <si>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</si>
  <si>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</si>
  <si>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</si>
  <si>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</si>
  <si>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</si>
  <si>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</si>
  <si>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</si>
  <si>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</si>
  <si>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</si>
  <si>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</si>
  <si>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</si>
  <si>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</si>
  <si>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</si>
  <si>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</si>
  <si>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</si>
  <si>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</si>
  <si>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</si>
  <si>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</si>
  <si>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</si>
  <si>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</si>
  <si>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</si>
  <si>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</si>
  <si>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</si>
  <si>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</si>
  <si>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</si>
  <si>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</si>
  <si>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</si>
  <si>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</si>
  <si>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</si>
  <si>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</si>
  <si>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</si>
  <si>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</si>
  <si>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</si>
  <si>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</si>
  <si>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</si>
  <si>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</si>
  <si>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</si>
  <si>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</si>
  <si>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</si>
  <si>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</si>
  <si>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</si>
  <si>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</si>
  <si>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</si>
  <si>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</si>
  <si>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</si>
  <si>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</si>
  <si>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</si>
  <si>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</si>
  <si>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</si>
  <si>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</si>
  <si>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</si>
  <si>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</si>
  <si>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</si>
  <si>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</si>
  <si>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</si>
  <si>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</si>
  <si>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</si>
  <si>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</si>
  <si>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</si>
  <si>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</si>
  <si>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</si>
  <si>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</si>
  <si>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</si>
  <si>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</si>
  <si>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</si>
  <si>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</si>
  <si>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</si>
  <si>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</si>
  <si>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</si>
  <si>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</si>
  <si>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</si>
  <si>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</si>
  <si>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</si>
  <si>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</si>
  <si>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</si>
  <si>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</si>
  <si>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</si>
  <si>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</si>
  <si>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</si>
  <si>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</si>
  <si>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</si>
  <si>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</si>
  <si>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</si>
  <si>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</si>
  <si>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</si>
  <si>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</si>
  <si>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</si>
  <si>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</si>
  <si>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</si>
  <si>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</si>
  <si>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</si>
  <si>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</si>
  <si>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</si>
  <si>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</si>
  <si>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</si>
  <si>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</si>
  <si>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</si>
  <si>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</si>
  <si>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</si>
  <si>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</si>
  <si>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</si>
  <si>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</si>
  <si>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</si>
  <si>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</si>
  <si>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</si>
  <si>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</si>
  <si>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</si>
  <si>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</si>
  <si>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</si>
  <si>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</si>
  <si>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</si>
  <si>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</si>
  <si>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</si>
  <si>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</si>
  <si>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</si>
  <si>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</si>
  <si>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</si>
  <si>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</si>
  <si>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</si>
  <si>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</si>
  <si>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</si>
  <si>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</si>
  <si>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</si>
  <si>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</si>
  <si>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</si>
  <si>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</si>
  <si>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</si>
  <si>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</si>
  <si>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</si>
  <si>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</si>
  <si>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</si>
  <si>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</si>
  <si>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</si>
  <si>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</si>
  <si>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</si>
  <si>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</si>
  <si>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</si>
  <si>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</si>
  <si>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</si>
  <si>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</si>
  <si>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</si>
  <si>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</si>
  <si>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</si>
  <si>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</si>
  <si>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</si>
  <si>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</si>
  <si>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</si>
  <si>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</si>
  <si>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</si>
  <si>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</si>
  <si>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</si>
  <si>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</si>
  <si>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</si>
  <si>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</si>
  <si>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</si>
  <si>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</si>
  <si>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</si>
  <si>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</si>
  <si>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</si>
  <si>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</si>
  <si>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</si>
  <si>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</si>
  <si>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</si>
  <si>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</si>
  <si>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</si>
  <si>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</si>
  <si>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</si>
  <si>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</si>
  <si>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</si>
  <si>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</si>
  <si>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</si>
  <si>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</si>
  <si>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</si>
  <si>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</si>
  <si>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</si>
  <si>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</si>
  <si>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</si>
  <si>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</si>
  <si>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</si>
  <si>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</si>
  <si>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</si>
  <si>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</si>
  <si>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</si>
  <si>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</si>
  <si>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</si>
  <si>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</si>
  <si>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</si>
  <si>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</si>
  <si>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</si>
  <si>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</si>
  <si>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</si>
  <si>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</si>
  <si>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</si>
  <si>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</si>
  <si>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</si>
  <si>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</si>
  <si>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</si>
  <si>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</si>
  <si>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</si>
  <si>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</si>
  <si>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</si>
  <si>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</si>
  <si>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</si>
  <si>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</si>
  <si>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</si>
  <si>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</si>
  <si>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</si>
  <si>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</si>
  <si>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</si>
  <si>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</si>
  <si>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</si>
  <si>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</si>
  <si>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</si>
  <si>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</si>
  <si>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</si>
  <si>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</si>
  <si>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</si>
  <si>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</si>
  <si>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</si>
  <si>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</si>
  <si>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</si>
  <si>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</si>
  <si>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</si>
  <si>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</si>
  <si>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</si>
  <si>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</si>
  <si>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</si>
  <si>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</si>
  <si>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</si>
  <si>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</si>
  <si>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</si>
  <si>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</si>
  <si>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</si>
  <si>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</si>
  <si>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</si>
  <si>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</si>
  <si>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</si>
  <si>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</si>
  <si>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</si>
  <si>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</si>
  <si>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</si>
  <si>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</si>
  <si>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</si>
  <si>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</si>
  <si>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</si>
  <si>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</si>
  <si>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</si>
  <si>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</si>
  <si>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</si>
  <si>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</si>
  <si>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</si>
  <si>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</si>
  <si>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</si>
  <si>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</si>
  <si>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</si>
  <si>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</si>
  <si>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</si>
  <si>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</si>
  <si>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</si>
  <si>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</si>
  <si>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</si>
  <si>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</si>
  <si>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</si>
  <si>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</si>
  <si>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</si>
  <si>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</si>
  <si>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</si>
  <si>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</si>
  <si>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</si>
  <si>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</si>
  <si>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</si>
  <si>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</si>
  <si>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</si>
  <si>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</si>
  <si>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</si>
  <si>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</si>
  <si>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</si>
  <si>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</si>
  <si>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</si>
  <si>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</si>
  <si>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</si>
  <si>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</si>
  <si>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</si>
  <si>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</si>
  <si>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</si>
  <si>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</si>
  <si>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</si>
  <si>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</si>
  <si>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</si>
  <si>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</si>
  <si>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</si>
  <si>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</si>
  <si>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</si>
  <si>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</si>
  <si>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</si>
  <si>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</si>
  <si>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</si>
  <si>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</si>
  <si>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</si>
  <si>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</si>
  <si>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</si>
  <si>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</si>
  <si>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</si>
  <si>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</si>
  <si>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</si>
  <si>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</si>
  <si>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</si>
  <si>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</si>
  <si>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</si>
  <si>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</si>
  <si>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</si>
  <si>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</si>
  <si>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</si>
  <si>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</si>
  <si>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</si>
  <si>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</si>
  <si>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</si>
  <si>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</si>
  <si>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</si>
  <si>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</si>
  <si>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</si>
  <si>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</si>
  <si>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</si>
  <si>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</si>
  <si>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</si>
  <si>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</si>
  <si>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</si>
  <si>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</si>
  <si>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</si>
  <si>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</si>
  <si>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</si>
  <si>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</si>
  <si>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</si>
  <si>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</si>
  <si>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</si>
  <si>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</si>
  <si>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</si>
  <si>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</si>
  <si>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</si>
  <si>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</si>
  <si>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</si>
  <si>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</si>
  <si>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</si>
  <si>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</si>
  <si>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</si>
  <si>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</si>
  <si>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</si>
  <si>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</si>
  <si>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</si>
  <si>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</si>
  <si>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</si>
  <si>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</si>
  <si>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</si>
  <si>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</si>
  <si>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</si>
  <si>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</si>
  <si>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</si>
  <si>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</si>
  <si>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</si>
  <si>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</si>
  <si>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</si>
  <si>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</si>
  <si>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</si>
  <si>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</si>
  <si>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</si>
  <si>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</si>
  <si>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</si>
  <si>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</si>
  <si>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</si>
  <si>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</si>
  <si>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</si>
  <si>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</si>
  <si>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</si>
  <si>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</si>
  <si>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</si>
  <si>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</si>
  <si>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</si>
  <si>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</si>
  <si>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</si>
  <si>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</si>
  <si>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</si>
  <si>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</si>
  <si>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</si>
  <si>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</si>
  <si>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</si>
  <si>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</si>
  <si>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</si>
  <si>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</si>
  <si>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</si>
  <si>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&gt;700,000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</si>
  <si>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</si>
  <si>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</si>
  <si>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</si>
  <si>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</si>
  <si>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</si>
  <si>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</si>
  <si>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</si>
  <si>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</si>
  <si>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</si>
  <si>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</si>
  <si>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</si>
  <si>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</si>
  <si>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</si>
  <si>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</si>
  <si>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</si>
  <si>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</si>
  <si>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</si>
  <si>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</si>
  <si>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</si>
  <si>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</si>
  <si>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</si>
  <si>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>Bad debts - pre-October 1, 2001 Denied</t>
  </si>
  <si>
    <t>Reassessment</t>
  </si>
  <si>
    <t>Statement of Adjustments</t>
  </si>
  <si>
    <t>Utility Name: Centre Wellington Hydro Ltd.</t>
  </si>
  <si>
    <t>Y</t>
  </si>
  <si>
    <t>N</t>
  </si>
  <si>
    <t>This could be wrong</t>
  </si>
  <si>
    <t>Account 6225</t>
  </si>
  <si>
    <t>Account 6205</t>
  </si>
  <si>
    <t>Rate Base-Estimated</t>
  </si>
  <si>
    <t>Check this amount</t>
  </si>
  <si>
    <t>Deferred and Prepaid Expenses</t>
  </si>
  <si>
    <t>Income for tax purposes not recorded for book purposes</t>
  </si>
  <si>
    <t>Loss on disposals</t>
  </si>
  <si>
    <t>Capital taxes included in tax provision:Deducted from Tax Provision (Line 101)</t>
  </si>
  <si>
    <t>Deemed Interest</t>
  </si>
  <si>
    <t>Net Taxable income per sheet</t>
  </si>
  <si>
    <t xml:space="preserve">  Taxable income before Unrealized Income</t>
  </si>
  <si>
    <t>Less:Small Business Deduction</t>
  </si>
  <si>
    <t>Revised Net Taxable income</t>
  </si>
  <si>
    <t>Unrealized revenue - Non capital loss (Sch 4 tax return)</t>
  </si>
  <si>
    <t>Add back donations</t>
  </si>
  <si>
    <t>Add back Dividends</t>
  </si>
  <si>
    <t>Change in Settlement Variance</t>
  </si>
  <si>
    <t>Add back Unrealized income (Loss carried forward)</t>
  </si>
  <si>
    <t>Taxable dividends deductible under section 112 or 113</t>
  </si>
  <si>
    <t>Effective Tax Rates</t>
  </si>
  <si>
    <t xml:space="preserve">     Interest on customer deposits</t>
  </si>
  <si>
    <t>TAX CALCULATIONS (TAXCALC)    Scenario A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</si>
</sst>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0.000000000000000%"/>
  </numFmts>
  <fonts count="6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0"/>
      <color indexed="30"/>
      <name val="Arial"/>
      <family val="2"/>
    </font>
    <font>
      <sz val="10"/>
      <color indexed="30"/>
      <name val="Arial"/>
      <family val="2"/>
    </font>
    <font>
      <i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i/>
      <sz val="10"/>
      <color rgb="FF0070C0"/>
      <name val="Arial"/>
      <family val="2"/>
    </font>
    <font>
      <sz val="10"/>
      <color rgb="FF0070C0"/>
      <name val="Arial"/>
      <family val="2"/>
    </font>
    <font>
      <i/>
      <sz val="9"/>
      <color rgb="FF0070C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8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4" applyNumberFormat="0" applyFill="0" applyAlignment="0" applyProtection="0"/>
    <xf numFmtId="0" fontId="56" fillId="31" borderId="0" applyNumberFormat="0" applyBorder="0" applyAlignment="0" applyProtection="0"/>
    <xf numFmtId="0" fontId="46" fillId="0" borderId="0">
      <alignment/>
      <protection/>
    </xf>
    <xf numFmtId="0" fontId="0" fillId="32" borderId="5" applyNumberFormat="0" applyFont="0" applyAlignment="0" applyProtection="0"/>
    <xf numFmtId="0" fontId="57" fillId="27" borderId="6" applyNumberFormat="0" applyAlignment="0" applyProtection="0"/>
    <xf numFmtId="1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9" fillId="0" borderId="0" applyNumberFormat="0" applyFill="0" applyBorder="0" applyAlignment="0" applyProtection="0"/>
  </cellStyleXfs>
  <cellXfs count="529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41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41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1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1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8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78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4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1" borderId="0" xfId="0" applyNumberFormat="1" applyFill="1" applyAlignment="1" applyProtection="1">
      <alignment/>
      <protection/>
    </xf>
    <xf numFmtId="3" fontId="0" fillId="41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1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1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1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" fontId="0" fillId="44" borderId="14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4" applyFont="1" applyFill="1" applyBorder="1" applyAlignment="1" applyProtection="1">
      <alignment vertical="top"/>
      <protection locked="0"/>
    </xf>
    <xf numFmtId="178" fontId="0" fillId="0" borderId="0" xfId="64" applyNumberFormat="1" applyFont="1" applyAlignment="1" applyProtection="1">
      <alignment vertical="top"/>
      <protection locked="0"/>
    </xf>
    <xf numFmtId="0" fontId="0" fillId="41" borderId="17" xfId="0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3" fontId="0" fillId="40" borderId="0" xfId="0" applyNumberFormat="1" applyFont="1" applyFill="1" applyBorder="1" applyAlignment="1" applyProtection="1">
      <alignment vertical="top"/>
      <protection locked="0"/>
    </xf>
    <xf numFmtId="3" fontId="0" fillId="0" borderId="0" xfId="0" applyNumberFormat="1" applyFont="1" applyAlignment="1">
      <alignment vertical="top"/>
    </xf>
    <xf numFmtId="0" fontId="0" fillId="0" borderId="0" xfId="0" applyFont="1" applyBorder="1" applyAlignment="1">
      <alignment vertical="top"/>
    </xf>
    <xf numFmtId="0" fontId="0" fillId="41" borderId="0" xfId="0" applyFont="1" applyFill="1" applyAlignment="1">
      <alignment horizontal="center" vertical="top"/>
    </xf>
    <xf numFmtId="0" fontId="60" fillId="0" borderId="0" xfId="0" applyFont="1" applyAlignment="1">
      <alignment vertical="top" wrapText="1"/>
    </xf>
    <xf numFmtId="0" fontId="61" fillId="0" borderId="0" xfId="0" applyFont="1" applyFill="1" applyBorder="1" applyAlignment="1">
      <alignment vertical="top"/>
    </xf>
    <xf numFmtId="3" fontId="0" fillId="42" borderId="17" xfId="0" applyNumberFormat="1" applyFill="1" applyBorder="1" applyAlignment="1" applyProtection="1">
      <alignment horizontal="center" vertical="top"/>
      <protection locked="0"/>
    </xf>
    <xf numFmtId="0" fontId="62" fillId="0" borderId="0" xfId="0" applyFont="1" applyBorder="1" applyAlignment="1">
      <alignment vertical="top" wrapText="1"/>
    </xf>
    <xf numFmtId="10" fontId="0" fillId="36" borderId="14" xfId="64" applyFont="1" applyFill="1" applyBorder="1" applyAlignment="1" applyProtection="1" quotePrefix="1">
      <alignment horizontal="right"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37" fontId="0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3" fontId="0" fillId="0" borderId="58" xfId="0" applyNumberFormat="1" applyFill="1" applyBorder="1" applyAlignment="1">
      <alignment vertical="top"/>
    </xf>
    <xf numFmtId="3" fontId="0" fillId="0" borderId="56" xfId="0" applyNumberForma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61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10" fontId="0" fillId="0" borderId="0" xfId="0" applyNumberFormat="1" applyFont="1" applyFill="1" applyBorder="1" applyAlignment="1">
      <alignment horizontal="left" vertical="top"/>
    </xf>
    <xf numFmtId="10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zoomScalePageLayoutView="0" workbookViewId="0" topLeftCell="A1">
      <selection activeCell="J47" sqref="J47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459</v>
      </c>
      <c r="C1" s="8"/>
      <c r="E1" s="2" t="s">
        <v>460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494</v>
      </c>
      <c r="C3" s="8"/>
      <c r="D3" s="455" t="s">
        <v>445</v>
      </c>
      <c r="E3" s="8"/>
      <c r="F3" s="8"/>
      <c r="G3" s="8"/>
      <c r="H3" s="8"/>
    </row>
    <row r="4" spans="1:8" ht="12.75">
      <c r="A4" s="2" t="s">
        <v>476</v>
      </c>
      <c r="C4" s="8"/>
      <c r="D4" s="454" t="s">
        <v>440</v>
      </c>
      <c r="E4" s="428"/>
      <c r="H4" s="8"/>
    </row>
    <row r="5" spans="1:8" ht="12.75">
      <c r="A5" s="52"/>
      <c r="C5" s="8"/>
      <c r="D5" s="453" t="s">
        <v>441</v>
      </c>
      <c r="E5" s="398"/>
      <c r="H5" s="8"/>
    </row>
    <row r="6" spans="1:8" ht="12.75">
      <c r="A6" s="2" t="s">
        <v>125</v>
      </c>
      <c r="B6" s="388">
        <v>365</v>
      </c>
      <c r="C6" s="8" t="s">
        <v>126</v>
      </c>
      <c r="D6" s="21"/>
      <c r="H6" s="8"/>
    </row>
    <row r="7" spans="1:8" ht="13.5" thickBot="1">
      <c r="A7" s="52" t="s">
        <v>255</v>
      </c>
      <c r="B7" s="249">
        <v>365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491" t="s">
        <v>495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491" t="s">
        <v>496</v>
      </c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63</v>
      </c>
      <c r="D17" s="491" t="s">
        <v>496</v>
      </c>
    </row>
    <row r="18" spans="1:4" ht="15" customHeight="1">
      <c r="A18" s="389" t="s">
        <v>314</v>
      </c>
      <c r="C18" s="8"/>
      <c r="D18" s="8"/>
    </row>
    <row r="19" spans="1:4" ht="15" customHeight="1">
      <c r="A19" s="513" t="s">
        <v>315</v>
      </c>
      <c r="B19" s="8" t="s">
        <v>312</v>
      </c>
      <c r="C19" s="8" t="s">
        <v>63</v>
      </c>
      <c r="D19" s="496" t="s">
        <v>496</v>
      </c>
    </row>
    <row r="20" spans="1:4" ht="13.5" thickBot="1">
      <c r="A20" s="514"/>
      <c r="B20" s="8" t="s">
        <v>313</v>
      </c>
      <c r="C20" s="8" t="s">
        <v>63</v>
      </c>
      <c r="D20" s="491" t="s">
        <v>496</v>
      </c>
    </row>
    <row r="21" spans="1:4" ht="12.75">
      <c r="A21" s="513" t="s">
        <v>311</v>
      </c>
      <c r="B21" s="8" t="s">
        <v>312</v>
      </c>
      <c r="C21" s="8"/>
      <c r="D21" s="423">
        <v>1</v>
      </c>
    </row>
    <row r="22" spans="1:4" ht="12.75">
      <c r="A22" s="513"/>
      <c r="B22" s="8" t="s">
        <v>313</v>
      </c>
      <c r="C22" s="8"/>
      <c r="D22" s="423">
        <v>1</v>
      </c>
    </row>
    <row r="23" spans="1:4" ht="7.5" customHeight="1">
      <c r="A23" s="45"/>
      <c r="C23" s="8"/>
      <c r="D23" s="388"/>
    </row>
    <row r="24" spans="1:4" ht="12.75">
      <c r="A24" s="45" t="s">
        <v>211</v>
      </c>
      <c r="C24" s="8" t="s">
        <v>212</v>
      </c>
      <c r="D24" s="424" t="s">
        <v>477</v>
      </c>
    </row>
    <row r="25" ht="6.75" customHeight="1" thickBot="1">
      <c r="A25" s="12"/>
    </row>
    <row r="26" spans="1:5" ht="12.75">
      <c r="A26" s="255" t="s">
        <v>66</v>
      </c>
      <c r="C26" s="8"/>
      <c r="E26" s="443" t="s">
        <v>296</v>
      </c>
    </row>
    <row r="27" spans="1:5" ht="12.75">
      <c r="A27" s="256" t="s">
        <v>67</v>
      </c>
      <c r="C27" s="8"/>
      <c r="E27" s="444" t="s">
        <v>297</v>
      </c>
    </row>
    <row r="28" spans="1:3" ht="12.75">
      <c r="A28" s="256" t="s">
        <v>68</v>
      </c>
      <c r="C28" s="38"/>
    </row>
    <row r="29" ht="12.75">
      <c r="A29" s="257" t="s">
        <v>69</v>
      </c>
    </row>
    <row r="30" ht="12.75">
      <c r="A30" s="35"/>
    </row>
    <row r="31" spans="1:8" ht="12.75">
      <c r="A31" t="s">
        <v>286</v>
      </c>
      <c r="D31" s="421">
        <v>8553726</v>
      </c>
      <c r="E31" s="492" t="s">
        <v>500</v>
      </c>
      <c r="G31">
        <v>1999</v>
      </c>
      <c r="H31" s="5"/>
    </row>
    <row r="32" ht="6" customHeight="1"/>
    <row r="33" spans="1:8" ht="12.75">
      <c r="A33" t="s">
        <v>70</v>
      </c>
      <c r="D33" s="422">
        <v>0.5</v>
      </c>
      <c r="F33" t="s">
        <v>101</v>
      </c>
      <c r="H33" s="39"/>
    </row>
    <row r="34" spans="6:8" ht="6" customHeight="1">
      <c r="F34" t="s">
        <v>101</v>
      </c>
      <c r="H34" s="34"/>
    </row>
    <row r="35" spans="1:10" ht="12.75">
      <c r="A35" t="s">
        <v>71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22">
        <v>0.0988</v>
      </c>
      <c r="H37" s="41"/>
    </row>
    <row r="38" ht="4.5" customHeight="1">
      <c r="H38" s="34"/>
    </row>
    <row r="39" spans="1:8" ht="12.75">
      <c r="A39" t="s">
        <v>73</v>
      </c>
      <c r="D39" s="422">
        <v>0.0725</v>
      </c>
      <c r="H39" s="41"/>
    </row>
    <row r="40" ht="6" customHeight="1">
      <c r="H40" s="34"/>
    </row>
    <row r="41" spans="1:8" ht="12.75">
      <c r="A41" t="s">
        <v>74</v>
      </c>
      <c r="D41" s="251">
        <f>D31*((D33*D37)+(D35*D39))</f>
        <v>732626.6319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25">
        <v>555088</v>
      </c>
      <c r="E43" s="387">
        <f>D43</f>
        <v>555088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51">
        <f>D41-D43</f>
        <v>177538.63190000004</v>
      </c>
      <c r="H45" s="40"/>
      <c r="J45" s="5"/>
      <c r="K45" s="5"/>
    </row>
    <row r="46" spans="1:11" ht="12.75">
      <c r="A46" s="2" t="s">
        <v>287</v>
      </c>
      <c r="D46" s="40"/>
      <c r="H46" s="40"/>
      <c r="J46" s="5"/>
      <c r="K46" s="5"/>
    </row>
    <row r="47" spans="1:11" ht="12.75">
      <c r="A47" t="s">
        <v>288</v>
      </c>
      <c r="D47" s="426">
        <f>59179.56</f>
        <v>59179.56</v>
      </c>
      <c r="E47" s="387">
        <f aca="true" t="shared" si="0" ref="E47:E53">D47</f>
        <v>59179.56</v>
      </c>
      <c r="F47" t="s">
        <v>501</v>
      </c>
      <c r="H47" s="40"/>
      <c r="J47" s="5"/>
      <c r="K47" s="5"/>
    </row>
    <row r="48" spans="1:11" ht="12.75">
      <c r="A48" t="s">
        <v>289</v>
      </c>
      <c r="D48" s="493">
        <v>59179.56</v>
      </c>
      <c r="E48" s="387">
        <f>D48</f>
        <v>59179.56</v>
      </c>
      <c r="F48" s="494" t="s">
        <v>497</v>
      </c>
      <c r="H48" s="40"/>
      <c r="J48" s="5"/>
      <c r="K48" s="5"/>
    </row>
    <row r="49" spans="1:11" ht="12.75">
      <c r="A49" t="s">
        <v>290</v>
      </c>
      <c r="D49" s="427">
        <v>0</v>
      </c>
      <c r="E49" s="387">
        <v>0</v>
      </c>
      <c r="F49" s="22"/>
      <c r="H49" s="40"/>
      <c r="J49" s="5"/>
      <c r="K49" s="5"/>
    </row>
    <row r="50" spans="1:11" ht="12.75">
      <c r="A50" t="s">
        <v>291</v>
      </c>
      <c r="D50" s="428"/>
      <c r="E50" s="387">
        <f t="shared" si="0"/>
        <v>0</v>
      </c>
      <c r="H50" s="40"/>
      <c r="J50" s="5"/>
      <c r="K50" s="5"/>
    </row>
    <row r="51" spans="1:11" ht="12.75">
      <c r="A51" t="s">
        <v>437</v>
      </c>
      <c r="D51" s="428"/>
      <c r="E51" s="387">
        <f t="shared" si="0"/>
        <v>0</v>
      </c>
      <c r="H51" s="40"/>
      <c r="J51" s="5"/>
      <c r="K51" s="5"/>
    </row>
    <row r="52" spans="1:11" ht="12.75">
      <c r="A52" t="s">
        <v>461</v>
      </c>
      <c r="D52" s="428"/>
      <c r="E52" s="387">
        <f t="shared" si="0"/>
        <v>0</v>
      </c>
      <c r="H52" s="40"/>
      <c r="J52" s="5"/>
      <c r="K52" s="5"/>
    </row>
    <row r="53" spans="4:11" ht="12.75">
      <c r="D53" s="428"/>
      <c r="E53" s="387">
        <f t="shared" si="0"/>
        <v>0</v>
      </c>
      <c r="H53" s="40"/>
      <c r="J53" s="5"/>
      <c r="K53" s="5"/>
    </row>
    <row r="54" spans="1:11" ht="12.75">
      <c r="A54" s="2" t="s">
        <v>292</v>
      </c>
      <c r="E54" s="254">
        <f>SUM(E43:E53)</f>
        <v>673447.1200000001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2">
        <f>D31*D33</f>
        <v>4276863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2">
        <f>D56*D37</f>
        <v>422554.0644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2">
        <f>Ratebase*0.5</f>
        <v>4276863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310</v>
      </c>
      <c r="B62" s="5"/>
      <c r="C62" s="5"/>
      <c r="D62" s="252">
        <f>D60*D39</f>
        <v>310072.5675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293</v>
      </c>
      <c r="B64" s="5"/>
      <c r="C64" s="5"/>
      <c r="D64" s="253">
        <f>IF(D41&gt;0,(((D43+D47)/D41)*D62),0)</f>
        <v>259978.97314652658</v>
      </c>
      <c r="F64" s="5"/>
      <c r="H64" s="32"/>
      <c r="J64" s="5"/>
      <c r="K64" s="5"/>
    </row>
    <row r="65" spans="1:11" ht="12.75">
      <c r="A65" s="33" t="s">
        <v>376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294</v>
      </c>
      <c r="B66" s="5"/>
      <c r="C66" s="5"/>
      <c r="D66" s="253">
        <f>IF(D41&gt;0,(((D43+D47+D48)/D41)*D62),0)</f>
        <v>285025.78050204326</v>
      </c>
      <c r="F66" s="5"/>
      <c r="H66" s="32"/>
      <c r="J66" s="5"/>
      <c r="K66" s="5"/>
    </row>
    <row r="67" spans="1:11" ht="12.75">
      <c r="A67" s="33" t="s">
        <v>377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295</v>
      </c>
      <c r="B68" s="5"/>
      <c r="C68" s="5"/>
      <c r="D68" s="253">
        <f>IF(D41&gt;0,(((D43+D47+D48)/D41)*D62),0)</f>
        <v>285025.78050204326</v>
      </c>
      <c r="F68" s="5"/>
      <c r="H68" s="32"/>
      <c r="J68" s="5"/>
    </row>
    <row r="69" spans="1:10" ht="12.75">
      <c r="A69" s="33" t="s">
        <v>378</v>
      </c>
      <c r="B69" s="5"/>
      <c r="C69" s="5"/>
      <c r="D69" s="5"/>
      <c r="F69" s="5"/>
      <c r="H69" s="32"/>
      <c r="J69" s="5"/>
    </row>
    <row r="70" spans="1:10" ht="12.75">
      <c r="A70" s="45" t="s">
        <v>446</v>
      </c>
      <c r="B70" s="5"/>
      <c r="C70" s="5"/>
      <c r="D70" s="253">
        <f>D62</f>
        <v>310072.5675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36" right="0.03937007874015748" top="0.7086614173228347" bottom="0.35433070866141736" header="0.1968503937007874" footer="0"/>
  <pageSetup fitToHeight="1" fitToWidth="1" horizontalDpi="600" verticalDpi="600" orientation="portrait" scale="10" r:id="rId1"/>
  <headerFooter alignWithMargins="0">
    <oddHeader>&amp;C&amp;A</oddHeader>
    <oddFooter>&amp;C&amp;F&amp;RPage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EB-2008-381</v>
      </c>
      <c r="B1" s="204" t="s">
        <v>127</v>
      </c>
      <c r="C1" s="205" t="s">
        <v>34</v>
      </c>
      <c r="D1" s="206"/>
      <c r="E1" s="207" t="s">
        <v>23</v>
      </c>
      <c r="F1" s="208" t="s">
        <v>23</v>
      </c>
      <c r="G1" s="209" t="s">
        <v>463</v>
      </c>
      <c r="H1" s="210"/>
    </row>
    <row r="2" spans="1:8" ht="12.75">
      <c r="A2" s="211" t="s">
        <v>462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464</v>
      </c>
      <c r="H2" s="217"/>
    </row>
    <row r="3" spans="1:8" ht="12.75">
      <c r="A3" s="211" t="s">
        <v>519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249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Centre Wellington Hydro Ltd.</v>
      </c>
      <c r="B6" s="115"/>
      <c r="D6" s="137"/>
      <c r="E6" s="115"/>
      <c r="G6" s="115"/>
      <c r="H6" s="465"/>
    </row>
    <row r="7" spans="1:8" ht="12.75">
      <c r="A7" s="211" t="str">
        <f>REGINFO!A4</f>
        <v>Reporting period:  2003</v>
      </c>
      <c r="B7" s="115"/>
      <c r="D7" s="137"/>
      <c r="E7" s="115"/>
      <c r="G7" s="115"/>
      <c r="H7" s="465"/>
    </row>
    <row r="8" spans="2:12" ht="12.75">
      <c r="B8" s="222"/>
      <c r="C8" s="230"/>
      <c r="D8" s="214"/>
      <c r="E8" s="137"/>
      <c r="F8" s="220"/>
      <c r="G8" s="183" t="s">
        <v>86</v>
      </c>
      <c r="H8" s="217"/>
      <c r="J8" s="47" t="s">
        <v>128</v>
      </c>
      <c r="K8" s="47"/>
      <c r="L8" s="47"/>
    </row>
    <row r="9" spans="1:8" ht="12.75">
      <c r="A9" s="211" t="s">
        <v>125</v>
      </c>
      <c r="B9" s="429">
        <f>REGINFO!B6</f>
        <v>365</v>
      </c>
      <c r="C9" s="231" t="s">
        <v>126</v>
      </c>
      <c r="D9" s="214"/>
      <c r="E9" s="137"/>
      <c r="F9" s="220"/>
      <c r="G9" s="183" t="s">
        <v>89</v>
      </c>
      <c r="H9" s="217"/>
    </row>
    <row r="10" spans="1:8" ht="12.75">
      <c r="A10" s="211" t="s">
        <v>255</v>
      </c>
      <c r="B10" s="429">
        <f>REGINFO!B7</f>
        <v>365</v>
      </c>
      <c r="C10" s="231" t="s">
        <v>126</v>
      </c>
      <c r="D10" s="214"/>
      <c r="E10" s="232"/>
      <c r="F10" s="220"/>
      <c r="G10" s="233" t="s">
        <v>87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88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101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340</v>
      </c>
      <c r="B16" s="125">
        <v>1</v>
      </c>
      <c r="C16" s="258">
        <f>REGINFO!E54</f>
        <v>673447.1200000001</v>
      </c>
      <c r="D16" s="17"/>
      <c r="E16" s="266">
        <f>G16-C16</f>
        <v>59704.87999999989</v>
      </c>
      <c r="F16" s="3"/>
      <c r="G16" s="266">
        <f>TAXREC!E50</f>
        <v>733152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207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0">
        <v>442771</v>
      </c>
      <c r="D20" s="18"/>
      <c r="E20" s="266">
        <f>G20-C20</f>
        <v>70404</v>
      </c>
      <c r="F20" s="6"/>
      <c r="G20" s="266">
        <f>TAXREC!E61</f>
        <v>513175</v>
      </c>
      <c r="H20" s="151"/>
    </row>
    <row r="21" spans="1:8" ht="12.75">
      <c r="A21" s="158" t="s">
        <v>55</v>
      </c>
      <c r="B21" s="127">
        <v>3</v>
      </c>
      <c r="C21" s="260"/>
      <c r="D21" s="18"/>
      <c r="E21" s="266">
        <f>G21-C21</f>
        <v>0</v>
      </c>
      <c r="F21" s="6"/>
      <c r="G21" s="266">
        <f>TAXREC!E62</f>
        <v>0</v>
      </c>
      <c r="H21" s="151"/>
    </row>
    <row r="22" spans="1:8" ht="12.75">
      <c r="A22" s="158" t="s">
        <v>263</v>
      </c>
      <c r="B22" s="127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1"/>
    </row>
    <row r="23" spans="1:8" ht="12.75">
      <c r="A23" s="158" t="s">
        <v>262</v>
      </c>
      <c r="B23" s="127">
        <v>4</v>
      </c>
      <c r="C23" s="260"/>
      <c r="D23" s="18"/>
      <c r="E23" s="266">
        <f>G23-C23</f>
        <v>0</v>
      </c>
      <c r="F23" s="6"/>
      <c r="G23" s="266">
        <f>TAXREC!E64</f>
        <v>0</v>
      </c>
      <c r="H23" s="151"/>
    </row>
    <row r="24" spans="1:8" ht="12.75">
      <c r="A24" s="158" t="s">
        <v>264</v>
      </c>
      <c r="B24" s="127">
        <v>5</v>
      </c>
      <c r="C24" s="260">
        <v>0</v>
      </c>
      <c r="D24" s="18"/>
      <c r="E24" s="266">
        <f>G24-C24</f>
        <v>0</v>
      </c>
      <c r="F24" s="6"/>
      <c r="G24" s="266">
        <f>TAXREC!E65</f>
        <v>0</v>
      </c>
      <c r="H24" s="151"/>
    </row>
    <row r="25" spans="1:8" ht="12.75">
      <c r="A25" s="158" t="s">
        <v>52</v>
      </c>
      <c r="B25" s="127"/>
      <c r="C25" s="105" t="s">
        <v>101</v>
      </c>
      <c r="D25" s="18"/>
      <c r="E25" s="186"/>
      <c r="F25" s="33"/>
      <c r="G25" s="186"/>
      <c r="H25" s="151"/>
    </row>
    <row r="26" spans="1:8" ht="12.75">
      <c r="A26" s="158" t="s">
        <v>155</v>
      </c>
      <c r="B26" s="127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51"/>
    </row>
    <row r="27" spans="1:8" ht="12.75">
      <c r="A27" s="158" t="s">
        <v>158</v>
      </c>
      <c r="B27" s="127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1"/>
    </row>
    <row r="28" spans="1:8" ht="12.75">
      <c r="A28" s="158" t="s">
        <v>157</v>
      </c>
      <c r="B28" s="127">
        <v>6</v>
      </c>
      <c r="C28" s="260"/>
      <c r="D28" s="18"/>
      <c r="E28" s="266">
        <f>G28-C28</f>
        <v>0</v>
      </c>
      <c r="F28" s="6"/>
      <c r="G28" s="266">
        <f>TAXREC!E67</f>
        <v>0</v>
      </c>
      <c r="H28" s="151"/>
    </row>
    <row r="29" spans="1:8" ht="12.75">
      <c r="A29" s="158" t="s">
        <v>156</v>
      </c>
      <c r="B29" s="127">
        <v>6</v>
      </c>
      <c r="C29" s="260"/>
      <c r="D29" s="18"/>
      <c r="E29" s="266">
        <f>G29-C29</f>
        <v>0</v>
      </c>
      <c r="F29" s="6"/>
      <c r="G29" s="266">
        <f>TAXREC!E68</f>
        <v>0</v>
      </c>
      <c r="H29" s="151"/>
    </row>
    <row r="30" spans="1:8" ht="15">
      <c r="A30" s="482" t="s">
        <v>393</v>
      </c>
      <c r="B30" s="127"/>
      <c r="C30" s="258"/>
      <c r="D30" s="18"/>
      <c r="E30" s="266">
        <f>G30-C30</f>
        <v>212812</v>
      </c>
      <c r="F30" s="6"/>
      <c r="G30" s="266">
        <f>TAXREC!E66</f>
        <v>212812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341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102</v>
      </c>
      <c r="B33" s="127">
        <v>7</v>
      </c>
      <c r="C33" s="260">
        <v>332314</v>
      </c>
      <c r="D33" s="132"/>
      <c r="E33" s="266">
        <f aca="true" t="shared" si="0" ref="E33:E42">G33-C33</f>
        <v>252970</v>
      </c>
      <c r="F33" s="6"/>
      <c r="G33" s="266">
        <f>TAXREC!E97+TAXREC!E98</f>
        <v>585284</v>
      </c>
      <c r="H33" s="151"/>
    </row>
    <row r="34" spans="1:8" ht="12.75">
      <c r="A34" s="158" t="s">
        <v>56</v>
      </c>
      <c r="B34" s="127">
        <v>8</v>
      </c>
      <c r="C34" s="260"/>
      <c r="D34" s="132"/>
      <c r="E34" s="266">
        <f t="shared" si="0"/>
        <v>0</v>
      </c>
      <c r="F34" s="6"/>
      <c r="G34" s="266">
        <f>TAXREC!E99</f>
        <v>0</v>
      </c>
      <c r="H34" s="151"/>
    </row>
    <row r="35" spans="1:8" ht="12.75">
      <c r="A35" s="158" t="s">
        <v>45</v>
      </c>
      <c r="B35" s="127">
        <v>9</v>
      </c>
      <c r="C35" s="260">
        <v>0</v>
      </c>
      <c r="D35" s="132"/>
      <c r="E35" s="266">
        <f t="shared" si="0"/>
        <v>0</v>
      </c>
      <c r="F35" s="6"/>
      <c r="G35" s="266">
        <f>TAXREC!E100</f>
        <v>0</v>
      </c>
      <c r="H35" s="151"/>
    </row>
    <row r="36" spans="1:8" ht="12.75">
      <c r="A36" s="158" t="s">
        <v>265</v>
      </c>
      <c r="B36" s="127">
        <v>10</v>
      </c>
      <c r="C36" s="260">
        <v>0</v>
      </c>
      <c r="D36" s="132"/>
      <c r="E36" s="266">
        <f t="shared" si="0"/>
        <v>0</v>
      </c>
      <c r="F36" s="6"/>
      <c r="G36" s="266">
        <f>TAXREC!E102+TAXREC!E103</f>
        <v>0</v>
      </c>
      <c r="H36" s="151"/>
    </row>
    <row r="37" spans="1:8" ht="12.75">
      <c r="A37" s="155" t="s">
        <v>85</v>
      </c>
      <c r="B37" s="125">
        <v>11</v>
      </c>
      <c r="C37" s="259">
        <f>REGINFO!D66</f>
        <v>285025.78050204326</v>
      </c>
      <c r="D37" s="132"/>
      <c r="E37" s="266">
        <f t="shared" si="0"/>
        <v>67913.21949795674</v>
      </c>
      <c r="F37" s="6"/>
      <c r="G37" s="266">
        <f>TAXREC!E51</f>
        <v>352939</v>
      </c>
      <c r="H37" s="151"/>
    </row>
    <row r="38" spans="1:8" ht="12.75">
      <c r="A38" s="155" t="s">
        <v>261</v>
      </c>
      <c r="B38" s="125">
        <v>4</v>
      </c>
      <c r="C38" s="260"/>
      <c r="D38" s="132"/>
      <c r="E38" s="266">
        <f t="shared" si="0"/>
        <v>0</v>
      </c>
      <c r="F38" s="6"/>
      <c r="G38" s="266">
        <f>TAXREC!E104</f>
        <v>0</v>
      </c>
      <c r="H38" s="151"/>
    </row>
    <row r="39" spans="1:8" ht="12.75">
      <c r="A39" s="155" t="s">
        <v>260</v>
      </c>
      <c r="B39" s="125">
        <v>4</v>
      </c>
      <c r="C39" s="260"/>
      <c r="D39" s="132"/>
      <c r="E39" s="266">
        <f t="shared" si="0"/>
        <v>0</v>
      </c>
      <c r="F39" s="6"/>
      <c r="G39" s="266">
        <f>TAXREC!E105</f>
        <v>0</v>
      </c>
      <c r="H39" s="151"/>
    </row>
    <row r="40" spans="1:8" ht="12.75">
      <c r="A40" s="155" t="s">
        <v>12</v>
      </c>
      <c r="B40" s="125">
        <v>3</v>
      </c>
      <c r="C40" s="260"/>
      <c r="D40" s="132"/>
      <c r="E40" s="266">
        <f t="shared" si="0"/>
        <v>0</v>
      </c>
      <c r="F40" s="6"/>
      <c r="G40" s="266">
        <f>TAXREC!E106</f>
        <v>0</v>
      </c>
      <c r="H40" s="151"/>
    </row>
    <row r="41" spans="1:8" ht="12.75">
      <c r="A41" s="155" t="s">
        <v>13</v>
      </c>
      <c r="B41" s="125">
        <v>3</v>
      </c>
      <c r="C41" s="260"/>
      <c r="D41" s="132"/>
      <c r="E41" s="266">
        <f t="shared" si="0"/>
        <v>0</v>
      </c>
      <c r="F41" s="6"/>
      <c r="G41" s="266">
        <f>TAXREC!E107</f>
        <v>0</v>
      </c>
      <c r="H41" s="151"/>
    </row>
    <row r="42" spans="1:8" ht="12.75">
      <c r="A42" s="155" t="s">
        <v>183</v>
      </c>
      <c r="B42" s="125">
        <v>11</v>
      </c>
      <c r="C42" s="260"/>
      <c r="D42" s="132"/>
      <c r="E42" s="266">
        <f t="shared" si="0"/>
        <v>0</v>
      </c>
      <c r="F42" s="6"/>
      <c r="G42" s="266">
        <f>TAXREC!E109</f>
        <v>0</v>
      </c>
      <c r="H42" s="151"/>
    </row>
    <row r="43" spans="1:8" ht="12.75">
      <c r="A43" s="158" t="s">
        <v>53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155</v>
      </c>
      <c r="B44" s="127">
        <v>12</v>
      </c>
      <c r="C44" s="260"/>
      <c r="D44" s="132"/>
      <c r="E44" s="266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152</v>
      </c>
      <c r="B45" s="127">
        <v>12</v>
      </c>
      <c r="C45" s="260"/>
      <c r="D45" s="132"/>
      <c r="E45" s="266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154</v>
      </c>
      <c r="B46" s="127">
        <v>12</v>
      </c>
      <c r="C46" s="260"/>
      <c r="D46" s="132"/>
      <c r="E46" s="266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153</v>
      </c>
      <c r="B47" s="127">
        <v>12</v>
      </c>
      <c r="C47" s="260"/>
      <c r="D47" s="132"/>
      <c r="E47" s="266">
        <f>G47-C47</f>
        <v>0</v>
      </c>
      <c r="F47" s="6"/>
      <c r="G47" s="251">
        <f>TAXREC!E111</f>
        <v>0</v>
      </c>
      <c r="H47" s="151"/>
    </row>
    <row r="48" spans="1:8" ht="15">
      <c r="A48" s="482" t="s">
        <v>393</v>
      </c>
      <c r="B48" s="127"/>
      <c r="C48" s="258"/>
      <c r="D48" s="132"/>
      <c r="E48" s="266">
        <f>G48-C48</f>
        <v>130179</v>
      </c>
      <c r="F48" s="6"/>
      <c r="G48" s="251">
        <f>TAXREC!E108</f>
        <v>130179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327</v>
      </c>
      <c r="B50" s="125"/>
      <c r="C50" s="262">
        <f>C16+SUM(C20:C30)-SUM(C33:C48)</f>
        <v>498878.3394979569</v>
      </c>
      <c r="D50" s="102"/>
      <c r="E50" s="262">
        <f>E16+SUM(E20:E30)-SUM(E33:E48)</f>
        <v>-108141.33949795685</v>
      </c>
      <c r="F50" s="431"/>
      <c r="G50" s="262">
        <f>G16+SUM(G20:G30)-SUM(G33:G48)</f>
        <v>390737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335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339</v>
      </c>
      <c r="B53" s="127">
        <v>13</v>
      </c>
      <c r="C53" s="261">
        <f>IF($C$50&gt;'Tax Rates'!$E$11,'Tax Rates'!$F$16,IF($C$50&gt;'Tax Rates'!$C$11,'Tax Rates'!$E$16,'Tax Rates'!$C$16))</f>
        <v>0.3412</v>
      </c>
      <c r="D53" s="102"/>
      <c r="E53" s="267">
        <f>+G53-C53</f>
        <v>-0.09210000000000002</v>
      </c>
      <c r="F53" s="114"/>
      <c r="G53" s="473">
        <v>0.2491</v>
      </c>
      <c r="H53" s="151"/>
      <c r="I53" s="470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3">
        <f>IF(C50&gt;0,C50*C53,0)</f>
        <v>170217.2894367029</v>
      </c>
      <c r="D55" s="102"/>
      <c r="E55" s="266">
        <f>G55-C55</f>
        <v>-132778.2894367029</v>
      </c>
      <c r="F55" s="431" t="s">
        <v>366</v>
      </c>
      <c r="G55" s="263">
        <f>TAXREC!E144</f>
        <v>37439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4"/>
      <c r="D58" s="132"/>
      <c r="E58" s="266">
        <f>+G58-C58</f>
        <v>0</v>
      </c>
      <c r="F58" s="431" t="s">
        <v>366</v>
      </c>
      <c r="G58" s="269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5">
        <f>+C55-C58</f>
        <v>170217.2894367029</v>
      </c>
      <c r="D60" s="133"/>
      <c r="E60" s="268">
        <f>+E55-E58</f>
        <v>-132778.2894367029</v>
      </c>
      <c r="F60" s="431" t="s">
        <v>366</v>
      </c>
      <c r="G60" s="268">
        <f>+G55-G58</f>
        <v>37439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3">
        <f>Ratebase</f>
        <v>8553726</v>
      </c>
      <c r="D66" s="102"/>
      <c r="E66" s="266">
        <f>G66-C66</f>
        <v>4795039</v>
      </c>
      <c r="F66" s="6"/>
      <c r="G66" s="475">
        <v>13348765</v>
      </c>
      <c r="H66" s="151"/>
      <c r="I66" s="476" t="s">
        <v>472</v>
      </c>
    </row>
    <row r="67" spans="1:10" ht="12.75">
      <c r="A67" s="152" t="s">
        <v>359</v>
      </c>
      <c r="B67" s="125">
        <v>16</v>
      </c>
      <c r="C67" s="259">
        <f>IF(C66&gt;0,'Tax Rates'!C21,0)</f>
        <v>5000000</v>
      </c>
      <c r="D67" s="102"/>
      <c r="E67" s="266">
        <f>G67-C67</f>
        <v>0</v>
      </c>
      <c r="F67" s="6"/>
      <c r="G67" s="266">
        <f>'Tax Rates'!C57</f>
        <v>5000000</v>
      </c>
      <c r="H67" s="151"/>
      <c r="I67" s="476" t="s">
        <v>472</v>
      </c>
      <c r="J67" s="477"/>
    </row>
    <row r="68" spans="1:8" ht="12.75">
      <c r="A68" s="152" t="s">
        <v>42</v>
      </c>
      <c r="B68" s="125"/>
      <c r="C68" s="263">
        <f>IF((C66-C67)&gt;0,C66-C67,0)</f>
        <v>3553726</v>
      </c>
      <c r="D68" s="102"/>
      <c r="E68" s="266">
        <f>SUM(E66:E67)</f>
        <v>4795039</v>
      </c>
      <c r="F68" s="114"/>
      <c r="G68" s="263">
        <f>G66-G67</f>
        <v>8348765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360</v>
      </c>
      <c r="B70" s="125">
        <v>17</v>
      </c>
      <c r="C70" s="300">
        <f>'Tax Rates'!C18</f>
        <v>0.003</v>
      </c>
      <c r="D70" s="102"/>
      <c r="E70" s="267">
        <f>+G70-C70</f>
        <v>0</v>
      </c>
      <c r="F70" s="6"/>
      <c r="G70" s="300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316</v>
      </c>
      <c r="B72" s="125"/>
      <c r="C72" s="263">
        <f>IF(C68&gt;0,C68*C70,0)*REGINFO!$B$6/REGINFO!$B$7</f>
        <v>10661.178</v>
      </c>
      <c r="D72" s="101"/>
      <c r="E72" s="266">
        <f>+G72-C72</f>
        <v>14385.117000000002</v>
      </c>
      <c r="F72" s="478"/>
      <c r="G72" s="263">
        <f>IF(G68&gt;0,G68*G70,0)*REGINFO!$B$6/REGINFO!$B$7</f>
        <v>25046.295000000002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217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3">
        <f>Ratebase</f>
        <v>8553726</v>
      </c>
      <c r="D75" s="102"/>
      <c r="E75" s="266">
        <f>+G75-C75</f>
        <v>3508490</v>
      </c>
      <c r="F75" s="6"/>
      <c r="G75" s="475">
        <v>12062216</v>
      </c>
      <c r="H75" s="151"/>
      <c r="I75" s="476" t="s">
        <v>472</v>
      </c>
    </row>
    <row r="76" spans="1:9" ht="12.75">
      <c r="A76" s="152" t="s">
        <v>359</v>
      </c>
      <c r="B76" s="125">
        <v>19</v>
      </c>
      <c r="C76" s="259">
        <f>IF(C75&gt;0,'Tax Rates'!C22,0)</f>
        <v>10000000</v>
      </c>
      <c r="D76" s="18"/>
      <c r="E76" s="266">
        <f>+G76-C76</f>
        <v>0</v>
      </c>
      <c r="F76" s="6"/>
      <c r="G76" s="266">
        <f>'Tax Rates'!C58</f>
        <v>10000000</v>
      </c>
      <c r="H76" s="151"/>
      <c r="I76" s="476" t="s">
        <v>472</v>
      </c>
    </row>
    <row r="77" spans="1:8" ht="12.75">
      <c r="A77" s="152" t="s">
        <v>42</v>
      </c>
      <c r="B77" s="125"/>
      <c r="C77" s="263">
        <f>IF((C75-C76)&gt;0,C75-C76,0)</f>
        <v>0</v>
      </c>
      <c r="D77" s="19"/>
      <c r="E77" s="266">
        <f>SUM(E75:E76)</f>
        <v>3508490</v>
      </c>
      <c r="F77" s="114"/>
      <c r="G77" s="263">
        <f>G75-G76</f>
        <v>2062216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360</v>
      </c>
      <c r="B79" s="125">
        <v>20</v>
      </c>
      <c r="C79" s="300">
        <f>'Tax Rates'!C19</f>
        <v>0.00225</v>
      </c>
      <c r="D79" s="102"/>
      <c r="E79" s="267">
        <f>G79-C79</f>
        <v>0</v>
      </c>
      <c r="F79" s="6"/>
      <c r="G79" s="267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317</v>
      </c>
      <c r="B81" s="125"/>
      <c r="C81" s="263">
        <f>IF(C77&gt;0,C77*C79,0)*REGINFO!$B$6/REGINFO!$B$7</f>
        <v>0</v>
      </c>
      <c r="D81" s="102"/>
      <c r="E81" s="266">
        <f>+G81-C81</f>
        <v>4639.986</v>
      </c>
      <c r="F81" s="6"/>
      <c r="G81" s="263">
        <f>G77*G79*B9/B10</f>
        <v>4639.986</v>
      </c>
      <c r="H81" s="151"/>
    </row>
    <row r="82" spans="1:8" ht="12.75">
      <c r="A82" s="152" t="s">
        <v>318</v>
      </c>
      <c r="B82" s="125">
        <v>21</v>
      </c>
      <c r="C82" s="299">
        <f>IF(C77&gt;0,IF(C60&gt;0,C50*'Tax Rates'!C20,0),0)</f>
        <v>0</v>
      </c>
      <c r="D82" s="102"/>
      <c r="E82" s="266">
        <f>+G82-C82</f>
        <v>0</v>
      </c>
      <c r="F82" s="6"/>
      <c r="G82" s="299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3">
        <f>C81-C82</f>
        <v>0</v>
      </c>
      <c r="D84" s="16"/>
      <c r="E84" s="266">
        <f>E81-E82</f>
        <v>4639.986</v>
      </c>
      <c r="F84" s="103"/>
      <c r="G84" s="263">
        <f>G81-G82</f>
        <v>4639.986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117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226</v>
      </c>
      <c r="B88" s="125"/>
      <c r="C88" s="261">
        <f>IF($C$50&gt;'Tax Rates'!$E$11,'Tax Rates'!$F$16,IF(AND($C$50&gt;='Tax Rates'!$C$11,$C$50&lt;='Tax Rates'!E11),'Tax Rates'!$E$16,'Tax Rates'!$C$16))</f>
        <v>0.3412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367</v>
      </c>
      <c r="B90" s="127">
        <v>22</v>
      </c>
      <c r="C90" s="263">
        <f>C60/(1-C88)</f>
        <v>258374.75627914828</v>
      </c>
      <c r="D90" s="20"/>
      <c r="E90" s="139"/>
      <c r="F90" s="430" t="s">
        <v>478</v>
      </c>
      <c r="G90" s="269">
        <f>TAXREC!E156</f>
        <v>37439</v>
      </c>
      <c r="H90" s="151"/>
    </row>
    <row r="91" spans="1:8" ht="12.75">
      <c r="A91" s="158" t="s">
        <v>368</v>
      </c>
      <c r="B91" s="127">
        <v>23</v>
      </c>
      <c r="C91" s="263">
        <f>C84/(1-C88)</f>
        <v>0</v>
      </c>
      <c r="D91" s="20"/>
      <c r="E91" s="139"/>
      <c r="F91" s="430" t="s">
        <v>478</v>
      </c>
      <c r="G91" s="269">
        <f>TAXREC!E158</f>
        <v>2810</v>
      </c>
      <c r="H91" s="151"/>
    </row>
    <row r="92" spans="1:8" ht="12.75">
      <c r="A92" s="158" t="s">
        <v>347</v>
      </c>
      <c r="B92" s="127">
        <v>24</v>
      </c>
      <c r="C92" s="263">
        <f>C72</f>
        <v>10661.178</v>
      </c>
      <c r="D92" s="20"/>
      <c r="E92" s="139"/>
      <c r="F92" s="430" t="s">
        <v>478</v>
      </c>
      <c r="G92" s="269">
        <f>TAXREC!E157</f>
        <v>25306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479</v>
      </c>
      <c r="B95" s="125">
        <v>25</v>
      </c>
      <c r="C95" s="268">
        <f>SUM(C90:C93)</f>
        <v>269035.9342791483</v>
      </c>
      <c r="D95" s="6"/>
      <c r="E95" s="139"/>
      <c r="F95" s="430" t="s">
        <v>478</v>
      </c>
      <c r="G95" s="413">
        <f>SUM(G90:G94)</f>
        <v>65555</v>
      </c>
      <c r="H95" s="164"/>
    </row>
    <row r="96" spans="1:8" ht="12.75">
      <c r="A96" s="403" t="s">
        <v>307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304</v>
      </c>
      <c r="B99" s="123"/>
      <c r="C99" s="112"/>
      <c r="D99" s="3"/>
      <c r="E99" s="112"/>
      <c r="F99" s="3"/>
      <c r="G99" s="200"/>
      <c r="H99" s="164"/>
    </row>
    <row r="100" spans="1:8" ht="13.5">
      <c r="A100" s="166" t="s">
        <v>246</v>
      </c>
      <c r="B100" s="123"/>
      <c r="C100" s="112"/>
      <c r="D100" s="3"/>
      <c r="E100" s="143" t="s">
        <v>248</v>
      </c>
      <c r="F100" s="37"/>
      <c r="G100" s="200"/>
      <c r="H100" s="164"/>
    </row>
    <row r="101" spans="1:8" ht="12.75">
      <c r="A101" s="156" t="s">
        <v>345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55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99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362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363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361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56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488</v>
      </c>
      <c r="B112" s="127">
        <v>11</v>
      </c>
      <c r="C112" s="112"/>
      <c r="D112" s="3"/>
      <c r="E112" s="472">
        <f>E206</f>
        <v>42866.432499999995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100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364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365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219</v>
      </c>
      <c r="B120" s="127">
        <v>26</v>
      </c>
      <c r="C120" s="112"/>
      <c r="D120" s="117" t="s">
        <v>188</v>
      </c>
      <c r="E120" s="263">
        <f>SUM(E102:E107)-SUM(E109:E118)</f>
        <v>-42866.432499999995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480</v>
      </c>
      <c r="B122" s="127"/>
      <c r="C122" s="112"/>
      <c r="D122" s="3" t="s">
        <v>230</v>
      </c>
      <c r="E122" s="469">
        <f>G53</f>
        <v>0.2491</v>
      </c>
      <c r="F122" s="470"/>
      <c r="G122" s="201" t="s">
        <v>101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101</v>
      </c>
      <c r="H123" s="164"/>
    </row>
    <row r="124" spans="1:8" ht="12.75">
      <c r="A124" s="158" t="s">
        <v>245</v>
      </c>
      <c r="B124" s="127"/>
      <c r="C124" s="112"/>
      <c r="D124" s="3" t="s">
        <v>188</v>
      </c>
      <c r="E124" s="263">
        <f>E120*E122</f>
        <v>-10678.028335749997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113</v>
      </c>
      <c r="B126" s="127">
        <v>14</v>
      </c>
      <c r="C126" s="112"/>
      <c r="D126" s="3"/>
      <c r="E126" s="263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116</v>
      </c>
      <c r="B128" s="127"/>
      <c r="C128" s="112"/>
      <c r="D128" s="3"/>
      <c r="E128" s="263">
        <f>E124-E126</f>
        <v>-10678.028335749997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195</v>
      </c>
      <c r="B130" s="127"/>
      <c r="C130" s="112"/>
      <c r="D130" s="3"/>
      <c r="E130" s="501">
        <f>E122-1.12%</f>
        <v>0.2379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351</v>
      </c>
      <c r="B132" s="130"/>
      <c r="C132" s="112"/>
      <c r="D132" s="3"/>
      <c r="E132" s="486">
        <f>E128/(1-E130)</f>
        <v>-14011.321789463322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27">
      <c r="A134" s="169" t="s">
        <v>354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6.25">
      <c r="A136" s="171" t="s">
        <v>234</v>
      </c>
      <c r="B136" s="130"/>
      <c r="C136" s="112"/>
      <c r="D136" s="118" t="s">
        <v>188</v>
      </c>
      <c r="E136" s="301">
        <f>C50</f>
        <v>498878.3394979569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236</v>
      </c>
      <c r="B138" s="130"/>
      <c r="C138" s="112"/>
      <c r="D138" s="119" t="s">
        <v>230</v>
      </c>
      <c r="E138" s="311">
        <f>E122</f>
        <v>0.2491</v>
      </c>
      <c r="F138" s="197" t="s">
        <v>101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228</v>
      </c>
      <c r="B140" s="130"/>
      <c r="C140" s="112"/>
      <c r="D140" s="118" t="s">
        <v>188</v>
      </c>
      <c r="E140" s="302">
        <f>IF(E136&gt;0,E136*E138,0)</f>
        <v>124270.59436894106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237</v>
      </c>
      <c r="B142" s="130"/>
      <c r="C142" s="112"/>
      <c r="D142" s="118" t="s">
        <v>187</v>
      </c>
      <c r="E142" s="303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229</v>
      </c>
      <c r="B144" s="130"/>
      <c r="C144" s="112"/>
      <c r="D144" s="119" t="s">
        <v>188</v>
      </c>
      <c r="E144" s="301">
        <f>E140-E142</f>
        <v>124270.59436894106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6.25">
      <c r="A146" s="171" t="s">
        <v>238</v>
      </c>
      <c r="B146" s="130"/>
      <c r="C146" s="112"/>
      <c r="D146" s="118" t="s">
        <v>187</v>
      </c>
      <c r="E146" s="301">
        <f>C60</f>
        <v>170217.2894367029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231</v>
      </c>
      <c r="B148" s="130"/>
      <c r="C148" s="112"/>
      <c r="D148" s="118" t="s">
        <v>188</v>
      </c>
      <c r="E148" s="301">
        <f>E144-E146</f>
        <v>-45946.695067761844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20</v>
      </c>
      <c r="B150" s="130"/>
      <c r="C150" s="112"/>
      <c r="D150" s="119"/>
      <c r="E150" s="481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188</v>
      </c>
      <c r="E151" s="301">
        <f>C66</f>
        <v>8553726</v>
      </c>
      <c r="F151" s="37"/>
      <c r="G151" s="201"/>
      <c r="H151" s="164"/>
    </row>
    <row r="152" spans="1:8" ht="12.75">
      <c r="A152" s="171" t="s">
        <v>357</v>
      </c>
      <c r="B152" s="130"/>
      <c r="C152" s="112"/>
      <c r="D152" s="118" t="s">
        <v>187</v>
      </c>
      <c r="E152" s="304">
        <f>IF(E151&gt;0,'Tax Rates'!C39,0)</f>
        <v>5000000</v>
      </c>
      <c r="F152" s="37"/>
      <c r="G152" s="201"/>
      <c r="H152" s="164"/>
    </row>
    <row r="153" spans="1:8" ht="12.75">
      <c r="A153" s="171" t="s">
        <v>232</v>
      </c>
      <c r="B153" s="130"/>
      <c r="C153" s="112"/>
      <c r="D153" s="118" t="s">
        <v>188</v>
      </c>
      <c r="E153" s="301">
        <f>E151-E152</f>
        <v>3553726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358</v>
      </c>
      <c r="B155" s="130"/>
      <c r="C155" s="112"/>
      <c r="D155" s="119" t="s">
        <v>230</v>
      </c>
      <c r="E155" s="305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233</v>
      </c>
      <c r="B157" s="130"/>
      <c r="C157" s="112"/>
      <c r="D157" s="119" t="s">
        <v>188</v>
      </c>
      <c r="E157" s="301">
        <f>IF(E153&gt;0,E153*E155*B9/B10,0)</f>
        <v>10661.178</v>
      </c>
      <c r="F157" s="37"/>
      <c r="G157" s="201"/>
      <c r="H157" s="164"/>
    </row>
    <row r="158" spans="1:8" ht="26.25">
      <c r="A158" s="171" t="s">
        <v>308</v>
      </c>
      <c r="B158" s="130"/>
      <c r="C158" s="112"/>
      <c r="D158" s="118" t="s">
        <v>187</v>
      </c>
      <c r="E158" s="304">
        <f>C72</f>
        <v>10661.178</v>
      </c>
      <c r="F158" s="37"/>
      <c r="G158" s="201"/>
      <c r="H158" s="164"/>
    </row>
    <row r="159" spans="1:8" ht="12.75" customHeight="1">
      <c r="A159" s="172" t="s">
        <v>243</v>
      </c>
      <c r="B159" s="130"/>
      <c r="C159" s="112"/>
      <c r="D159" s="118" t="s">
        <v>188</v>
      </c>
      <c r="E159" s="474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235</v>
      </c>
      <c r="B161" s="130"/>
      <c r="C161" s="112"/>
      <c r="D161" s="119"/>
      <c r="E161" s="303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1">
        <f>C75</f>
        <v>8553726</v>
      </c>
      <c r="F162" s="37"/>
      <c r="G162" s="201"/>
      <c r="H162" s="164"/>
    </row>
    <row r="163" spans="1:8" ht="12.75">
      <c r="A163" s="171" t="s">
        <v>356</v>
      </c>
      <c r="B163" s="130"/>
      <c r="C163" s="112"/>
      <c r="D163" s="118" t="s">
        <v>187</v>
      </c>
      <c r="E163" s="304">
        <f>IF(E162&gt;0,'Tax Rates'!C40,0)</f>
        <v>10000000</v>
      </c>
      <c r="F163" s="37"/>
      <c r="G163" s="201"/>
      <c r="H163" s="164"/>
    </row>
    <row r="164" spans="1:8" ht="12.75">
      <c r="A164" s="171" t="s">
        <v>239</v>
      </c>
      <c r="B164" s="130"/>
      <c r="C164" s="112"/>
      <c r="D164" s="119" t="s">
        <v>188</v>
      </c>
      <c r="E164" s="301">
        <f>E162-E163</f>
        <v>-1446274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309</v>
      </c>
      <c r="B166" s="130"/>
      <c r="C166" s="112"/>
      <c r="D166" s="119"/>
      <c r="E166" s="305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240</v>
      </c>
      <c r="B168" s="130"/>
      <c r="C168" s="112"/>
      <c r="D168" s="119"/>
      <c r="E168" s="301">
        <f>IF(E164&gt;0,E164*E166*B9/B10,0)</f>
        <v>0</v>
      </c>
      <c r="F168" s="37"/>
      <c r="G168" s="201"/>
      <c r="H168" s="164"/>
    </row>
    <row r="169" spans="1:8" ht="12.75">
      <c r="A169" s="171" t="s">
        <v>319</v>
      </c>
      <c r="B169" s="130"/>
      <c r="C169" s="112"/>
      <c r="D169" s="118" t="s">
        <v>187</v>
      </c>
      <c r="E169" s="306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241</v>
      </c>
      <c r="B170" s="130"/>
      <c r="C170" s="112"/>
      <c r="D170" s="119" t="s">
        <v>188</v>
      </c>
      <c r="E170" s="301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346</v>
      </c>
      <c r="B172" s="130"/>
      <c r="C172" s="112"/>
      <c r="D172" s="118" t="s">
        <v>187</v>
      </c>
      <c r="E172" s="304">
        <f>C84</f>
        <v>0</v>
      </c>
      <c r="F172" s="37"/>
      <c r="G172" s="201"/>
      <c r="H172" s="164"/>
    </row>
    <row r="173" spans="1:8" ht="12.75">
      <c r="A173" s="155" t="s">
        <v>244</v>
      </c>
      <c r="B173" s="130"/>
      <c r="C173" s="112"/>
      <c r="D173" s="119" t="s">
        <v>188</v>
      </c>
      <c r="E173" s="474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344</v>
      </c>
      <c r="B175" s="130"/>
      <c r="C175" s="112"/>
      <c r="D175" s="119"/>
      <c r="E175" s="469">
        <f>E130</f>
        <v>0.2379</v>
      </c>
      <c r="F175" s="470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242</v>
      </c>
      <c r="B177" s="130"/>
      <c r="C177" s="112"/>
      <c r="D177" s="119" t="s">
        <v>186</v>
      </c>
      <c r="E177" s="301">
        <f>E148/(1-E175)</f>
        <v>-60289.58806949461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186</v>
      </c>
      <c r="E178" s="301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186</v>
      </c>
      <c r="E179" s="301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352</v>
      </c>
      <c r="B181" s="130"/>
      <c r="C181" s="112"/>
      <c r="D181" s="119" t="s">
        <v>188</v>
      </c>
      <c r="E181" s="485">
        <f>SUM(E177:E179)</f>
        <v>-60289.58806949461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487</v>
      </c>
      <c r="B183" s="130"/>
      <c r="C183" s="112"/>
      <c r="D183" s="119" t="s">
        <v>186</v>
      </c>
      <c r="E183" s="485">
        <f>E132</f>
        <v>-14011.321789463322</v>
      </c>
      <c r="F183" s="37" t="s">
        <v>101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3.5">
      <c r="A185" s="173" t="s">
        <v>353</v>
      </c>
      <c r="B185" s="130"/>
      <c r="C185" s="112"/>
      <c r="D185" s="119" t="s">
        <v>188</v>
      </c>
      <c r="E185" s="485">
        <f>E181+E183</f>
        <v>-74300.90985895794</v>
      </c>
      <c r="F185" s="37"/>
      <c r="G185" s="201"/>
      <c r="H185" s="164"/>
    </row>
    <row r="186" spans="1:8" ht="12.75">
      <c r="A186" s="162" t="s">
        <v>247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57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82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223</v>
      </c>
      <c r="B193" s="127"/>
      <c r="C193" s="112"/>
      <c r="D193" s="120"/>
      <c r="E193" s="307">
        <f>REGINFO!D62</f>
        <v>310072.5675</v>
      </c>
      <c r="F193" s="3"/>
      <c r="G193" s="123"/>
      <c r="H193" s="164"/>
    </row>
    <row r="194" spans="1:8" ht="12.75">
      <c r="A194" s="155" t="s">
        <v>250</v>
      </c>
      <c r="B194" s="127"/>
      <c r="C194" s="112"/>
      <c r="D194" s="120"/>
      <c r="E194" s="307">
        <f>REGINFO!D66</f>
        <v>285025.78050204326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342</v>
      </c>
      <c r="B196" s="127"/>
      <c r="C196" s="112"/>
      <c r="D196" s="120"/>
      <c r="E196" s="307">
        <f>E193-E194</f>
        <v>25046.786997956748</v>
      </c>
      <c r="F196" s="3"/>
      <c r="G196" s="123"/>
      <c r="H196" s="164"/>
    </row>
    <row r="197" spans="1:8" ht="12.75">
      <c r="A197" s="155" t="s">
        <v>343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256</v>
      </c>
      <c r="B199" s="127"/>
      <c r="C199" s="112"/>
      <c r="D199" s="120"/>
      <c r="E199" s="147"/>
      <c r="F199" s="3"/>
      <c r="G199" s="488"/>
      <c r="H199" s="164"/>
    </row>
    <row r="200" spans="1:8" ht="12.75">
      <c r="A200" s="176" t="s">
        <v>84</v>
      </c>
      <c r="B200" s="127"/>
      <c r="C200" s="112"/>
      <c r="D200" s="120"/>
      <c r="E200" s="147"/>
      <c r="H200" s="164"/>
    </row>
    <row r="201" spans="1:8" ht="12.75">
      <c r="A201" s="155" t="s">
        <v>251</v>
      </c>
      <c r="B201" s="127"/>
      <c r="C201" s="112"/>
      <c r="D201" s="120"/>
      <c r="E201" s="307">
        <f>G37+G42</f>
        <v>352939</v>
      </c>
      <c r="F201" s="3"/>
      <c r="G201" s="488"/>
      <c r="H201" s="164"/>
    </row>
    <row r="202" spans="1:8" ht="12.75">
      <c r="A202" s="502" t="s">
        <v>506</v>
      </c>
      <c r="B202" s="127"/>
      <c r="C202" s="112"/>
      <c r="D202" s="120"/>
      <c r="E202" s="487">
        <f>REGINFO!D62</f>
        <v>310072.5675</v>
      </c>
      <c r="F202" s="495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83</v>
      </c>
      <c r="B204" s="127"/>
      <c r="C204" s="112"/>
      <c r="D204" s="120"/>
      <c r="E204" s="302">
        <f>IF((E201-E202)&gt;0,E201-E202,0)</f>
        <v>42866.432499999995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489</v>
      </c>
      <c r="B206" s="127"/>
      <c r="C206" s="112"/>
      <c r="D206" s="120"/>
      <c r="E206" s="471">
        <f>IF((E201-E202)&gt;0,E201-E202,0)</f>
        <v>42866.432499999995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224</v>
      </c>
      <c r="B208" s="178"/>
      <c r="C208" s="179"/>
      <c r="D208" s="180"/>
      <c r="E208" s="308">
        <f>+E196-E204</f>
        <v>-17819.645502043248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101</v>
      </c>
      <c r="D221" s="85"/>
      <c r="E221" s="72"/>
    </row>
    <row r="222" spans="3:5" ht="12.75">
      <c r="C222" t="s">
        <v>101</v>
      </c>
      <c r="D222" s="85"/>
      <c r="E222" s="72"/>
    </row>
    <row r="223" spans="3:5" ht="12.75">
      <c r="C223" t="s">
        <v>101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36" right="0.03937007874015748" top="0.7086614173228347" bottom="0.35433070866141736" header="0.1968503937007874" footer="0"/>
  <pageSetup fitToHeight="2" fitToWidth="1" horizontalDpi="600" verticalDpi="600" orientation="portrait" scale="10" r:id="rId1"/>
  <headerFooter alignWithMargins="0">
    <oddHeader>&amp;C&amp;A</oddHeader>
    <oddFooter>&amp;C&amp;F&amp;RPage &amp;P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80" zoomScaleNormal="80" zoomScalePageLayoutView="0" workbookViewId="0" topLeftCell="A1">
      <selection activeCell="I8" sqref="I8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9.5742187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Centre Wellington Hydro Ltd.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121</v>
      </c>
      <c r="B11" s="20"/>
      <c r="C11" s="445">
        <f>REGINFO!B6</f>
        <v>365</v>
      </c>
      <c r="D11" s="37" t="s">
        <v>126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216</v>
      </c>
      <c r="C13" s="499">
        <f>REGINFO!D56*0.0025</f>
        <v>10692.1575</v>
      </c>
      <c r="D13" s="83" t="s">
        <v>185</v>
      </c>
      <c r="E13" s="25"/>
      <c r="F13" s="20"/>
      <c r="G13" s="3"/>
      <c r="H13" s="3"/>
      <c r="I13" s="3"/>
    </row>
    <row r="14" spans="1:9" ht="12.75">
      <c r="A14" s="2" t="s">
        <v>119</v>
      </c>
      <c r="B14" s="20" t="s">
        <v>63</v>
      </c>
      <c r="C14" s="8" t="s">
        <v>101</v>
      </c>
      <c r="D14" s="25"/>
      <c r="E14" s="25"/>
      <c r="F14" s="20"/>
      <c r="G14" s="3"/>
      <c r="H14" s="3"/>
      <c r="I14" s="3"/>
    </row>
    <row r="15" spans="1:9" ht="12.75">
      <c r="A15" s="2" t="s">
        <v>120</v>
      </c>
      <c r="B15" s="20" t="s">
        <v>63</v>
      </c>
      <c r="C15" s="8" t="s">
        <v>101</v>
      </c>
      <c r="D15" s="25"/>
      <c r="E15" s="25"/>
      <c r="F15" s="20"/>
      <c r="G15" s="3"/>
      <c r="H15" s="3"/>
      <c r="I15" s="3"/>
    </row>
    <row r="16" spans="1:9" ht="12.75">
      <c r="A16" s="298" t="s">
        <v>227</v>
      </c>
      <c r="B16" s="20" t="s">
        <v>63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284</v>
      </c>
      <c r="B17" s="20" t="s">
        <v>63</v>
      </c>
      <c r="C17" s="8"/>
      <c r="E17" s="26"/>
      <c r="F17" s="8"/>
    </row>
    <row r="18" spans="1:6" ht="12.75">
      <c r="A18" s="55" t="s">
        <v>257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325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258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222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323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324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273</v>
      </c>
      <c r="B31" s="23" t="s">
        <v>186</v>
      </c>
      <c r="C31" s="284">
        <v>8104397</v>
      </c>
      <c r="D31" s="285"/>
      <c r="E31" s="283">
        <f>C31-D31</f>
        <v>8104397</v>
      </c>
      <c r="F31" s="11"/>
      <c r="G31" s="11"/>
      <c r="H31" s="6"/>
      <c r="I31" s="6"/>
    </row>
    <row r="32" spans="1:9" ht="12.75">
      <c r="A32" s="4" t="s">
        <v>220</v>
      </c>
      <c r="B32" s="23" t="s">
        <v>186</v>
      </c>
      <c r="C32" s="284">
        <v>2426695</v>
      </c>
      <c r="D32" s="285"/>
      <c r="E32" s="283">
        <f>C32-D32</f>
        <v>2426695</v>
      </c>
      <c r="F32" s="11"/>
      <c r="G32" s="11"/>
      <c r="H32" s="6"/>
      <c r="I32" s="6"/>
    </row>
    <row r="33" spans="1:9" ht="12.75">
      <c r="A33" s="4" t="s">
        <v>210</v>
      </c>
      <c r="B33" s="23" t="s">
        <v>186</v>
      </c>
      <c r="C33" s="284">
        <f>231960+132986</f>
        <v>364946</v>
      </c>
      <c r="D33" s="285"/>
      <c r="E33" s="283">
        <f>C33-D33</f>
        <v>364946</v>
      </c>
      <c r="F33" s="11"/>
      <c r="G33" s="11"/>
      <c r="H33" s="6"/>
      <c r="I33" s="6"/>
    </row>
    <row r="34" spans="1:9" ht="12.75">
      <c r="A34" s="4" t="s">
        <v>225</v>
      </c>
      <c r="B34" s="23" t="s">
        <v>186</v>
      </c>
      <c r="C34" s="284"/>
      <c r="D34" s="285"/>
      <c r="E34" s="283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186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7" t="s">
        <v>180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285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208</v>
      </c>
      <c r="B39" s="23" t="s">
        <v>187</v>
      </c>
      <c r="C39" s="284">
        <v>8104397</v>
      </c>
      <c r="D39" s="285"/>
      <c r="E39" s="283">
        <f>C39-D39</f>
        <v>8104397</v>
      </c>
      <c r="F39" s="11"/>
      <c r="G39" s="11"/>
      <c r="H39" s="6"/>
      <c r="I39" s="6"/>
    </row>
    <row r="40" spans="1:9" ht="12.75">
      <c r="A40" s="46" t="s">
        <v>209</v>
      </c>
      <c r="B40" s="23" t="s">
        <v>187</v>
      </c>
      <c r="C40" s="284">
        <v>667175</v>
      </c>
      <c r="D40" s="285"/>
      <c r="E40" s="283">
        <f aca="true" t="shared" si="0" ref="E40:E48">C40-D40</f>
        <v>667175</v>
      </c>
      <c r="F40" s="11"/>
      <c r="G40" s="11"/>
      <c r="H40" s="6"/>
      <c r="I40" s="6"/>
    </row>
    <row r="41" spans="1:9" ht="12.75">
      <c r="A41" s="4" t="s">
        <v>274</v>
      </c>
      <c r="B41" s="23" t="s">
        <v>187</v>
      </c>
      <c r="C41" s="284">
        <v>398182</v>
      </c>
      <c r="D41" s="285"/>
      <c r="E41" s="283">
        <f t="shared" si="0"/>
        <v>398182</v>
      </c>
      <c r="F41" s="11"/>
      <c r="G41" s="11"/>
      <c r="H41" s="6"/>
      <c r="I41" s="6"/>
    </row>
    <row r="42" spans="1:9" ht="12.75">
      <c r="A42" s="4" t="s">
        <v>275</v>
      </c>
      <c r="B42" s="23" t="s">
        <v>187</v>
      </c>
      <c r="C42" s="284">
        <v>479396</v>
      </c>
      <c r="D42" s="285"/>
      <c r="E42" s="283">
        <f t="shared" si="0"/>
        <v>479396</v>
      </c>
      <c r="F42" s="11"/>
      <c r="G42" s="11"/>
      <c r="H42" s="6"/>
      <c r="I42" s="6"/>
    </row>
    <row r="43" spans="1:9" ht="12.75">
      <c r="A43" s="4" t="s">
        <v>276</v>
      </c>
      <c r="B43" s="23" t="s">
        <v>187</v>
      </c>
      <c r="C43" s="284">
        <v>513175</v>
      </c>
      <c r="D43" s="285"/>
      <c r="E43" s="283">
        <f t="shared" si="0"/>
        <v>513175</v>
      </c>
      <c r="F43" s="11"/>
      <c r="G43" s="11"/>
      <c r="H43" s="6"/>
      <c r="I43" s="6"/>
    </row>
    <row r="44" spans="1:9" ht="12.75">
      <c r="A44" s="4" t="s">
        <v>277</v>
      </c>
      <c r="B44" s="23" t="s">
        <v>187</v>
      </c>
      <c r="C44" s="284">
        <v>0</v>
      </c>
      <c r="D44" s="285"/>
      <c r="E44" s="283">
        <f t="shared" si="0"/>
        <v>0</v>
      </c>
      <c r="F44" s="11"/>
      <c r="G44" s="11"/>
      <c r="H44" s="6"/>
      <c r="I44" s="6"/>
    </row>
    <row r="45" spans="1:11" ht="12.75">
      <c r="A45" s="492" t="s">
        <v>518</v>
      </c>
      <c r="B45" s="23" t="s">
        <v>187</v>
      </c>
      <c r="C45" s="284">
        <v>561</v>
      </c>
      <c r="D45" s="285"/>
      <c r="E45" s="283">
        <f t="shared" si="0"/>
        <v>561</v>
      </c>
      <c r="F45" s="11"/>
      <c r="G45" s="11"/>
      <c r="H45" s="33"/>
      <c r="I45" s="33"/>
      <c r="J45" s="32"/>
      <c r="K45" s="32"/>
    </row>
    <row r="46" spans="2:11" ht="12.75">
      <c r="B46" s="23" t="s">
        <v>187</v>
      </c>
      <c r="C46" s="284"/>
      <c r="D46" s="285"/>
      <c r="E46" s="283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187</v>
      </c>
      <c r="C47" s="284"/>
      <c r="D47" s="285"/>
      <c r="E47" s="283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187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81</v>
      </c>
      <c r="B50" s="23" t="s">
        <v>188</v>
      </c>
      <c r="C50" s="280">
        <f>SUM(C31:C36)-SUM(C39:C49)</f>
        <v>733152</v>
      </c>
      <c r="D50" s="280">
        <f>SUM(D31:D36)-SUM(D39:D49)</f>
        <v>0</v>
      </c>
      <c r="E50" s="280">
        <f>SUM(E31:E35)-SUM(E39:E48)</f>
        <v>733152</v>
      </c>
      <c r="F50" s="11"/>
      <c r="G50" s="11"/>
      <c r="H50" s="6"/>
      <c r="I50" s="6"/>
    </row>
    <row r="51" spans="1:9" ht="12.75">
      <c r="A51" s="4" t="s">
        <v>90</v>
      </c>
      <c r="B51" s="23" t="s">
        <v>187</v>
      </c>
      <c r="C51" s="284">
        <f>353500-561</f>
        <v>352939</v>
      </c>
      <c r="D51" s="284"/>
      <c r="E51" s="281">
        <f>+C51-D51</f>
        <v>352939</v>
      </c>
      <c r="F51" s="11"/>
      <c r="G51" s="11"/>
      <c r="H51" s="6"/>
      <c r="I51" s="6"/>
    </row>
    <row r="52" spans="1:7" ht="12.75">
      <c r="A52" t="s">
        <v>181</v>
      </c>
      <c r="B52" s="8" t="s">
        <v>187</v>
      </c>
      <c r="C52" s="284">
        <v>49795</v>
      </c>
      <c r="D52" s="284"/>
      <c r="E52" s="282">
        <f>+C52-D52</f>
        <v>49795</v>
      </c>
      <c r="F52" s="8"/>
      <c r="G52" s="415"/>
    </row>
    <row r="53" spans="1:6" ht="12.75">
      <c r="A53" s="2" t="s">
        <v>130</v>
      </c>
      <c r="B53" s="8" t="s">
        <v>188</v>
      </c>
      <c r="C53" s="280">
        <f>C50-C51-C52</f>
        <v>330418</v>
      </c>
      <c r="D53" s="280">
        <f>D50-D51-D52</f>
        <v>0</v>
      </c>
      <c r="E53" s="280">
        <f>E50-E51-E52</f>
        <v>330418</v>
      </c>
      <c r="F53" s="8"/>
    </row>
    <row r="54" spans="1:6" ht="22.5">
      <c r="A54" s="87" t="s">
        <v>213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7" ht="12.75">
      <c r="A59" s="4" t="s">
        <v>97</v>
      </c>
      <c r="B59" s="8" t="s">
        <v>186</v>
      </c>
      <c r="C59" s="286">
        <f>C52</f>
        <v>49795</v>
      </c>
      <c r="D59" s="286">
        <f>D52</f>
        <v>0</v>
      </c>
      <c r="E59" s="271">
        <f>+C59-D59</f>
        <v>49795</v>
      </c>
      <c r="F59" s="8"/>
      <c r="G59" s="415"/>
    </row>
    <row r="60" spans="1:7" ht="12.75">
      <c r="A60" s="4" t="s">
        <v>326</v>
      </c>
      <c r="B60" s="8" t="s">
        <v>186</v>
      </c>
      <c r="C60" s="317">
        <v>0</v>
      </c>
      <c r="D60" s="317"/>
      <c r="E60" s="271">
        <f>+C60-D60</f>
        <v>0</v>
      </c>
      <c r="F60" s="8"/>
      <c r="G60" t="s">
        <v>493</v>
      </c>
    </row>
    <row r="61" spans="1:7" ht="12.75">
      <c r="A61" t="s">
        <v>4</v>
      </c>
      <c r="B61" s="8" t="s">
        <v>186</v>
      </c>
      <c r="C61" s="286">
        <f>C43</f>
        <v>513175</v>
      </c>
      <c r="D61" s="286">
        <f>D43</f>
        <v>0</v>
      </c>
      <c r="E61" s="271">
        <f>+C61-D61</f>
        <v>513175</v>
      </c>
      <c r="F61" s="8"/>
      <c r="G61" s="415"/>
    </row>
    <row r="62" spans="1:6" ht="12.75">
      <c r="A62" t="s">
        <v>6</v>
      </c>
      <c r="B62" s="8" t="s">
        <v>186</v>
      </c>
      <c r="C62" s="317">
        <v>0</v>
      </c>
      <c r="D62" s="286">
        <v>0</v>
      </c>
      <c r="E62" s="271">
        <f>+C62-D62</f>
        <v>0</v>
      </c>
      <c r="F62" s="8"/>
    </row>
    <row r="63" spans="1:6" ht="12.75">
      <c r="A63" s="31" t="s">
        <v>278</v>
      </c>
      <c r="B63" s="8" t="s">
        <v>186</v>
      </c>
      <c r="C63" s="315">
        <f>'Tax Reserves'!C22</f>
        <v>0</v>
      </c>
      <c r="D63" s="316">
        <f>'Tax Reserves'!D22</f>
        <v>0</v>
      </c>
      <c r="E63" s="271">
        <f>C63-D63</f>
        <v>0</v>
      </c>
      <c r="F63" s="8"/>
    </row>
    <row r="64" spans="1:6" ht="12.75">
      <c r="A64" s="4" t="s">
        <v>51</v>
      </c>
      <c r="B64" s="8" t="s">
        <v>186</v>
      </c>
      <c r="C64" s="315">
        <f>'Tax Reserves'!C63</f>
        <v>0</v>
      </c>
      <c r="D64" s="316">
        <f>'Tax Reserves'!D63</f>
        <v>0</v>
      </c>
      <c r="E64" s="271">
        <f>+C64-D64</f>
        <v>0</v>
      </c>
      <c r="F64" s="8"/>
    </row>
    <row r="65" spans="1:6" ht="12.75">
      <c r="A65" t="s">
        <v>442</v>
      </c>
      <c r="B65" s="8" t="s">
        <v>186</v>
      </c>
      <c r="C65" s="285"/>
      <c r="D65" s="285"/>
      <c r="E65" s="271">
        <f>+C65-D65</f>
        <v>0</v>
      </c>
      <c r="F65" s="8"/>
    </row>
    <row r="66" spans="1:6" ht="15">
      <c r="A66" s="467" t="s">
        <v>393</v>
      </c>
      <c r="B66" s="8"/>
      <c r="C66" s="446">
        <f>'TAXREC 3 No True-up'!C47</f>
        <v>212812</v>
      </c>
      <c r="D66" s="446">
        <f>'TAXREC 3 No True-up'!D47</f>
        <v>0</v>
      </c>
      <c r="E66" s="271">
        <f>+C66-D66</f>
        <v>212812</v>
      </c>
      <c r="F66" s="8"/>
    </row>
    <row r="67" spans="1:6" ht="12.75">
      <c r="A67" t="s">
        <v>159</v>
      </c>
      <c r="B67" s="8" t="s">
        <v>186</v>
      </c>
      <c r="C67" s="251">
        <f>'TAXREC 2'!C77</f>
        <v>0</v>
      </c>
      <c r="D67" s="251">
        <f>'TAXREC 2'!D77</f>
        <v>0</v>
      </c>
      <c r="E67" s="271">
        <f>+C67-D67</f>
        <v>0</v>
      </c>
      <c r="F67" s="8"/>
    </row>
    <row r="68" spans="1:11" ht="12.75">
      <c r="A68" t="s">
        <v>160</v>
      </c>
      <c r="B68" s="8" t="s">
        <v>186</v>
      </c>
      <c r="C68" s="251">
        <f>'TAXREC 2'!C78</f>
        <v>0</v>
      </c>
      <c r="D68" s="251">
        <f>'TAXREC 2'!D78</f>
        <v>0</v>
      </c>
      <c r="E68" s="271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105</v>
      </c>
      <c r="B70" s="8"/>
      <c r="C70" s="271">
        <f>SUM(C59:C68)</f>
        <v>775782</v>
      </c>
      <c r="D70" s="271">
        <f>SUM(D59:D68)</f>
        <v>0</v>
      </c>
      <c r="E70" s="271">
        <f>SUM(E59:E68)</f>
        <v>775782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147</v>
      </c>
      <c r="B74" s="8" t="s">
        <v>186</v>
      </c>
      <c r="C74" s="293"/>
      <c r="D74" s="293"/>
      <c r="E74" s="271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186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497" t="s">
        <v>503</v>
      </c>
      <c r="B76" s="8" t="s">
        <v>186</v>
      </c>
      <c r="C76" s="483"/>
      <c r="D76" s="293"/>
      <c r="E76" s="479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186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186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186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49</v>
      </c>
      <c r="B80" s="8" t="s">
        <v>188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188</v>
      </c>
      <c r="C82" s="251">
        <f>C70+C80</f>
        <v>775782</v>
      </c>
      <c r="D82" s="251">
        <f>D70+D80</f>
        <v>0</v>
      </c>
      <c r="E82" s="251">
        <f>E70+E80</f>
        <v>775782</v>
      </c>
      <c r="F82" s="8"/>
      <c r="G82" s="30">
        <f>777836-C82</f>
        <v>2054</v>
      </c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150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430</v>
      </c>
      <c r="B93" s="272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196</v>
      </c>
      <c r="B94" s="272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187</v>
      </c>
      <c r="C97" s="293">
        <v>585284</v>
      </c>
      <c r="D97" s="293"/>
      <c r="E97" s="271">
        <f>+C97-D97</f>
        <v>585284</v>
      </c>
      <c r="F97" s="8"/>
      <c r="G97" s="45" t="s">
        <v>492</v>
      </c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293">
        <v>0</v>
      </c>
      <c r="D98" s="293"/>
      <c r="E98" s="271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293">
        <v>0</v>
      </c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187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187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187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93</v>
      </c>
      <c r="B103" s="8" t="s">
        <v>187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261</v>
      </c>
      <c r="B104" s="8" t="s">
        <v>187</v>
      </c>
      <c r="C104" s="318">
        <f>'Tax Reserves'!C35</f>
        <v>0</v>
      </c>
      <c r="D104" s="318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279</v>
      </c>
      <c r="B105" s="8" t="s">
        <v>187</v>
      </c>
      <c r="C105" s="318">
        <f>'Tax Reserves'!C50</f>
        <v>0</v>
      </c>
      <c r="D105" s="318">
        <f>'Tax Reserves'!D50</f>
        <v>0</v>
      </c>
      <c r="E105" s="281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7" t="s">
        <v>393</v>
      </c>
      <c r="B108" s="8"/>
      <c r="C108" s="254">
        <f>'TAXREC 3 No True-up'!C73</f>
        <v>130179</v>
      </c>
      <c r="D108" s="254">
        <f>'TAXREC 3 No True-up'!D73</f>
        <v>0</v>
      </c>
      <c r="E108" s="271">
        <f t="shared" si="5"/>
        <v>130179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163</v>
      </c>
      <c r="B113" s="8" t="s">
        <v>188</v>
      </c>
      <c r="C113" s="251">
        <f>SUM(C97:C111)</f>
        <v>715463</v>
      </c>
      <c r="D113" s="251">
        <f>SUM(D97:D111)</f>
        <v>0</v>
      </c>
      <c r="E113" s="251">
        <f>SUM(E97:E111)</f>
        <v>715463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187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221</v>
      </c>
      <c r="B116" s="8" t="s">
        <v>187</v>
      </c>
      <c r="C116" s="293"/>
      <c r="D116" s="293"/>
      <c r="E116" s="271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497" t="s">
        <v>502</v>
      </c>
      <c r="B117" s="8" t="s">
        <v>187</v>
      </c>
      <c r="C117" s="293"/>
      <c r="D117" s="293"/>
      <c r="E117" s="271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497"/>
      <c r="B118" s="8"/>
      <c r="C118" s="293">
        <v>0</v>
      </c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500" t="s">
        <v>505</v>
      </c>
      <c r="B119" s="8" t="s">
        <v>187</v>
      </c>
      <c r="C119" s="293">
        <v>0</v>
      </c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50</v>
      </c>
      <c r="B120" s="8" t="s">
        <v>188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188</v>
      </c>
      <c r="C122" s="251">
        <f>C113+C120</f>
        <v>715463</v>
      </c>
      <c r="D122" s="251">
        <f>D113+D120</f>
        <v>0</v>
      </c>
      <c r="E122" s="251">
        <f>+E113+E120</f>
        <v>715463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198</v>
      </c>
      <c r="B130" s="272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199</v>
      </c>
      <c r="B131" s="272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197</v>
      </c>
      <c r="B132" s="272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38"/>
      <c r="H133" s="503" t="s">
        <v>507</v>
      </c>
      <c r="I133" s="30">
        <f>C134</f>
        <v>390737</v>
      </c>
      <c r="J133" s="508"/>
      <c r="K133" s="45"/>
    </row>
    <row r="134" spans="1:11" ht="12.75">
      <c r="A134" s="13" t="s">
        <v>80</v>
      </c>
      <c r="B134" s="8" t="s">
        <v>188</v>
      </c>
      <c r="C134" s="251">
        <f>+C53+C82-C122</f>
        <v>390737</v>
      </c>
      <c r="D134" s="251">
        <f>D53+D82-D122</f>
        <v>0</v>
      </c>
      <c r="E134" s="251">
        <f>E53+E82-E122</f>
        <v>390737</v>
      </c>
      <c r="F134" s="8"/>
      <c r="G134" s="38"/>
      <c r="H134" s="503" t="s">
        <v>512</v>
      </c>
      <c r="I134" s="30">
        <v>100000</v>
      </c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38"/>
      <c r="H135" s="503" t="s">
        <v>513</v>
      </c>
      <c r="I135" s="30">
        <v>328</v>
      </c>
      <c r="J135" s="45"/>
      <c r="K135" s="45"/>
    </row>
    <row r="136" spans="1:11" ht="12.75">
      <c r="A136" s="12" t="s">
        <v>373</v>
      </c>
      <c r="B136" s="8" t="s">
        <v>187</v>
      </c>
      <c r="C136" s="293">
        <v>227343</v>
      </c>
      <c r="D136" s="293"/>
      <c r="E136" s="263">
        <f>C136-D136</f>
        <v>227343</v>
      </c>
      <c r="F136" s="8"/>
      <c r="G136" s="38"/>
      <c r="H136" s="504" t="s">
        <v>515</v>
      </c>
      <c r="I136" s="30">
        <f>'TAXREC 3 No True-up'!C69</f>
        <v>0</v>
      </c>
      <c r="J136" s="45"/>
      <c r="K136" s="45"/>
    </row>
    <row r="137" spans="1:11" ht="12.75">
      <c r="A137" s="46" t="s">
        <v>374</v>
      </c>
      <c r="B137" s="8" t="s">
        <v>187</v>
      </c>
      <c r="C137" s="309"/>
      <c r="D137" s="309"/>
      <c r="E137" s="393">
        <f>C137-D137</f>
        <v>0</v>
      </c>
      <c r="F137" s="8"/>
      <c r="G137" s="38"/>
      <c r="H137" s="505" t="s">
        <v>508</v>
      </c>
      <c r="I137" s="506">
        <f>SUM(I133:I136)</f>
        <v>491065</v>
      </c>
      <c r="J137" s="45"/>
      <c r="K137" s="30"/>
    </row>
    <row r="138" spans="1:11" ht="12.75">
      <c r="A138" s="498"/>
      <c r="B138" s="8"/>
      <c r="C138" s="309"/>
      <c r="D138" s="309"/>
      <c r="E138" s="393">
        <f>C138-D138</f>
        <v>0</v>
      </c>
      <c r="F138" s="8"/>
      <c r="G138" s="38"/>
      <c r="H138" s="505" t="s">
        <v>509</v>
      </c>
      <c r="I138" s="45">
        <v>0</v>
      </c>
      <c r="J138" s="45"/>
      <c r="K138" s="45"/>
    </row>
    <row r="139" spans="1:11" ht="13.5" thickBot="1">
      <c r="A139" s="46" t="s">
        <v>96</v>
      </c>
      <c r="B139" s="8" t="s">
        <v>188</v>
      </c>
      <c r="C139" s="252">
        <f>C134-C136-C137-C138</f>
        <v>163394</v>
      </c>
      <c r="D139" s="252">
        <f>D134-D136-D137-D138</f>
        <v>0</v>
      </c>
      <c r="E139" s="252">
        <f>E134-E136-E137-E138</f>
        <v>163394</v>
      </c>
      <c r="F139" s="8"/>
      <c r="G139" s="38"/>
      <c r="H139" s="505" t="s">
        <v>510</v>
      </c>
      <c r="I139" s="507">
        <f>SUM(I137:I138)</f>
        <v>491065</v>
      </c>
      <c r="J139" s="508"/>
      <c r="K139" s="45"/>
    </row>
    <row r="140" spans="1:11" ht="13.5" thickTop="1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305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322</v>
      </c>
      <c r="B142" s="8" t="s">
        <v>186</v>
      </c>
      <c r="C142" s="297">
        <f>22244</f>
        <v>22244</v>
      </c>
      <c r="D142" s="297"/>
      <c r="E142" s="252">
        <f>C142-D142</f>
        <v>22244</v>
      </c>
      <c r="F142" s="8"/>
      <c r="G142" s="45"/>
      <c r="H142" s="45"/>
      <c r="I142" s="45"/>
      <c r="J142" s="45"/>
      <c r="K142" s="45"/>
    </row>
    <row r="143" spans="1:11" ht="12.75">
      <c r="A143" s="46" t="s">
        <v>321</v>
      </c>
      <c r="B143" s="8" t="s">
        <v>186</v>
      </c>
      <c r="C143" s="297">
        <f>8986+6209</f>
        <v>15195</v>
      </c>
      <c r="D143" s="297"/>
      <c r="E143" s="291">
        <f>C143-D143</f>
        <v>15195</v>
      </c>
      <c r="F143" s="8"/>
      <c r="G143" s="45"/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52">
        <f>C142+C143</f>
        <v>37439</v>
      </c>
      <c r="D144" s="252">
        <f>D142+D143</f>
        <v>0</v>
      </c>
      <c r="E144" s="252">
        <f>E142+E143</f>
        <v>37439</v>
      </c>
      <c r="F144" s="8"/>
      <c r="G144" s="45"/>
      <c r="H144" s="45"/>
      <c r="I144" s="30"/>
      <c r="J144" s="45"/>
      <c r="K144" s="45"/>
    </row>
    <row r="145" spans="1:11" ht="12.75">
      <c r="A145" s="46" t="s">
        <v>333</v>
      </c>
      <c r="B145" s="8" t="s">
        <v>187</v>
      </c>
      <c r="C145" s="297">
        <v>0</v>
      </c>
      <c r="D145" s="297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98</v>
      </c>
      <c r="B146" s="8" t="s">
        <v>188</v>
      </c>
      <c r="C146" s="252">
        <f>C144-C145</f>
        <v>37439</v>
      </c>
      <c r="D146" s="252">
        <f>D144-D145</f>
        <v>0</v>
      </c>
      <c r="E146" s="252">
        <f>E144-E145</f>
        <v>37439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305</v>
      </c>
      <c r="B148" s="8"/>
      <c r="C148" s="5"/>
      <c r="D148" s="5"/>
      <c r="E148" s="5"/>
      <c r="F148" s="8"/>
      <c r="G148" s="510" t="s">
        <v>517</v>
      </c>
      <c r="H148" s="45"/>
      <c r="I148" s="45"/>
      <c r="J148" s="45"/>
      <c r="K148" s="45"/>
    </row>
    <row r="149" spans="1:11" ht="12.75">
      <c r="A149" s="46" t="s">
        <v>328</v>
      </c>
      <c r="B149" s="8"/>
      <c r="C149" s="404">
        <f>G149</f>
        <v>0.04529746571227841</v>
      </c>
      <c r="D149" s="5"/>
      <c r="E149" s="405">
        <f>C149</f>
        <v>0.04529746571227841</v>
      </c>
      <c r="F149" s="8"/>
      <c r="G149" s="511">
        <f>C142/I139</f>
        <v>0.04529746571227841</v>
      </c>
      <c r="H149" s="45"/>
      <c r="I149" s="45"/>
      <c r="J149" s="45"/>
      <c r="K149" s="45"/>
    </row>
    <row r="150" spans="1:11" ht="12.75">
      <c r="A150" s="46" t="s">
        <v>329</v>
      </c>
      <c r="B150" s="8"/>
      <c r="C150" s="404">
        <f>G150</f>
        <v>0.030942950525897794</v>
      </c>
      <c r="D150" s="490"/>
      <c r="E150" s="405">
        <f>C150</f>
        <v>0.030942950525897794</v>
      </c>
      <c r="F150" s="8"/>
      <c r="G150" s="512">
        <f>C143/I139</f>
        <v>0.030942950525897794</v>
      </c>
      <c r="H150" s="45"/>
      <c r="I150" s="45"/>
      <c r="J150" s="45"/>
      <c r="K150" s="45"/>
    </row>
    <row r="151" spans="1:11" ht="12.75">
      <c r="A151" t="s">
        <v>330</v>
      </c>
      <c r="B151" s="8"/>
      <c r="C151" s="405">
        <f>SUM(C149:C150)</f>
        <v>0.0762404162381762</v>
      </c>
      <c r="D151" s="5"/>
      <c r="E151" s="405">
        <f>SUM(E149:E150)</f>
        <v>0.0762404162381762</v>
      </c>
      <c r="F151" s="8"/>
      <c r="G151" s="512">
        <f>SUM(G149:G150)</f>
        <v>0.0762404162381762</v>
      </c>
      <c r="H151" s="45"/>
      <c r="I151" s="45"/>
      <c r="J151" s="45"/>
      <c r="K151" s="508"/>
    </row>
    <row r="152" spans="2:11" ht="12.75">
      <c r="B152" s="8"/>
      <c r="C152" s="5"/>
      <c r="D152" s="5"/>
      <c r="E152" s="5"/>
      <c r="F152" s="8"/>
      <c r="G152" s="484"/>
      <c r="H152" s="45"/>
      <c r="I152" s="45"/>
      <c r="J152" s="45"/>
      <c r="K152" s="508"/>
    </row>
    <row r="153" spans="1:11" ht="12.75">
      <c r="A153" s="14" t="s">
        <v>355</v>
      </c>
      <c r="B153" s="8"/>
      <c r="F153" s="8"/>
      <c r="G153" s="45"/>
      <c r="H153" s="45"/>
      <c r="I153" s="45"/>
      <c r="J153" s="45"/>
      <c r="K153" s="45"/>
    </row>
    <row r="154" spans="1:11" ht="12.75">
      <c r="A154" s="14"/>
      <c r="B154" s="8"/>
      <c r="F154" s="8"/>
      <c r="G154" s="45"/>
      <c r="H154" s="45"/>
      <c r="I154" s="45"/>
      <c r="J154" s="45"/>
      <c r="K154" s="45"/>
    </row>
    <row r="155" spans="1:2" ht="12.75">
      <c r="A155" s="2" t="s">
        <v>475</v>
      </c>
      <c r="B155" s="8"/>
    </row>
    <row r="156" spans="1:5" ht="12.75">
      <c r="A156" t="s">
        <v>218</v>
      </c>
      <c r="B156" s="86" t="s">
        <v>186</v>
      </c>
      <c r="C156" s="251">
        <f>C146</f>
        <v>37439</v>
      </c>
      <c r="D156" s="251">
        <f>D146</f>
        <v>0</v>
      </c>
      <c r="E156" s="251">
        <f>E146</f>
        <v>37439</v>
      </c>
    </row>
    <row r="157" spans="1:5" ht="12.75">
      <c r="A157" t="s">
        <v>20</v>
      </c>
      <c r="B157" s="86" t="s">
        <v>186</v>
      </c>
      <c r="C157" s="480">
        <v>25306</v>
      </c>
      <c r="D157" s="251"/>
      <c r="E157" s="251">
        <f>C157+D157</f>
        <v>25306</v>
      </c>
    </row>
    <row r="158" spans="1:5" ht="12.75">
      <c r="A158" t="s">
        <v>217</v>
      </c>
      <c r="B158" s="86" t="s">
        <v>186</v>
      </c>
      <c r="C158" s="480">
        <v>2810</v>
      </c>
      <c r="D158" s="251"/>
      <c r="E158" s="251">
        <f>C158+D158</f>
        <v>2810</v>
      </c>
    </row>
    <row r="159" ht="12.75">
      <c r="B159" s="8"/>
    </row>
    <row r="160" spans="1:5" ht="12.75">
      <c r="A160" s="2" t="s">
        <v>302</v>
      </c>
      <c r="B160" s="66" t="s">
        <v>188</v>
      </c>
      <c r="C160" s="251">
        <f>C156+C157+C158</f>
        <v>65555</v>
      </c>
      <c r="D160" s="251">
        <f>D156+D157+D158</f>
        <v>0</v>
      </c>
      <c r="E160" s="251">
        <f>E156+E157+E158</f>
        <v>65555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7086614173228347" bottom="0.35433070866141736" header="0.1968503937007874" footer="0"/>
  <pageSetup fitToHeight="2" fitToWidth="1" horizontalDpi="600" verticalDpi="600" orientation="portrait" scale="10" r:id="rId1"/>
  <headerFooter alignWithMargins="0">
    <oddHeader>&amp;C&amp;A</oddHeader>
    <oddFooter>&amp;C&amp;F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1">
      <selection activeCell="D39" sqref="D39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300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301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Centre Wellington Hydro Ltd.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7" t="s">
        <v>272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51">
        <f>C13-D13</f>
        <v>0</v>
      </c>
    </row>
    <row r="14" spans="1:5" ht="12.75">
      <c r="A14" s="61" t="s">
        <v>280</v>
      </c>
      <c r="B14" s="61"/>
      <c r="C14" s="293"/>
      <c r="D14" s="293"/>
      <c r="E14" s="251">
        <f aca="true" t="shared" si="0" ref="E14:E21">C14-D14</f>
        <v>0</v>
      </c>
    </row>
    <row r="15" spans="1:5" ht="12.75">
      <c r="A15" s="61" t="s">
        <v>281</v>
      </c>
      <c r="B15" s="61"/>
      <c r="C15" s="293"/>
      <c r="D15" s="293"/>
      <c r="E15" s="251">
        <f t="shared" si="0"/>
        <v>0</v>
      </c>
    </row>
    <row r="16" spans="1:5" ht="12.75">
      <c r="A16" s="61" t="s">
        <v>282</v>
      </c>
      <c r="B16" s="61"/>
      <c r="C16" s="293"/>
      <c r="D16" s="293"/>
      <c r="E16" s="251">
        <f t="shared" si="0"/>
        <v>0</v>
      </c>
    </row>
    <row r="17" spans="1:5" ht="12.75">
      <c r="A17" s="61" t="s">
        <v>283</v>
      </c>
      <c r="B17" s="61"/>
      <c r="C17" s="293"/>
      <c r="D17" s="293"/>
      <c r="E17" s="251">
        <f t="shared" si="0"/>
        <v>0</v>
      </c>
    </row>
    <row r="18" spans="1:5" ht="12.75">
      <c r="A18" s="61" t="s">
        <v>447</v>
      </c>
      <c r="B18" s="61"/>
      <c r="C18" s="293"/>
      <c r="D18" s="293"/>
      <c r="E18" s="251">
        <f t="shared" si="0"/>
        <v>0</v>
      </c>
    </row>
    <row r="19" spans="1:5" ht="12.75">
      <c r="A19" s="61" t="s">
        <v>447</v>
      </c>
      <c r="B19" s="61"/>
      <c r="C19" s="293"/>
      <c r="D19" s="293"/>
      <c r="E19" s="251">
        <f t="shared" si="0"/>
        <v>0</v>
      </c>
    </row>
    <row r="20" spans="1:5" ht="12.75">
      <c r="A20" s="61"/>
      <c r="B20" s="61"/>
      <c r="C20" s="293"/>
      <c r="D20" s="293"/>
      <c r="E20" s="251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179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271</v>
      </c>
      <c r="B24" s="61"/>
      <c r="C24" s="91"/>
      <c r="D24" s="91"/>
      <c r="E24" s="91"/>
    </row>
    <row r="25" spans="1:5" ht="12.75">
      <c r="A25" s="61"/>
      <c r="B25" s="61"/>
      <c r="C25" s="293"/>
      <c r="D25" s="293"/>
      <c r="E25" s="251">
        <f>C25-D25</f>
        <v>0</v>
      </c>
    </row>
    <row r="26" spans="1:5" ht="12.75">
      <c r="A26" s="61" t="s">
        <v>280</v>
      </c>
      <c r="B26" s="61"/>
      <c r="C26" s="293"/>
      <c r="D26" s="293"/>
      <c r="E26" s="251">
        <f aca="true" t="shared" si="1" ref="E26:E33">C26-D26</f>
        <v>0</v>
      </c>
    </row>
    <row r="27" spans="1:5" ht="12.75">
      <c r="A27" s="61" t="s">
        <v>281</v>
      </c>
      <c r="B27" s="61"/>
      <c r="C27" s="293"/>
      <c r="D27" s="293"/>
      <c r="E27" s="251">
        <f t="shared" si="1"/>
        <v>0</v>
      </c>
    </row>
    <row r="28" spans="1:5" ht="12.75">
      <c r="A28" s="61" t="s">
        <v>282</v>
      </c>
      <c r="B28" s="61"/>
      <c r="C28" s="293"/>
      <c r="D28" s="293"/>
      <c r="E28" s="251">
        <f t="shared" si="1"/>
        <v>0</v>
      </c>
    </row>
    <row r="29" spans="1:5" ht="12.75">
      <c r="A29" s="61" t="s">
        <v>283</v>
      </c>
      <c r="B29" s="61"/>
      <c r="C29" s="293"/>
      <c r="D29" s="293"/>
      <c r="E29" s="251">
        <f t="shared" si="1"/>
        <v>0</v>
      </c>
    </row>
    <row r="30" spans="1:5" ht="12.75">
      <c r="A30" s="61" t="s">
        <v>447</v>
      </c>
      <c r="B30" s="61"/>
      <c r="C30" s="293"/>
      <c r="D30" s="293"/>
      <c r="E30" s="251">
        <f t="shared" si="1"/>
        <v>0</v>
      </c>
    </row>
    <row r="31" spans="1:5" ht="12.75">
      <c r="A31" s="61" t="s">
        <v>447</v>
      </c>
      <c r="B31" s="61"/>
      <c r="C31" s="293"/>
      <c r="D31" s="293"/>
      <c r="E31" s="251">
        <f t="shared" si="1"/>
        <v>0</v>
      </c>
    </row>
    <row r="32" spans="1:5" ht="12.75">
      <c r="A32" s="61"/>
      <c r="B32" s="61"/>
      <c r="C32" s="293"/>
      <c r="D32" s="293"/>
      <c r="E32" s="251">
        <f t="shared" si="1"/>
        <v>0</v>
      </c>
    </row>
    <row r="33" spans="1:5" ht="13.5" thickBot="1">
      <c r="A33" s="62"/>
      <c r="B33" s="61"/>
      <c r="C33" s="293"/>
      <c r="D33" s="293"/>
      <c r="E33" s="251">
        <f t="shared" si="1"/>
        <v>0</v>
      </c>
    </row>
    <row r="34" spans="1:5" ht="12.75">
      <c r="A34" s="56" t="s">
        <v>131</v>
      </c>
      <c r="C34" s="22"/>
      <c r="D34" s="22"/>
      <c r="E34" s="278"/>
    </row>
    <row r="35" spans="1:5" ht="12.75">
      <c r="A35" s="2" t="s">
        <v>179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270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272</v>
      </c>
      <c r="B40" s="61"/>
      <c r="C40" s="91"/>
      <c r="D40" s="91"/>
      <c r="E40" s="91"/>
    </row>
    <row r="41" spans="1:5" ht="12.75">
      <c r="A41" s="61"/>
      <c r="B41" s="61"/>
      <c r="C41" s="293"/>
      <c r="D41" s="293"/>
      <c r="E41" s="251">
        <f>C41-D41</f>
        <v>0</v>
      </c>
    </row>
    <row r="42" spans="1:5" ht="12.75">
      <c r="A42" s="61"/>
      <c r="B42" s="61"/>
      <c r="C42" s="293"/>
      <c r="D42" s="293"/>
      <c r="E42" s="251">
        <f aca="true" t="shared" si="2" ref="E42:E49">C42-D42</f>
        <v>0</v>
      </c>
    </row>
    <row r="43" spans="1:5" ht="12.75">
      <c r="A43" s="61" t="s">
        <v>266</v>
      </c>
      <c r="B43" s="61"/>
      <c r="C43" s="293"/>
      <c r="D43" s="293"/>
      <c r="E43" s="251">
        <f t="shared" si="2"/>
        <v>0</v>
      </c>
    </row>
    <row r="44" spans="1:5" ht="12.75">
      <c r="A44" s="61" t="s">
        <v>267</v>
      </c>
      <c r="B44" s="61"/>
      <c r="C44" s="293"/>
      <c r="D44" s="293"/>
      <c r="E44" s="251">
        <f t="shared" si="2"/>
        <v>0</v>
      </c>
    </row>
    <row r="45" spans="1:5" ht="12.75">
      <c r="A45" s="61" t="s">
        <v>268</v>
      </c>
      <c r="B45" s="61"/>
      <c r="C45" s="293"/>
      <c r="D45" s="293"/>
      <c r="E45" s="251">
        <f t="shared" si="2"/>
        <v>0</v>
      </c>
    </row>
    <row r="46" spans="1:5" ht="12.75">
      <c r="A46" s="61" t="s">
        <v>269</v>
      </c>
      <c r="B46" s="61"/>
      <c r="C46" s="293"/>
      <c r="D46" s="293"/>
      <c r="E46" s="251">
        <f t="shared" si="2"/>
        <v>0</v>
      </c>
    </row>
    <row r="47" spans="1:5" ht="12.75">
      <c r="A47" s="61" t="s">
        <v>447</v>
      </c>
      <c r="B47" s="61"/>
      <c r="C47" s="293"/>
      <c r="D47" s="293"/>
      <c r="E47" s="251">
        <f t="shared" si="2"/>
        <v>0</v>
      </c>
    </row>
    <row r="48" spans="1:5" ht="12.75">
      <c r="A48" s="61" t="s">
        <v>447</v>
      </c>
      <c r="B48" s="61"/>
      <c r="C48" s="293"/>
      <c r="D48" s="293"/>
      <c r="E48" s="251">
        <f t="shared" si="2"/>
        <v>0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179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271</v>
      </c>
      <c r="B52" s="61"/>
      <c r="C52" s="91"/>
      <c r="D52" s="91"/>
      <c r="E52" s="91"/>
    </row>
    <row r="53" spans="1:5" ht="12.75">
      <c r="A53" s="61"/>
      <c r="B53" s="61"/>
      <c r="C53" s="293"/>
      <c r="D53" s="293"/>
      <c r="E53" s="251">
        <f>C53-D53</f>
        <v>0</v>
      </c>
    </row>
    <row r="54" spans="1:5" ht="12.75">
      <c r="A54" s="246"/>
      <c r="B54" s="61"/>
      <c r="C54" s="293"/>
      <c r="D54" s="293"/>
      <c r="E54" s="251">
        <f aca="true" t="shared" si="3" ref="E54:E61">C54-D54</f>
        <v>0</v>
      </c>
    </row>
    <row r="55" spans="1:5" ht="12.75">
      <c r="A55" s="246" t="s">
        <v>266</v>
      </c>
      <c r="B55" s="61"/>
      <c r="C55" s="293"/>
      <c r="D55" s="293"/>
      <c r="E55" s="251">
        <f t="shared" si="3"/>
        <v>0</v>
      </c>
    </row>
    <row r="56" spans="1:5" ht="12.75">
      <c r="A56" s="246" t="s">
        <v>267</v>
      </c>
      <c r="B56" s="61"/>
      <c r="C56" s="293"/>
      <c r="D56" s="293"/>
      <c r="E56" s="251">
        <f t="shared" si="3"/>
        <v>0</v>
      </c>
    </row>
    <row r="57" spans="1:5" ht="12.75">
      <c r="A57" s="246" t="s">
        <v>268</v>
      </c>
      <c r="B57" s="61"/>
      <c r="C57" s="293"/>
      <c r="D57" s="293"/>
      <c r="E57" s="251">
        <f t="shared" si="3"/>
        <v>0</v>
      </c>
    </row>
    <row r="58" spans="1:5" ht="12.75">
      <c r="A58" s="246" t="s">
        <v>269</v>
      </c>
      <c r="B58" s="61"/>
      <c r="C58" s="293"/>
      <c r="D58" s="293"/>
      <c r="E58" s="251">
        <f t="shared" si="3"/>
        <v>0</v>
      </c>
    </row>
    <row r="59" spans="1:5" ht="12.75">
      <c r="A59" s="61" t="s">
        <v>447</v>
      </c>
      <c r="B59" s="61"/>
      <c r="C59" s="293"/>
      <c r="D59" s="293"/>
      <c r="E59" s="251">
        <f t="shared" si="3"/>
        <v>0</v>
      </c>
    </row>
    <row r="60" spans="1:5" ht="12.75">
      <c r="A60" s="61" t="s">
        <v>447</v>
      </c>
      <c r="B60" s="61"/>
      <c r="C60" s="293"/>
      <c r="D60" s="293"/>
      <c r="E60" s="251">
        <f t="shared" si="3"/>
        <v>0</v>
      </c>
    </row>
    <row r="61" spans="1:5" ht="13.5" thickBot="1">
      <c r="A61" s="62"/>
      <c r="B61" s="61"/>
      <c r="C61" s="293"/>
      <c r="D61" s="293"/>
      <c r="E61" s="251">
        <f t="shared" si="3"/>
        <v>0</v>
      </c>
    </row>
    <row r="62" spans="1:5" ht="12.75">
      <c r="A62" s="56" t="s">
        <v>131</v>
      </c>
      <c r="C62" s="22"/>
      <c r="D62" s="22"/>
      <c r="E62" s="278"/>
    </row>
    <row r="63" spans="1:5" ht="12.75">
      <c r="A63" s="2" t="s">
        <v>179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36" right="0.03937007874015748" top="0.7086614173228347" bottom="0.35433070866141736" header="0.1968503937007874" footer="0"/>
  <pageSetup fitToHeight="1" fitToWidth="1" horizontalDpi="600" verticalDpi="600" orientation="portrait" scale="88" r:id="rId1"/>
  <headerFooter alignWithMargins="0">
    <oddHeader>&amp;C&amp;A</oddHeader>
    <oddFooter>&amp;C&amp;F&amp;RPage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7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C7" sqref="C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466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465</v>
      </c>
      <c r="B5" s="8"/>
      <c r="C5" s="8" t="s">
        <v>2</v>
      </c>
      <c r="D5" s="8"/>
      <c r="E5" s="8"/>
      <c r="F5" s="8"/>
    </row>
    <row r="6" spans="1:6" ht="12.75">
      <c r="A6" s="415" t="s">
        <v>444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Centre Wellington Hydro Ltd.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70">
        <f>TAXREC!C11</f>
        <v>365</v>
      </c>
      <c r="D10" s="60"/>
      <c r="E10" s="25"/>
      <c r="F10" s="20"/>
    </row>
    <row r="11" spans="1:6" ht="12.75">
      <c r="A11" s="2" t="s">
        <v>118</v>
      </c>
      <c r="B11" s="20"/>
      <c r="C11" s="271">
        <f>TAXREC!C13</f>
        <v>10692.1575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7"/>
      <c r="B17" t="s">
        <v>186</v>
      </c>
      <c r="C17" s="294"/>
      <c r="D17" s="294"/>
      <c r="E17" s="312">
        <f>C17-D17</f>
        <v>0</v>
      </c>
    </row>
    <row r="18" spans="1:5" ht="12.75">
      <c r="A18" s="67" t="s">
        <v>252</v>
      </c>
      <c r="B18" t="s">
        <v>186</v>
      </c>
      <c r="C18" s="294"/>
      <c r="D18" s="294"/>
      <c r="E18" s="312">
        <f aca="true" t="shared" si="0" ref="E18:E44">C18-D18</f>
        <v>0</v>
      </c>
    </row>
    <row r="19" spans="1:5" ht="12.75">
      <c r="A19" s="67" t="s">
        <v>134</v>
      </c>
      <c r="B19" t="s">
        <v>186</v>
      </c>
      <c r="C19" s="294"/>
      <c r="D19" s="294"/>
      <c r="E19" s="312">
        <f t="shared" si="0"/>
        <v>0</v>
      </c>
    </row>
    <row r="20" spans="1:5" ht="12.75">
      <c r="A20" s="67" t="s">
        <v>448</v>
      </c>
      <c r="B20" t="s">
        <v>186</v>
      </c>
      <c r="C20" s="294"/>
      <c r="D20" s="313"/>
      <c r="E20" s="312">
        <f t="shared" si="0"/>
        <v>0</v>
      </c>
    </row>
    <row r="21" spans="1:5" ht="12.75">
      <c r="A21" s="67" t="s">
        <v>8</v>
      </c>
      <c r="B21" t="s">
        <v>186</v>
      </c>
      <c r="C21" s="294"/>
      <c r="D21" s="294"/>
      <c r="E21" s="312">
        <f t="shared" si="0"/>
        <v>0</v>
      </c>
    </row>
    <row r="22" spans="1:5" ht="12.75">
      <c r="A22" s="67"/>
      <c r="B22" t="s">
        <v>186</v>
      </c>
      <c r="C22" s="294"/>
      <c r="D22" s="294"/>
      <c r="E22" s="312">
        <f t="shared" si="0"/>
        <v>0</v>
      </c>
    </row>
    <row r="23" spans="1:5" ht="12.75">
      <c r="A23" s="67" t="s">
        <v>136</v>
      </c>
      <c r="B23" t="s">
        <v>186</v>
      </c>
      <c r="C23" s="294"/>
      <c r="D23" s="294"/>
      <c r="E23" s="312">
        <f t="shared" si="0"/>
        <v>0</v>
      </c>
    </row>
    <row r="24" spans="1:5" ht="12.75">
      <c r="A24" s="67" t="s">
        <v>137</v>
      </c>
      <c r="B24" t="s">
        <v>186</v>
      </c>
      <c r="C24" s="294"/>
      <c r="D24" s="294"/>
      <c r="E24" s="312">
        <f t="shared" si="0"/>
        <v>0</v>
      </c>
    </row>
    <row r="25" spans="1:5" ht="12.75">
      <c r="A25" s="67" t="s">
        <v>9</v>
      </c>
      <c r="B25" t="s">
        <v>186</v>
      </c>
      <c r="C25" s="294"/>
      <c r="D25" s="294"/>
      <c r="E25" s="312">
        <f t="shared" si="0"/>
        <v>0</v>
      </c>
    </row>
    <row r="26" spans="1:5" ht="12.75">
      <c r="A26" s="67" t="s">
        <v>190</v>
      </c>
      <c r="B26" t="s">
        <v>186</v>
      </c>
      <c r="C26" s="294"/>
      <c r="D26" s="294"/>
      <c r="E26" s="312">
        <f t="shared" si="0"/>
        <v>0</v>
      </c>
    </row>
    <row r="27" spans="1:5" ht="12.75">
      <c r="A27" s="67" t="s">
        <v>7</v>
      </c>
      <c r="B27" t="s">
        <v>186</v>
      </c>
      <c r="C27" s="294"/>
      <c r="D27" s="294"/>
      <c r="E27" s="312">
        <f t="shared" si="0"/>
        <v>0</v>
      </c>
    </row>
    <row r="28" spans="1:5" ht="12.75">
      <c r="A28" s="67" t="s">
        <v>123</v>
      </c>
      <c r="B28" t="s">
        <v>186</v>
      </c>
      <c r="C28" s="294"/>
      <c r="D28" s="294"/>
      <c r="E28" s="312">
        <f t="shared" si="0"/>
        <v>0</v>
      </c>
    </row>
    <row r="29" spans="1:5" ht="12.75">
      <c r="A29" s="67" t="s">
        <v>138</v>
      </c>
      <c r="B29" t="s">
        <v>186</v>
      </c>
      <c r="C29" s="294"/>
      <c r="D29" s="294"/>
      <c r="E29" s="312">
        <f t="shared" si="0"/>
        <v>0</v>
      </c>
    </row>
    <row r="30" spans="1:5" ht="12.75">
      <c r="A30" s="67" t="s">
        <v>139</v>
      </c>
      <c r="B30" t="s">
        <v>186</v>
      </c>
      <c r="C30" s="294"/>
      <c r="D30" s="294"/>
      <c r="E30" s="312">
        <f t="shared" si="0"/>
        <v>0</v>
      </c>
    </row>
    <row r="31" spans="1:5" ht="12.75">
      <c r="A31" s="67" t="s">
        <v>253</v>
      </c>
      <c r="B31" t="s">
        <v>186</v>
      </c>
      <c r="C31" s="294"/>
      <c r="D31" s="294"/>
      <c r="E31" s="312">
        <f t="shared" si="0"/>
        <v>0</v>
      </c>
    </row>
    <row r="32" spans="1:5" ht="12.75">
      <c r="A32" s="67" t="s">
        <v>140</v>
      </c>
      <c r="B32" t="s">
        <v>186</v>
      </c>
      <c r="C32" s="294"/>
      <c r="D32" s="294"/>
      <c r="E32" s="312">
        <f t="shared" si="0"/>
        <v>0</v>
      </c>
    </row>
    <row r="33" spans="1:5" ht="12.75">
      <c r="A33" s="67" t="s">
        <v>141</v>
      </c>
      <c r="B33" t="s">
        <v>186</v>
      </c>
      <c r="C33" s="294"/>
      <c r="D33" s="294"/>
      <c r="E33" s="312">
        <f t="shared" si="0"/>
        <v>0</v>
      </c>
    </row>
    <row r="34" spans="1:5" ht="12.75">
      <c r="A34" s="67" t="s">
        <v>142</v>
      </c>
      <c r="B34" t="s">
        <v>186</v>
      </c>
      <c r="C34" s="294"/>
      <c r="D34" s="294"/>
      <c r="E34" s="312">
        <f t="shared" si="0"/>
        <v>0</v>
      </c>
    </row>
    <row r="35" spans="1:5" ht="12.75">
      <c r="A35" s="67" t="s">
        <v>192</v>
      </c>
      <c r="B35" t="s">
        <v>186</v>
      </c>
      <c r="C35" s="294"/>
      <c r="D35" s="294"/>
      <c r="E35" s="312">
        <f t="shared" si="0"/>
        <v>0</v>
      </c>
    </row>
    <row r="36" spans="1:5" ht="12.75">
      <c r="A36" s="67" t="s">
        <v>473</v>
      </c>
      <c r="B36" t="s">
        <v>186</v>
      </c>
      <c r="C36" s="294">
        <v>0</v>
      </c>
      <c r="D36" s="294"/>
      <c r="E36" s="312">
        <f t="shared" si="0"/>
        <v>0</v>
      </c>
    </row>
    <row r="37" spans="1:5" ht="12.75">
      <c r="A37" s="67"/>
      <c r="B37" t="s">
        <v>186</v>
      </c>
      <c r="C37" s="294"/>
      <c r="D37" s="294"/>
      <c r="E37" s="312">
        <f t="shared" si="0"/>
        <v>0</v>
      </c>
    </row>
    <row r="38" spans="2:5" ht="12.75">
      <c r="B38" t="s">
        <v>186</v>
      </c>
      <c r="C38" s="294"/>
      <c r="D38" s="294"/>
      <c r="E38" s="251">
        <f t="shared" si="0"/>
        <v>0</v>
      </c>
    </row>
    <row r="39" spans="2:5" ht="12.75">
      <c r="B39" t="s">
        <v>186</v>
      </c>
      <c r="C39" s="293"/>
      <c r="D39" s="294"/>
      <c r="E39" s="251">
        <f t="shared" si="0"/>
        <v>0</v>
      </c>
    </row>
    <row r="40" spans="1:5" ht="12.75">
      <c r="A40" s="68" t="s">
        <v>203</v>
      </c>
      <c r="B40" t="s">
        <v>186</v>
      </c>
      <c r="C40" s="293"/>
      <c r="D40" s="293"/>
      <c r="E40" s="251">
        <f t="shared" si="0"/>
        <v>0</v>
      </c>
    </row>
    <row r="41" spans="1:5" ht="12.75">
      <c r="A41" s="67"/>
      <c r="B41" t="s">
        <v>186</v>
      </c>
      <c r="C41" s="293"/>
      <c r="D41" s="293"/>
      <c r="E41" s="251">
        <f t="shared" si="0"/>
        <v>0</v>
      </c>
    </row>
    <row r="42" spans="1:5" ht="12.75">
      <c r="A42" s="67"/>
      <c r="B42" t="s">
        <v>186</v>
      </c>
      <c r="C42" s="293"/>
      <c r="D42" s="293"/>
      <c r="E42" s="251">
        <f t="shared" si="0"/>
        <v>0</v>
      </c>
    </row>
    <row r="43" spans="1:5" ht="12.75">
      <c r="A43" s="67"/>
      <c r="B43" t="s">
        <v>186</v>
      </c>
      <c r="C43" s="293"/>
      <c r="D43" s="293"/>
      <c r="E43" s="251">
        <f t="shared" si="0"/>
        <v>0</v>
      </c>
    </row>
    <row r="44" spans="1:5" ht="12.75">
      <c r="A44" s="67"/>
      <c r="B44" t="s">
        <v>186</v>
      </c>
      <c r="C44" s="293"/>
      <c r="D44" s="293"/>
      <c r="E44" s="251">
        <f t="shared" si="0"/>
        <v>0</v>
      </c>
    </row>
    <row r="45" spans="1:5" ht="12.75">
      <c r="A45" s="67"/>
      <c r="B45" t="s">
        <v>186</v>
      </c>
      <c r="C45" s="293"/>
      <c r="D45" s="293"/>
      <c r="E45" s="278"/>
    </row>
    <row r="46" spans="1:5" ht="12.75">
      <c r="A46" s="70" t="s">
        <v>169</v>
      </c>
      <c r="B46" t="s">
        <v>188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171</v>
      </c>
    </row>
    <row r="49" spans="1:5" ht="12.75">
      <c r="A49" s="274" t="str">
        <f>IF($E17&gt;$C$11,A17," ")</f>
        <v> </v>
      </c>
      <c r="B49" s="272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4" t="str">
        <f>IF($E18&gt;$C$11,A18," ")</f>
        <v> </v>
      </c>
      <c r="B50" s="272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4" t="str">
        <f>IF($E19&gt;$C$11,#REF!," ")</f>
        <v> </v>
      </c>
      <c r="B51" s="272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4" t="str">
        <f>IF($E20&gt;$C$11,#REF!," ")</f>
        <v> </v>
      </c>
      <c r="B52" s="272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4" t="str">
        <f t="shared" si="2"/>
        <v> </v>
      </c>
      <c r="B54" s="272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4" t="str">
        <f t="shared" si="2"/>
        <v> </v>
      </c>
      <c r="B55" s="272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4" t="str">
        <f t="shared" si="2"/>
        <v> </v>
      </c>
      <c r="B56" s="272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4" t="str">
        <f t="shared" si="2"/>
        <v> </v>
      </c>
      <c r="B57" s="272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4" t="str">
        <f t="shared" si="2"/>
        <v> </v>
      </c>
      <c r="B58" s="272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4" t="str">
        <f t="shared" si="2"/>
        <v> </v>
      </c>
      <c r="B59" s="272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4" t="str">
        <f>IF($E28&gt;$C$11,A28," ")</f>
        <v> </v>
      </c>
      <c r="B60" s="272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4" t="str">
        <f>IF($E29&gt;$C$11,#REF!," ")</f>
        <v> </v>
      </c>
      <c r="B61" s="272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4" t="str">
        <f>IF($E30&gt;$C$11,#REF!," ")</f>
        <v> </v>
      </c>
      <c r="B62" s="272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4" t="str">
        <f>IF($E31&gt;$C$11,A26," ")</f>
        <v> </v>
      </c>
      <c r="B63" s="272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4" t="str">
        <f>IF($E33&gt;$C$11,#REF!," ")</f>
        <v> </v>
      </c>
      <c r="B64" s="272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4" t="str">
        <f>IF($E34&gt;$C$11,#REF!," ")</f>
        <v> </v>
      </c>
      <c r="B65" s="272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4" t="str">
        <f>IF($E35&gt;$C$11,#REF!," ")</f>
        <v> </v>
      </c>
      <c r="B66" s="272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4" t="str">
        <f>IF($E36&gt;$C$11,A36," ")</f>
        <v> </v>
      </c>
      <c r="B67" s="272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4" t="str">
        <f>IF($E37&gt;$C$11,A37," ")</f>
        <v> </v>
      </c>
      <c r="B68" s="272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4" t="str">
        <f>IF($E38&gt;$C$11,A29," ")</f>
        <v> </v>
      </c>
      <c r="B69" s="272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4" t="str">
        <f>IF($E39&gt;$C$11,A35," ")</f>
        <v> </v>
      </c>
      <c r="B70" s="272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4" t="str">
        <f t="shared" si="4"/>
        <v> </v>
      </c>
      <c r="B72" s="272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4" t="str">
        <f t="shared" si="4"/>
        <v> </v>
      </c>
      <c r="B73" s="272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4" t="str">
        <f t="shared" si="4"/>
        <v> </v>
      </c>
      <c r="B74" s="272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4" t="str">
        <f t="shared" si="4"/>
        <v> </v>
      </c>
      <c r="B75" s="272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4" t="str">
        <f t="shared" si="4"/>
        <v> </v>
      </c>
      <c r="B76" s="273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5" t="s">
        <v>143</v>
      </c>
      <c r="B77" s="272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5" t="s">
        <v>202</v>
      </c>
      <c r="B78" s="276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5" t="s">
        <v>169</v>
      </c>
      <c r="B79" s="276"/>
      <c r="C79" s="314">
        <f>C77+C78</f>
        <v>0</v>
      </c>
      <c r="D79" s="314">
        <f>D77+D78</f>
        <v>0</v>
      </c>
      <c r="E79" s="314">
        <f>E77+E78</f>
        <v>0</v>
      </c>
    </row>
    <row r="80" ht="12.75">
      <c r="A80" s="67"/>
    </row>
    <row r="81" ht="12.75">
      <c r="A81" s="67" t="s">
        <v>144</v>
      </c>
    </row>
    <row r="82" spans="1:5" ht="12.75">
      <c r="A82" s="67" t="s">
        <v>145</v>
      </c>
      <c r="B82" s="8" t="s">
        <v>187</v>
      </c>
      <c r="C82" s="293"/>
      <c r="D82" s="293"/>
      <c r="E82" s="251">
        <f>C82-D82</f>
        <v>0</v>
      </c>
    </row>
    <row r="83" spans="1:5" ht="12.75">
      <c r="A83" s="71" t="s">
        <v>151</v>
      </c>
      <c r="B83" s="8" t="s">
        <v>187</v>
      </c>
      <c r="C83" s="293"/>
      <c r="D83" s="293"/>
      <c r="E83" s="251">
        <f aca="true" t="shared" si="5" ref="E83:E98">C83-D83</f>
        <v>0</v>
      </c>
    </row>
    <row r="84" spans="1:5" ht="12.75">
      <c r="A84" s="71" t="s">
        <v>146</v>
      </c>
      <c r="B84" s="8" t="s">
        <v>187</v>
      </c>
      <c r="C84" s="293"/>
      <c r="D84" s="293"/>
      <c r="E84" s="251">
        <f t="shared" si="5"/>
        <v>0</v>
      </c>
    </row>
    <row r="85" spans="1:5" ht="12.75">
      <c r="A85" s="71" t="s">
        <v>254</v>
      </c>
      <c r="B85" s="8" t="s">
        <v>187</v>
      </c>
      <c r="C85" s="293"/>
      <c r="D85" s="293"/>
      <c r="E85" s="251">
        <f t="shared" si="5"/>
        <v>0</v>
      </c>
    </row>
    <row r="86" spans="1:5" ht="12.75">
      <c r="A86" s="67" t="s">
        <v>193</v>
      </c>
      <c r="B86" s="8" t="s">
        <v>187</v>
      </c>
      <c r="C86" s="293"/>
      <c r="D86" s="293"/>
      <c r="E86" s="251">
        <f t="shared" si="5"/>
        <v>0</v>
      </c>
    </row>
    <row r="87" spans="1:5" ht="12.75">
      <c r="A87" s="67" t="s">
        <v>375</v>
      </c>
      <c r="B87" s="8" t="s">
        <v>187</v>
      </c>
      <c r="C87" s="293">
        <v>0</v>
      </c>
      <c r="D87" s="293"/>
      <c r="E87" s="251">
        <f t="shared" si="5"/>
        <v>0</v>
      </c>
    </row>
    <row r="88" spans="1:5" ht="12.75">
      <c r="A88" s="67" t="s">
        <v>194</v>
      </c>
      <c r="B88" s="8" t="s">
        <v>187</v>
      </c>
      <c r="C88" s="293"/>
      <c r="D88" s="293"/>
      <c r="E88" s="251">
        <f t="shared" si="5"/>
        <v>0</v>
      </c>
    </row>
    <row r="89" spans="1:5" ht="12.75">
      <c r="A89" s="67" t="s">
        <v>166</v>
      </c>
      <c r="B89" s="8" t="s">
        <v>187</v>
      </c>
      <c r="C89" s="293"/>
      <c r="D89" s="293"/>
      <c r="E89" s="251">
        <f t="shared" si="5"/>
        <v>0</v>
      </c>
    </row>
    <row r="90" spans="1:5" ht="12.75">
      <c r="A90" s="67" t="s">
        <v>167</v>
      </c>
      <c r="B90" s="8" t="s">
        <v>187</v>
      </c>
      <c r="C90" s="293"/>
      <c r="D90" s="293"/>
      <c r="E90" s="251">
        <f t="shared" si="5"/>
        <v>0</v>
      </c>
    </row>
    <row r="91" spans="1:5" ht="12.75">
      <c r="A91" s="67" t="s">
        <v>168</v>
      </c>
      <c r="B91" s="8" t="s">
        <v>187</v>
      </c>
      <c r="C91" s="293"/>
      <c r="D91" s="293"/>
      <c r="E91" s="251">
        <f t="shared" si="5"/>
        <v>0</v>
      </c>
    </row>
    <row r="92" spans="2:5" ht="12.75">
      <c r="B92" s="8" t="s">
        <v>187</v>
      </c>
      <c r="C92" s="293"/>
      <c r="D92" s="293"/>
      <c r="E92" s="251"/>
    </row>
    <row r="93" spans="1:5" ht="12.75">
      <c r="A93" s="67"/>
      <c r="B93" s="8" t="s">
        <v>187</v>
      </c>
      <c r="C93" s="293"/>
      <c r="D93" s="293"/>
      <c r="E93" s="251">
        <f t="shared" si="5"/>
        <v>0</v>
      </c>
    </row>
    <row r="94" spans="1:5" ht="12.75">
      <c r="A94" s="67"/>
      <c r="B94" s="8" t="s">
        <v>187</v>
      </c>
      <c r="C94" s="293"/>
      <c r="D94" s="293"/>
      <c r="E94" s="251">
        <f t="shared" si="5"/>
        <v>0</v>
      </c>
    </row>
    <row r="95" spans="1:5" ht="12.75">
      <c r="A95" s="68" t="s">
        <v>204</v>
      </c>
      <c r="B95" s="8" t="s">
        <v>187</v>
      </c>
      <c r="C95" s="293"/>
      <c r="D95" s="293"/>
      <c r="E95" s="251">
        <f t="shared" si="5"/>
        <v>0</v>
      </c>
    </row>
    <row r="96" spans="1:5" ht="12.75">
      <c r="A96" s="67" t="s">
        <v>474</v>
      </c>
      <c r="B96" s="8" t="s">
        <v>187</v>
      </c>
      <c r="C96" s="293">
        <v>0</v>
      </c>
      <c r="D96" s="293"/>
      <c r="E96" s="251">
        <f t="shared" si="5"/>
        <v>0</v>
      </c>
    </row>
    <row r="97" spans="1:5" ht="12.75">
      <c r="A97" s="67"/>
      <c r="B97" s="8" t="s">
        <v>187</v>
      </c>
      <c r="C97" s="293"/>
      <c r="D97" s="293"/>
      <c r="E97" s="251">
        <f t="shared" si="5"/>
        <v>0</v>
      </c>
    </row>
    <row r="98" spans="1:5" ht="12.75">
      <c r="A98" s="67"/>
      <c r="B98" s="8" t="s">
        <v>187</v>
      </c>
      <c r="C98" s="293"/>
      <c r="D98" s="293"/>
      <c r="E98" s="251">
        <f t="shared" si="5"/>
        <v>0</v>
      </c>
    </row>
    <row r="99" spans="1:5" ht="12.75">
      <c r="A99" s="67" t="s">
        <v>170</v>
      </c>
      <c r="B99" s="8" t="s">
        <v>188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173</v>
      </c>
    </row>
    <row r="102" spans="1:5" ht="12.75">
      <c r="A102" s="274" t="str">
        <f aca="true" t="shared" si="6" ref="A102:A111">IF($E82&gt;$C$11,A82," ")</f>
        <v> </v>
      </c>
      <c r="B102" s="272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4" t="str">
        <f t="shared" si="6"/>
        <v> </v>
      </c>
      <c r="B103" s="272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4" t="str">
        <f t="shared" si="6"/>
        <v> </v>
      </c>
      <c r="B104" s="272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4" t="str">
        <f t="shared" si="6"/>
        <v> </v>
      </c>
      <c r="B105" s="272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4" t="str">
        <f t="shared" si="6"/>
        <v> </v>
      </c>
      <c r="B106" s="272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4" t="str">
        <f t="shared" si="6"/>
        <v> </v>
      </c>
      <c r="B107" s="272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4" t="str">
        <f t="shared" si="6"/>
        <v> </v>
      </c>
      <c r="B108" s="272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4" t="str">
        <f t="shared" si="6"/>
        <v> </v>
      </c>
      <c r="B109" s="272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4" t="str">
        <f t="shared" si="6"/>
        <v> </v>
      </c>
      <c r="B110" s="272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4" t="str">
        <f t="shared" si="6"/>
        <v> </v>
      </c>
      <c r="B111" s="272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4" t="str">
        <f>IF($E92&gt;$C$11,A95," ")</f>
        <v> </v>
      </c>
      <c r="B112" s="272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4" t="str">
        <f>IF($E93&gt;$C$11,#REF!," ")</f>
        <v> </v>
      </c>
      <c r="B113" s="272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4" t="str">
        <f>IF($E94&gt;$C$11,A94," ")</f>
        <v> </v>
      </c>
      <c r="B114" s="272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4" t="str">
        <f>IF($E95&gt;$C$11,A93," ")</f>
        <v> </v>
      </c>
      <c r="B115" s="272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4" t="str">
        <f>IF($E96&gt;$C$11,A96," ")</f>
        <v> </v>
      </c>
      <c r="B116" s="272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4" t="str">
        <f>IF($E97&gt;$C$11,A97," ")</f>
        <v> </v>
      </c>
      <c r="B117" s="272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4" t="str">
        <f>IF($E98&gt;$C$11,A98," ")</f>
        <v> </v>
      </c>
      <c r="B118" s="272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7" t="s">
        <v>201</v>
      </c>
      <c r="B119" s="272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7" t="s">
        <v>200</v>
      </c>
      <c r="B120" s="272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7" t="s">
        <v>170</v>
      </c>
      <c r="B121" s="272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36" right="0.03937007874015748" top="0.7086614173228347" bottom="0.35433070866141736" header="0.1968503937007874" footer="0"/>
  <pageSetup fitToHeight="2" fitToWidth="1" horizontalDpi="600" verticalDpi="600" orientation="portrait" scale="77" r:id="rId1"/>
  <headerFooter alignWithMargins="0">
    <oddHeader>&amp;C&amp;A</oddHeader>
    <oddFooter>&amp;C&amp;F&amp;RPage &amp;P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G92"/>
  <sheetViews>
    <sheetView zoomScale="75" zoomScaleNormal="75" zoomScalePageLayoutView="0" workbookViewId="0" topLeftCell="A1">
      <pane xSplit="1" ySplit="8" topLeftCell="B9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A14" sqref="A1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383</v>
      </c>
      <c r="E3" s="92"/>
    </row>
    <row r="4" spans="1:6" ht="15">
      <c r="A4" s="464" t="s">
        <v>444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66" t="s">
        <v>384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Centre Wellington Hydro Ltd.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70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7" t="s">
        <v>132</v>
      </c>
      <c r="B19" t="s">
        <v>186</v>
      </c>
      <c r="C19" s="294"/>
      <c r="D19" s="294"/>
      <c r="E19" s="312">
        <f aca="true" t="shared" si="0" ref="E19:E45">C19-D19</f>
        <v>0</v>
      </c>
    </row>
    <row r="20" spans="1:5" ht="12.75">
      <c r="A20" t="s">
        <v>386</v>
      </c>
      <c r="B20" t="s">
        <v>186</v>
      </c>
      <c r="C20" s="294"/>
      <c r="D20" s="294"/>
      <c r="E20" s="312">
        <f t="shared" si="0"/>
        <v>0</v>
      </c>
    </row>
    <row r="21" spans="1:5" ht="12.75">
      <c r="A21" t="s">
        <v>452</v>
      </c>
      <c r="B21" t="s">
        <v>186</v>
      </c>
      <c r="C21" s="294"/>
      <c r="D21" s="294"/>
      <c r="E21" s="312">
        <f t="shared" si="0"/>
        <v>0</v>
      </c>
    </row>
    <row r="22" spans="1:5" ht="12.75">
      <c r="A22" s="67" t="s">
        <v>389</v>
      </c>
      <c r="B22" t="s">
        <v>186</v>
      </c>
      <c r="C22" s="294"/>
      <c r="D22" s="313"/>
      <c r="E22" s="312">
        <f t="shared" si="0"/>
        <v>0</v>
      </c>
    </row>
    <row r="23" spans="1:7" ht="12.75">
      <c r="A23" s="67" t="s">
        <v>390</v>
      </c>
      <c r="B23" t="s">
        <v>186</v>
      </c>
      <c r="C23" s="294"/>
      <c r="D23" s="294"/>
      <c r="E23" s="312">
        <f t="shared" si="0"/>
        <v>0</v>
      </c>
      <c r="G23" s="492"/>
    </row>
    <row r="24" spans="1:5" ht="12.75">
      <c r="A24" s="67" t="s">
        <v>453</v>
      </c>
      <c r="B24" t="s">
        <v>186</v>
      </c>
      <c r="C24" s="294"/>
      <c r="D24" s="294"/>
      <c r="E24" s="312">
        <f t="shared" si="0"/>
        <v>0</v>
      </c>
    </row>
    <row r="25" spans="1:5" ht="12.75">
      <c r="A25" s="67" t="s">
        <v>124</v>
      </c>
      <c r="B25" t="s">
        <v>186</v>
      </c>
      <c r="C25" s="294"/>
      <c r="D25" s="294"/>
      <c r="E25" s="312">
        <f t="shared" si="0"/>
        <v>0</v>
      </c>
    </row>
    <row r="26" spans="1:5" ht="12.75">
      <c r="A26" s="67" t="s">
        <v>133</v>
      </c>
      <c r="B26" t="s">
        <v>186</v>
      </c>
      <c r="C26" s="294"/>
      <c r="D26" s="294"/>
      <c r="E26" s="312">
        <f t="shared" si="0"/>
        <v>0</v>
      </c>
    </row>
    <row r="27" spans="1:7" ht="12.75">
      <c r="A27" s="67" t="s">
        <v>436</v>
      </c>
      <c r="B27" t="s">
        <v>186</v>
      </c>
      <c r="C27" s="294"/>
      <c r="D27" s="294"/>
      <c r="E27" s="312">
        <f t="shared" si="0"/>
        <v>0</v>
      </c>
      <c r="G27" s="492" t="s">
        <v>504</v>
      </c>
    </row>
    <row r="28" spans="1:5" ht="12.75">
      <c r="A28" s="67" t="s">
        <v>388</v>
      </c>
      <c r="B28" t="s">
        <v>186</v>
      </c>
      <c r="C28" s="294"/>
      <c r="D28" s="294"/>
      <c r="E28" s="312">
        <f t="shared" si="0"/>
        <v>0</v>
      </c>
    </row>
    <row r="29" spans="1:5" ht="12.75">
      <c r="A29" s="67" t="s">
        <v>135</v>
      </c>
      <c r="B29" t="s">
        <v>186</v>
      </c>
      <c r="C29" s="294"/>
      <c r="D29" s="294"/>
      <c r="E29" s="312">
        <f t="shared" si="0"/>
        <v>0</v>
      </c>
    </row>
    <row r="30" spans="1:5" ht="12.75">
      <c r="A30" s="67" t="s">
        <v>387</v>
      </c>
      <c r="B30" t="s">
        <v>186</v>
      </c>
      <c r="C30" s="294"/>
      <c r="D30" s="294"/>
      <c r="E30" s="312">
        <f t="shared" si="0"/>
        <v>0</v>
      </c>
    </row>
    <row r="31" spans="1:5" ht="12.75">
      <c r="A31" s="67" t="s">
        <v>191</v>
      </c>
      <c r="B31" t="s">
        <v>186</v>
      </c>
      <c r="C31" s="294"/>
      <c r="D31" s="294"/>
      <c r="E31" s="312">
        <f t="shared" si="0"/>
        <v>0</v>
      </c>
    </row>
    <row r="32" spans="1:7" ht="12.75">
      <c r="A32" s="67" t="s">
        <v>431</v>
      </c>
      <c r="B32" t="s">
        <v>186</v>
      </c>
      <c r="C32" s="294">
        <v>2062</v>
      </c>
      <c r="D32" s="294"/>
      <c r="E32" s="312">
        <f t="shared" si="0"/>
        <v>2062</v>
      </c>
      <c r="G32" s="492" t="s">
        <v>498</v>
      </c>
    </row>
    <row r="33" spans="1:5" ht="12.75">
      <c r="A33" s="67" t="s">
        <v>432</v>
      </c>
      <c r="B33" t="s">
        <v>186</v>
      </c>
      <c r="C33" s="294"/>
      <c r="D33" s="294"/>
      <c r="E33" s="312">
        <f t="shared" si="0"/>
        <v>0</v>
      </c>
    </row>
    <row r="34" spans="1:5" ht="12.75">
      <c r="A34" s="67" t="s">
        <v>449</v>
      </c>
      <c r="B34" t="s">
        <v>186</v>
      </c>
      <c r="C34" s="294"/>
      <c r="D34" s="294"/>
      <c r="E34" s="312">
        <f t="shared" si="0"/>
        <v>0</v>
      </c>
    </row>
    <row r="35" spans="1:7" ht="12.75">
      <c r="A35" s="81" t="s">
        <v>450</v>
      </c>
      <c r="C35" s="294">
        <v>100000</v>
      </c>
      <c r="D35" s="294"/>
      <c r="E35" s="312">
        <f t="shared" si="0"/>
        <v>100000</v>
      </c>
      <c r="G35" s="492" t="s">
        <v>499</v>
      </c>
    </row>
    <row r="36" spans="1:5" ht="12.75">
      <c r="A36" s="67" t="s">
        <v>433</v>
      </c>
      <c r="C36" s="294"/>
      <c r="D36" s="294"/>
      <c r="E36" s="312">
        <f t="shared" si="0"/>
        <v>0</v>
      </c>
    </row>
    <row r="37" spans="1:5" ht="12.75">
      <c r="A37" s="67" t="s">
        <v>434</v>
      </c>
      <c r="C37" s="294"/>
      <c r="D37" s="294"/>
      <c r="E37" s="312">
        <f t="shared" si="0"/>
        <v>0</v>
      </c>
    </row>
    <row r="38" spans="1:5" ht="12.75">
      <c r="A38" s="67" t="s">
        <v>456</v>
      </c>
      <c r="C38" s="294"/>
      <c r="D38" s="294"/>
      <c r="E38" s="312">
        <f t="shared" si="0"/>
        <v>0</v>
      </c>
    </row>
    <row r="39" spans="2:5" ht="12.75">
      <c r="B39" t="s">
        <v>186</v>
      </c>
      <c r="C39" s="294"/>
      <c r="D39" s="294"/>
      <c r="E39" s="312">
        <f t="shared" si="0"/>
        <v>0</v>
      </c>
    </row>
    <row r="40" spans="1:5" ht="12.75">
      <c r="A40" s="81" t="s">
        <v>391</v>
      </c>
      <c r="B40" t="s">
        <v>186</v>
      </c>
      <c r="C40" s="294"/>
      <c r="D40" s="294"/>
      <c r="E40" s="312">
        <f t="shared" si="0"/>
        <v>0</v>
      </c>
    </row>
    <row r="41" spans="1:5" ht="12.75">
      <c r="A41" s="81" t="s">
        <v>385</v>
      </c>
      <c r="B41" t="s">
        <v>186</v>
      </c>
      <c r="C41" s="294">
        <f>112804-2054</f>
        <v>110750</v>
      </c>
      <c r="D41" s="294"/>
      <c r="E41" s="312">
        <f t="shared" si="0"/>
        <v>110750</v>
      </c>
    </row>
    <row r="42" spans="2:5" ht="12.75">
      <c r="B42" t="s">
        <v>186</v>
      </c>
      <c r="C42" s="294"/>
      <c r="D42" s="294"/>
      <c r="E42" s="312">
        <f t="shared" si="0"/>
        <v>0</v>
      </c>
    </row>
    <row r="43" spans="1:5" ht="12.75">
      <c r="A43" s="68" t="s">
        <v>203</v>
      </c>
      <c r="B43" t="s">
        <v>186</v>
      </c>
      <c r="C43" s="294"/>
      <c r="D43" s="294"/>
      <c r="E43" s="312">
        <f t="shared" si="0"/>
        <v>0</v>
      </c>
    </row>
    <row r="44" spans="1:5" ht="12.75">
      <c r="A44" t="s">
        <v>491</v>
      </c>
      <c r="B44" t="s">
        <v>186</v>
      </c>
      <c r="C44" s="293">
        <v>0</v>
      </c>
      <c r="D44" s="293"/>
      <c r="E44" s="251">
        <f t="shared" si="0"/>
        <v>0</v>
      </c>
    </row>
    <row r="45" spans="1:7" ht="12.75">
      <c r="A45" s="497" t="s">
        <v>514</v>
      </c>
      <c r="B45" t="s">
        <v>186</v>
      </c>
      <c r="C45" s="293"/>
      <c r="D45" s="293"/>
      <c r="E45" s="251">
        <f t="shared" si="0"/>
        <v>0</v>
      </c>
      <c r="G45" s="494">
        <f>110030-C45</f>
        <v>110030</v>
      </c>
    </row>
    <row r="46" spans="1:5" ht="12.75">
      <c r="A46" s="67"/>
      <c r="B46" t="s">
        <v>186</v>
      </c>
      <c r="C46" s="293"/>
      <c r="D46" s="293"/>
      <c r="E46" s="278"/>
    </row>
    <row r="47" spans="1:5" ht="12.75">
      <c r="A47" s="449" t="s">
        <v>395</v>
      </c>
      <c r="B47" t="s">
        <v>188</v>
      </c>
      <c r="C47" s="251">
        <f>SUM(C19:C46)</f>
        <v>212812</v>
      </c>
      <c r="D47" s="251">
        <f>SUM(D19:D46)</f>
        <v>0</v>
      </c>
      <c r="E47" s="251">
        <f>SUM(E19:E46)</f>
        <v>212812</v>
      </c>
    </row>
    <row r="48" ht="12.75">
      <c r="A48" s="67"/>
    </row>
    <row r="49" ht="12.75">
      <c r="A49" s="81" t="s">
        <v>144</v>
      </c>
    </row>
    <row r="51" spans="1:5" ht="12.75">
      <c r="A51" s="71" t="s">
        <v>386</v>
      </c>
      <c r="B51" s="8" t="s">
        <v>187</v>
      </c>
      <c r="C51" s="293"/>
      <c r="D51" s="293"/>
      <c r="E51" s="251">
        <f aca="true" t="shared" si="1" ref="E51:E61">C51-D51</f>
        <v>0</v>
      </c>
    </row>
    <row r="52" spans="1:5" ht="12.75">
      <c r="A52" s="67" t="s">
        <v>452</v>
      </c>
      <c r="B52" s="8" t="s">
        <v>187</v>
      </c>
      <c r="C52" s="293"/>
      <c r="D52" s="293"/>
      <c r="E52" s="251">
        <f t="shared" si="1"/>
        <v>0</v>
      </c>
    </row>
    <row r="53" spans="1:5" ht="12.75">
      <c r="A53" t="s">
        <v>387</v>
      </c>
      <c r="B53" s="8" t="s">
        <v>187</v>
      </c>
      <c r="C53" s="293"/>
      <c r="D53" s="293"/>
      <c r="E53" s="251">
        <f t="shared" si="1"/>
        <v>0</v>
      </c>
    </row>
    <row r="54" spans="1:5" ht="12.75">
      <c r="A54" t="s">
        <v>435</v>
      </c>
      <c r="B54" s="8" t="s">
        <v>187</v>
      </c>
      <c r="C54" s="293">
        <v>4545</v>
      </c>
      <c r="D54" s="293"/>
      <c r="E54" s="251">
        <f t="shared" si="1"/>
        <v>4545</v>
      </c>
    </row>
    <row r="55" spans="1:5" ht="12.75">
      <c r="A55" s="67" t="s">
        <v>443</v>
      </c>
      <c r="B55" s="8" t="s">
        <v>187</v>
      </c>
      <c r="C55" s="293"/>
      <c r="D55" s="293"/>
      <c r="E55" s="251">
        <f t="shared" si="1"/>
        <v>0</v>
      </c>
    </row>
    <row r="56" spans="1:5" ht="12.75">
      <c r="A56" s="67" t="s">
        <v>455</v>
      </c>
      <c r="B56" s="8" t="s">
        <v>187</v>
      </c>
      <c r="C56" s="293"/>
      <c r="D56" s="293"/>
      <c r="E56" s="251">
        <f t="shared" si="1"/>
        <v>0</v>
      </c>
    </row>
    <row r="57" spans="1:5" ht="12.75">
      <c r="A57" s="2" t="s">
        <v>451</v>
      </c>
      <c r="B57" s="8" t="s">
        <v>187</v>
      </c>
      <c r="C57" s="293">
        <v>100000</v>
      </c>
      <c r="D57" s="293"/>
      <c r="E57" s="251">
        <f t="shared" si="1"/>
        <v>100000</v>
      </c>
    </row>
    <row r="58" spans="1:5" ht="12.75">
      <c r="A58" s="67" t="s">
        <v>454</v>
      </c>
      <c r="B58" s="8" t="s">
        <v>187</v>
      </c>
      <c r="C58" s="293"/>
      <c r="D58" s="293"/>
      <c r="E58" s="251">
        <f t="shared" si="1"/>
        <v>0</v>
      </c>
    </row>
    <row r="59" spans="1:5" ht="12.75">
      <c r="A59" s="67"/>
      <c r="B59" s="8" t="s">
        <v>187</v>
      </c>
      <c r="C59" s="293"/>
      <c r="D59" s="293"/>
      <c r="E59" s="251">
        <f t="shared" si="1"/>
        <v>0</v>
      </c>
    </row>
    <row r="60" spans="2:5" ht="12.75">
      <c r="B60" s="8" t="s">
        <v>187</v>
      </c>
      <c r="C60" s="293"/>
      <c r="D60" s="293"/>
      <c r="E60" s="251">
        <f t="shared" si="1"/>
        <v>0</v>
      </c>
    </row>
    <row r="61" spans="2:5" ht="12.75">
      <c r="B61" s="8" t="s">
        <v>187</v>
      </c>
      <c r="C61" s="293"/>
      <c r="D61" s="293"/>
      <c r="E61" s="251">
        <f t="shared" si="1"/>
        <v>0</v>
      </c>
    </row>
    <row r="62" spans="2:5" ht="12.75">
      <c r="B62" s="8" t="s">
        <v>187</v>
      </c>
      <c r="C62" s="293"/>
      <c r="D62" s="293"/>
      <c r="E62" s="251">
        <f aca="true" t="shared" si="2" ref="E62:E72">C62-D62</f>
        <v>0</v>
      </c>
    </row>
    <row r="63" spans="2:5" ht="12.75">
      <c r="B63" s="8" t="s">
        <v>187</v>
      </c>
      <c r="C63" s="293"/>
      <c r="D63" s="293"/>
      <c r="E63" s="251">
        <f t="shared" si="2"/>
        <v>0</v>
      </c>
    </row>
    <row r="64" spans="1:5" ht="12.75">
      <c r="A64" s="468" t="s">
        <v>392</v>
      </c>
      <c r="B64" s="8" t="s">
        <v>187</v>
      </c>
      <c r="C64" s="293">
        <v>25306</v>
      </c>
      <c r="D64" s="293"/>
      <c r="E64" s="251">
        <f t="shared" si="2"/>
        <v>25306</v>
      </c>
    </row>
    <row r="65" spans="2:5" ht="12.75">
      <c r="B65" s="8" t="s">
        <v>187</v>
      </c>
      <c r="C65" s="293"/>
      <c r="D65" s="293"/>
      <c r="E65" s="251">
        <f t="shared" si="2"/>
        <v>0</v>
      </c>
    </row>
    <row r="66" spans="1:5" ht="12.75">
      <c r="A66" s="468" t="s">
        <v>385</v>
      </c>
      <c r="B66" s="8" t="s">
        <v>187</v>
      </c>
      <c r="C66" s="293"/>
      <c r="D66" s="293"/>
      <c r="E66" s="251">
        <f t="shared" si="2"/>
        <v>0</v>
      </c>
    </row>
    <row r="67" spans="1:5" ht="12.75">
      <c r="A67" s="67"/>
      <c r="B67" s="8" t="s">
        <v>187</v>
      </c>
      <c r="C67" s="293"/>
      <c r="D67" s="293"/>
      <c r="E67" s="251">
        <f t="shared" si="2"/>
        <v>0</v>
      </c>
    </row>
    <row r="68" spans="1:5" ht="12.75">
      <c r="A68" s="68" t="s">
        <v>204</v>
      </c>
      <c r="B68" s="8" t="s">
        <v>187</v>
      </c>
      <c r="C68" s="293"/>
      <c r="D68" s="293"/>
      <c r="E68" s="251">
        <f t="shared" si="2"/>
        <v>0</v>
      </c>
    </row>
    <row r="69" spans="1:5" ht="12.75">
      <c r="A69" s="509" t="s">
        <v>511</v>
      </c>
      <c r="B69" s="8" t="s">
        <v>187</v>
      </c>
      <c r="C69" s="293"/>
      <c r="D69" s="293"/>
      <c r="E69" s="251">
        <f t="shared" si="2"/>
        <v>0</v>
      </c>
    </row>
    <row r="70" spans="1:5" ht="12.75">
      <c r="A70" s="509" t="s">
        <v>516</v>
      </c>
      <c r="B70" s="8" t="s">
        <v>187</v>
      </c>
      <c r="C70" s="293">
        <v>328</v>
      </c>
      <c r="D70" s="293"/>
      <c r="E70" s="251">
        <f t="shared" si="2"/>
        <v>328</v>
      </c>
    </row>
    <row r="71" spans="1:5" ht="12.75">
      <c r="A71" s="67"/>
      <c r="B71" s="8" t="s">
        <v>187</v>
      </c>
      <c r="C71" s="293"/>
      <c r="D71" s="293"/>
      <c r="E71" s="251">
        <f t="shared" si="2"/>
        <v>0</v>
      </c>
    </row>
    <row r="72" spans="1:5" ht="12.75">
      <c r="A72" s="67"/>
      <c r="B72" s="8" t="s">
        <v>187</v>
      </c>
      <c r="C72" s="293"/>
      <c r="D72" s="293"/>
      <c r="E72" s="278">
        <f t="shared" si="2"/>
        <v>0</v>
      </c>
    </row>
    <row r="73" spans="1:5" ht="12.75">
      <c r="A73" s="448" t="s">
        <v>394</v>
      </c>
      <c r="B73" s="8" t="s">
        <v>188</v>
      </c>
      <c r="C73" s="251">
        <f>SUM(C51:C72)</f>
        <v>130179</v>
      </c>
      <c r="D73" s="251">
        <f>SUM(D51:D72)</f>
        <v>0</v>
      </c>
      <c r="E73" s="251">
        <f>SUM(E51:E72)</f>
        <v>130179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0.7086614173228347" bottom="0.35433070866141736" header="0.1968503937007874" footer="0"/>
  <pageSetup fitToHeight="1" fitToWidth="1" horizontalDpi="600" verticalDpi="600" orientation="portrait" scale="70" r:id="rId1"/>
  <headerFooter alignWithMargins="0">
    <oddHeader>&amp;C&amp;A</oddHeader>
    <oddFooter>&amp;C&amp;F&amp;RPage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1">
      <selection activeCell="E57" sqref="E57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4" t="str">
        <f>REGINFO!A1</f>
        <v>PILs TAXES - EB-2008-381</v>
      </c>
      <c r="B1" s="385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106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3" t="s">
        <v>306</v>
      </c>
      <c r="B3" s="342"/>
      <c r="C3" s="342"/>
      <c r="D3" s="342"/>
      <c r="E3" s="342"/>
      <c r="F3" s="344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Centre Wellington Hydro Ltd.</v>
      </c>
      <c r="B4" s="342"/>
      <c r="C4" s="342"/>
      <c r="D4" s="342"/>
      <c r="E4" s="342"/>
      <c r="F4" s="342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2003</v>
      </c>
      <c r="B5" s="342"/>
      <c r="C5" s="342"/>
      <c r="D5" s="342"/>
      <c r="E5" s="342"/>
      <c r="F5" s="342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10" t="s">
        <v>336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21" t="s">
        <v>481</v>
      </c>
      <c r="B8" s="522"/>
      <c r="C8" s="522"/>
      <c r="D8" s="522"/>
      <c r="E8" s="342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111</v>
      </c>
      <c r="B9" s="325"/>
      <c r="C9" s="373">
        <v>0</v>
      </c>
      <c r="D9" s="373"/>
      <c r="E9" s="373">
        <v>200001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467</v>
      </c>
      <c r="B10" s="326"/>
      <c r="C10" s="375" t="s">
        <v>110</v>
      </c>
      <c r="D10" s="375"/>
      <c r="E10" s="375" t="s">
        <v>110</v>
      </c>
      <c r="F10" s="376" t="s">
        <v>486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115</v>
      </c>
      <c r="C11" s="377">
        <v>200000</v>
      </c>
      <c r="D11" s="377"/>
      <c r="E11" s="377">
        <v>700000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107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299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298</v>
      </c>
      <c r="B14" s="245"/>
      <c r="C14" s="327">
        <v>0.1312</v>
      </c>
      <c r="D14" s="327"/>
      <c r="E14" s="328">
        <v>0.2612</v>
      </c>
      <c r="F14" s="328">
        <v>0.2412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303</v>
      </c>
      <c r="B15" s="245"/>
      <c r="C15" s="329">
        <v>0.055</v>
      </c>
      <c r="D15" s="329"/>
      <c r="E15" s="330">
        <v>0.08</v>
      </c>
      <c r="F15" s="330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259</v>
      </c>
      <c r="B16" s="245"/>
      <c r="C16" s="331">
        <f>SUM(C14:C15)</f>
        <v>0.1862</v>
      </c>
      <c r="D16" s="331"/>
      <c r="E16" s="332">
        <v>0.3412</v>
      </c>
      <c r="F16" s="332">
        <f>SUM(F14:F15)</f>
        <v>0.36619999999999997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5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108</v>
      </c>
      <c r="B18" s="244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109</v>
      </c>
      <c r="B19" s="238"/>
      <c r="C19" s="334">
        <v>0.00225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112</v>
      </c>
      <c r="B20" s="238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7" thickBot="1">
      <c r="A21" s="324" t="s">
        <v>331</v>
      </c>
      <c r="B21" s="406" t="s">
        <v>470</v>
      </c>
      <c r="C21" s="361">
        <v>5000000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.75" thickBot="1">
      <c r="A22" s="324" t="s">
        <v>332</v>
      </c>
      <c r="B22" s="407" t="s">
        <v>471</v>
      </c>
      <c r="C22" s="362">
        <v>10000000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15" t="s">
        <v>490</v>
      </c>
      <c r="B23" s="516"/>
      <c r="C23" s="516"/>
      <c r="D23" s="516"/>
      <c r="E23" s="516"/>
      <c r="F23" s="516"/>
      <c r="G23" s="438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2"/>
      <c r="E25" s="342"/>
      <c r="F25" s="410" t="s">
        <v>337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23" t="s">
        <v>482</v>
      </c>
      <c r="B26" s="524"/>
      <c r="C26" s="524"/>
      <c r="D26" s="524"/>
      <c r="E26" s="524"/>
      <c r="F26" s="524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111</v>
      </c>
      <c r="B27" s="325"/>
      <c r="C27" s="367">
        <v>0</v>
      </c>
      <c r="D27" s="367"/>
      <c r="E27" s="367">
        <v>200001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439</v>
      </c>
      <c r="B28" s="326"/>
      <c r="C28" s="369" t="s">
        <v>110</v>
      </c>
      <c r="D28" s="369"/>
      <c r="E28" s="369" t="s">
        <v>110</v>
      </c>
      <c r="F28" s="370" t="s">
        <v>486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115</v>
      </c>
      <c r="C29" s="371">
        <v>200000</v>
      </c>
      <c r="D29" s="371"/>
      <c r="E29" s="371">
        <v>700000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107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114</v>
      </c>
      <c r="B31" s="409">
        <v>2003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298</v>
      </c>
      <c r="B32" s="409">
        <v>2003</v>
      </c>
      <c r="C32" s="327">
        <v>0.1312</v>
      </c>
      <c r="D32" s="327"/>
      <c r="E32" s="328"/>
      <c r="F32" s="328">
        <v>0.2612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9">
        <v>2003</v>
      </c>
      <c r="C33" s="329">
        <v>0.06</v>
      </c>
      <c r="D33" s="329"/>
      <c r="E33" s="330"/>
      <c r="F33" s="330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259</v>
      </c>
      <c r="B34" s="409">
        <v>2003</v>
      </c>
      <c r="C34" s="331">
        <f>SUM(C32:C33)</f>
        <v>0.1912</v>
      </c>
      <c r="D34" s="331"/>
      <c r="E34" s="332">
        <v>0.3412</v>
      </c>
      <c r="F34" s="332">
        <f>SUM(F32:F33)</f>
        <v>0.3862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5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108</v>
      </c>
      <c r="B36" s="409">
        <v>2003</v>
      </c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109</v>
      </c>
      <c r="B37" s="409">
        <v>2003</v>
      </c>
      <c r="C37" s="334">
        <v>0.00225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112</v>
      </c>
      <c r="B38" s="409">
        <v>2003</v>
      </c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7" thickBot="1">
      <c r="A39" s="324" t="s">
        <v>483</v>
      </c>
      <c r="B39" s="406" t="s">
        <v>470</v>
      </c>
      <c r="C39" s="361">
        <v>5000000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.75" thickBot="1">
      <c r="A40" s="324" t="s">
        <v>484</v>
      </c>
      <c r="B40" s="407" t="s">
        <v>471</v>
      </c>
      <c r="C40" s="362">
        <v>10000000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17" t="s">
        <v>334</v>
      </c>
      <c r="B41" s="516"/>
      <c r="C41" s="516"/>
      <c r="D41" s="516"/>
      <c r="E41" s="516"/>
      <c r="F41" s="516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18"/>
      <c r="B42" s="518"/>
      <c r="C42" s="518"/>
      <c r="D42" s="518"/>
      <c r="E42" s="518"/>
      <c r="F42" s="518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10" t="s">
        <v>338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485</v>
      </c>
      <c r="B44" s="365"/>
      <c r="C44" s="366"/>
      <c r="D44" s="365"/>
      <c r="E44" s="342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111</v>
      </c>
      <c r="B45" s="325"/>
      <c r="C45" s="367">
        <v>0</v>
      </c>
      <c r="D45" s="367"/>
      <c r="E45" s="367">
        <v>200001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9" t="s">
        <v>110</v>
      </c>
      <c r="D46" s="369"/>
      <c r="E46" s="369" t="s">
        <v>110</v>
      </c>
      <c r="F46" s="370" t="s">
        <v>469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115</v>
      </c>
      <c r="C47" s="371">
        <v>200000</v>
      </c>
      <c r="D47" s="371"/>
      <c r="E47" s="371">
        <v>700000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107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114</v>
      </c>
      <c r="B49" s="409">
        <v>2003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298</v>
      </c>
      <c r="B50" s="245"/>
      <c r="C50" s="351">
        <f>TAXREC!C149</f>
        <v>0.04529746571227841</v>
      </c>
      <c r="D50" s="351"/>
      <c r="E50" s="352">
        <f>TAXREC!C149</f>
        <v>0.04529746571227841</v>
      </c>
      <c r="F50" s="352">
        <v>0.2412</v>
      </c>
      <c r="G50" s="194"/>
      <c r="H50" s="489">
        <v>0.2412</v>
      </c>
      <c r="I50" s="489">
        <f>+H50-F50</f>
        <v>0</v>
      </c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5"/>
      <c r="C51" s="353">
        <f>TAXREC!C150</f>
        <v>0.030942950525897794</v>
      </c>
      <c r="D51" s="353"/>
      <c r="E51" s="354">
        <f>TAXREC!G150</f>
        <v>0.030942950525897794</v>
      </c>
      <c r="F51" s="354">
        <v>0.125</v>
      </c>
      <c r="G51" s="194"/>
      <c r="H51" s="489">
        <v>0.125</v>
      </c>
      <c r="I51" s="489">
        <f>+H51-F51</f>
        <v>0</v>
      </c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259</v>
      </c>
      <c r="B52" s="245"/>
      <c r="C52" s="331">
        <f>SUM(C50:C51)</f>
        <v>0.0762404162381762</v>
      </c>
      <c r="D52" s="331"/>
      <c r="E52" s="332">
        <f>SUM(E50:E51)</f>
        <v>0.0762404162381762</v>
      </c>
      <c r="F52" s="332">
        <f>SUM(F50:F51)</f>
        <v>0.36619999999999997</v>
      </c>
      <c r="G52" s="194"/>
      <c r="H52" s="489">
        <f>+H51+H50</f>
        <v>0.36619999999999997</v>
      </c>
      <c r="I52" s="489">
        <f>+H52-F52</f>
        <v>0</v>
      </c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5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108</v>
      </c>
      <c r="B54" s="244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109</v>
      </c>
      <c r="B55" s="238"/>
      <c r="C55" s="356">
        <v>0.00225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112</v>
      </c>
      <c r="B56" s="238"/>
      <c r="C56" s="357">
        <v>0.0112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7" thickBot="1">
      <c r="A57" s="324" t="s">
        <v>348</v>
      </c>
      <c r="B57" s="406" t="s">
        <v>470</v>
      </c>
      <c r="C57" s="361">
        <v>5000000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.75" thickBot="1">
      <c r="A58" s="324" t="s">
        <v>349</v>
      </c>
      <c r="B58" s="407" t="s">
        <v>471</v>
      </c>
      <c r="C58" s="362">
        <v>10000000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15" t="s">
        <v>350</v>
      </c>
      <c r="B59" s="519"/>
      <c r="C59" s="519"/>
      <c r="D59" s="519"/>
      <c r="E59" s="519"/>
      <c r="F59" s="519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20"/>
      <c r="B60" s="520"/>
      <c r="C60" s="520"/>
      <c r="D60" s="520"/>
      <c r="E60" s="520"/>
      <c r="F60" s="520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7086614173228347" bottom="0.35433070866141736" header="0.1968503937007874" footer="0"/>
  <pageSetup fitToHeight="1" fitToWidth="1" horizontalDpi="600" verticalDpi="600" orientation="portrait" scale="10" r:id="rId1"/>
  <headerFooter alignWithMargins="0">
    <oddHeader>&amp;C&amp;A</oddHeader>
    <oddFooter>&amp;C&amp;F&amp;RPage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workbookViewId="0" topLeftCell="A1">
      <selection activeCell="M17" sqref="M17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457</v>
      </c>
      <c r="B2" s="2"/>
    </row>
    <row r="3" spans="1:15" ht="12.75">
      <c r="A3" s="2" t="str">
        <f>REGINFO!A3</f>
        <v>Utility Name: Centre Wellington Hydro Ltd.</v>
      </c>
      <c r="O3" s="416" t="str">
        <f>REGINFO!E1</f>
        <v>Version 2009.1</v>
      </c>
    </row>
    <row r="4" spans="1:15" ht="12.75">
      <c r="A4" s="2" t="str">
        <f>REGINFO!A4</f>
        <v>Reporting period:  2003</v>
      </c>
      <c r="E4" s="417" t="s">
        <v>320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94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95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103</v>
      </c>
    </row>
    <row r="10" spans="1:8" ht="12.75">
      <c r="A10" s="2"/>
      <c r="F10" s="34"/>
      <c r="H10" s="34"/>
    </row>
    <row r="11" spans="1:15" ht="20.25" customHeight="1">
      <c r="A11" s="81" t="s">
        <v>104</v>
      </c>
      <c r="B11" s="8" t="s">
        <v>188</v>
      </c>
      <c r="C11" s="394">
        <v>0</v>
      </c>
      <c r="D11" s="390"/>
      <c r="E11" s="396">
        <f>C22</f>
        <v>0</v>
      </c>
      <c r="F11" s="419"/>
      <c r="G11" s="396">
        <f>E22</f>
        <v>0</v>
      </c>
      <c r="H11" s="419"/>
      <c r="I11" s="396">
        <f>G22</f>
        <v>0</v>
      </c>
      <c r="J11" s="390"/>
      <c r="K11" s="396">
        <f>I22</f>
        <v>0</v>
      </c>
      <c r="L11" s="390"/>
      <c r="M11" s="396">
        <f>K22</f>
        <v>0</v>
      </c>
      <c r="N11" s="390"/>
      <c r="O11" s="396">
        <f>C11</f>
        <v>0</v>
      </c>
    </row>
    <row r="12" spans="1:15" ht="27" customHeight="1">
      <c r="A12" s="81" t="s">
        <v>396</v>
      </c>
      <c r="B12" s="66" t="s">
        <v>189</v>
      </c>
      <c r="C12" s="395"/>
      <c r="D12" s="391"/>
      <c r="E12" s="395"/>
      <c r="F12" s="95"/>
      <c r="G12" s="418">
        <f>C12+E12</f>
        <v>0</v>
      </c>
      <c r="H12" s="95"/>
      <c r="I12" s="418">
        <f>(E12/12*9)+(G12/12*3)</f>
        <v>0</v>
      </c>
      <c r="J12" s="391"/>
      <c r="K12" s="418">
        <f>E12/12*3</f>
        <v>0</v>
      </c>
      <c r="L12" s="391"/>
      <c r="M12" s="418">
        <f>K13/9*12/4</f>
        <v>0</v>
      </c>
      <c r="N12" s="391"/>
      <c r="O12" s="396">
        <f aca="true" t="shared" si="0" ref="O12:O20">SUM(C12:N12)</f>
        <v>0</v>
      </c>
    </row>
    <row r="13" spans="1:15" ht="27" customHeight="1">
      <c r="A13" s="81" t="s">
        <v>438</v>
      </c>
      <c r="B13" s="66"/>
      <c r="C13" s="418"/>
      <c r="D13" s="391"/>
      <c r="E13" s="418"/>
      <c r="F13" s="95"/>
      <c r="G13" s="418"/>
      <c r="H13" s="95"/>
      <c r="I13" s="418"/>
      <c r="J13" s="391"/>
      <c r="K13" s="395"/>
      <c r="L13" s="391"/>
      <c r="M13" s="418"/>
      <c r="N13" s="391"/>
      <c r="O13" s="396">
        <f t="shared" si="0"/>
        <v>0</v>
      </c>
    </row>
    <row r="14" spans="1:15" ht="26.25">
      <c r="A14" s="81" t="s">
        <v>397</v>
      </c>
      <c r="B14" s="66" t="s">
        <v>189</v>
      </c>
      <c r="C14" s="395"/>
      <c r="D14" s="391"/>
      <c r="E14" s="395"/>
      <c r="F14" s="95"/>
      <c r="G14" s="395"/>
      <c r="H14" s="95"/>
      <c r="I14" s="395"/>
      <c r="J14" s="391"/>
      <c r="K14" s="395"/>
      <c r="L14" s="391"/>
      <c r="M14" s="395"/>
      <c r="N14" s="391"/>
      <c r="O14" s="396">
        <f t="shared" si="0"/>
        <v>0</v>
      </c>
    </row>
    <row r="15" spans="1:15" ht="27" customHeight="1">
      <c r="A15" s="81" t="s">
        <v>398</v>
      </c>
      <c r="B15" s="66" t="s">
        <v>189</v>
      </c>
      <c r="C15" s="395"/>
      <c r="D15" s="391"/>
      <c r="E15" s="395"/>
      <c r="F15" s="95"/>
      <c r="G15" s="395"/>
      <c r="H15" s="95"/>
      <c r="I15" s="395"/>
      <c r="J15" s="391"/>
      <c r="K15" s="395"/>
      <c r="L15" s="391"/>
      <c r="M15" s="418">
        <f>TAXCALC!E132</f>
        <v>-14011.321789463322</v>
      </c>
      <c r="N15" s="391"/>
      <c r="O15" s="396">
        <f t="shared" si="0"/>
        <v>-14011.321789463322</v>
      </c>
    </row>
    <row r="16" spans="1:15" ht="27" customHeight="1">
      <c r="A16" s="81" t="s">
        <v>399</v>
      </c>
      <c r="B16" s="66"/>
      <c r="C16" s="395"/>
      <c r="D16" s="391"/>
      <c r="E16" s="395"/>
      <c r="F16" s="95"/>
      <c r="G16" s="395"/>
      <c r="H16" s="95"/>
      <c r="I16" s="395"/>
      <c r="J16" s="391"/>
      <c r="K16" s="395"/>
      <c r="L16" s="391"/>
      <c r="M16" s="395"/>
      <c r="N16" s="391"/>
      <c r="O16" s="396">
        <f t="shared" si="0"/>
        <v>0</v>
      </c>
    </row>
    <row r="17" spans="1:15" ht="27.75" customHeight="1">
      <c r="A17" s="81" t="s">
        <v>400</v>
      </c>
      <c r="B17" s="66" t="s">
        <v>189</v>
      </c>
      <c r="C17" s="395"/>
      <c r="D17" s="391"/>
      <c r="E17" s="395"/>
      <c r="F17" s="95"/>
      <c r="G17" s="395"/>
      <c r="H17" s="95"/>
      <c r="I17" s="395"/>
      <c r="J17" s="391"/>
      <c r="K17" s="395"/>
      <c r="L17" s="391"/>
      <c r="M17" s="418">
        <f>TAXCALC!E181</f>
        <v>-60289.58806949461</v>
      </c>
      <c r="N17" s="391"/>
      <c r="O17" s="396">
        <f t="shared" si="0"/>
        <v>-60289.58806949461</v>
      </c>
    </row>
    <row r="18" spans="1:15" ht="26.25">
      <c r="A18" s="81" t="s">
        <v>401</v>
      </c>
      <c r="B18" s="66" t="s">
        <v>189</v>
      </c>
      <c r="C18" s="395"/>
      <c r="D18" s="391"/>
      <c r="E18" s="395"/>
      <c r="F18" s="95"/>
      <c r="G18" s="395"/>
      <c r="H18" s="95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5" ht="24" customHeight="1">
      <c r="A19" s="432" t="s">
        <v>402</v>
      </c>
      <c r="B19" s="66" t="s">
        <v>189</v>
      </c>
      <c r="C19" s="395"/>
      <c r="D19" s="391"/>
      <c r="E19" s="395"/>
      <c r="F19" s="95"/>
      <c r="G19" s="395"/>
      <c r="H19" s="95"/>
      <c r="I19" s="395"/>
      <c r="J19" s="391"/>
      <c r="K19" s="395"/>
      <c r="L19" s="391"/>
      <c r="M19" s="395"/>
      <c r="N19" s="391"/>
      <c r="O19" s="396">
        <f t="shared" si="0"/>
        <v>0</v>
      </c>
    </row>
    <row r="20" spans="1:15" ht="24.75" customHeight="1">
      <c r="A20" s="81" t="s">
        <v>468</v>
      </c>
      <c r="B20" s="66" t="s">
        <v>187</v>
      </c>
      <c r="C20" s="418">
        <v>0</v>
      </c>
      <c r="D20" s="391"/>
      <c r="E20" s="395"/>
      <c r="F20" s="95"/>
      <c r="G20" s="395"/>
      <c r="H20" s="95"/>
      <c r="I20" s="395"/>
      <c r="J20" s="391"/>
      <c r="K20" s="395"/>
      <c r="L20" s="391"/>
      <c r="M20" s="395"/>
      <c r="N20" s="391"/>
      <c r="O20" s="396">
        <f t="shared" si="0"/>
        <v>0</v>
      </c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9"/>
    </row>
    <row r="22" spans="1:15" ht="13.5" thickBot="1">
      <c r="A22" s="81" t="s">
        <v>372</v>
      </c>
      <c r="B22" s="34"/>
      <c r="C22" s="397">
        <f>SUM(C11:C20)</f>
        <v>0</v>
      </c>
      <c r="D22" s="419"/>
      <c r="E22" s="397">
        <f>SUM(E11:E20)</f>
        <v>0</v>
      </c>
      <c r="F22" s="419"/>
      <c r="G22" s="397">
        <f>SUM(G11:G20)</f>
        <v>0</v>
      </c>
      <c r="H22" s="419"/>
      <c r="I22" s="397">
        <f>SUM(I11:I20)</f>
        <v>0</v>
      </c>
      <c r="J22" s="390"/>
      <c r="K22" s="397">
        <f>SUM(K11:K20)</f>
        <v>0</v>
      </c>
      <c r="L22" s="390"/>
      <c r="M22" s="397">
        <f>SUM(M11:M21)</f>
        <v>-74300.90985895794</v>
      </c>
      <c r="N22" s="390"/>
      <c r="O22" s="450">
        <f>SUM(O11:O20)</f>
        <v>-74300.90985895794</v>
      </c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8"/>
      <c r="M23" s="442"/>
      <c r="N23" s="188"/>
      <c r="O23" s="442"/>
    </row>
    <row r="24" spans="1:15" ht="12.75">
      <c r="A24" s="456"/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</row>
    <row r="25" spans="1:15" ht="12.75">
      <c r="A25" s="433"/>
      <c r="B25" s="434"/>
      <c r="C25" s="460"/>
      <c r="D25" s="460"/>
      <c r="E25" s="460"/>
      <c r="F25" s="460"/>
      <c r="G25" s="460"/>
      <c r="H25" s="460"/>
      <c r="I25" s="460"/>
      <c r="J25" s="461"/>
      <c r="K25" s="460"/>
      <c r="L25" s="462"/>
      <c r="M25" s="463"/>
      <c r="N25" s="462"/>
      <c r="O25" s="463"/>
    </row>
    <row r="26" spans="1:15" ht="12.75">
      <c r="A26" s="433" t="s">
        <v>403</v>
      </c>
      <c r="B26" s="434"/>
      <c r="C26" s="460"/>
      <c r="D26" s="460"/>
      <c r="E26" s="460"/>
      <c r="F26" s="460"/>
      <c r="G26" s="460"/>
      <c r="H26" s="460"/>
      <c r="I26" s="460"/>
      <c r="J26" s="461"/>
      <c r="K26" s="460"/>
      <c r="L26" s="462"/>
      <c r="M26" s="463"/>
      <c r="N26" s="462"/>
      <c r="O26" s="463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8"/>
      <c r="M27" s="188"/>
      <c r="N27" s="188"/>
      <c r="O27" s="188"/>
    </row>
    <row r="28" spans="1:15" ht="12.75">
      <c r="A28" s="433" t="s">
        <v>404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8"/>
      <c r="M28" s="188"/>
      <c r="N28" s="188"/>
      <c r="O28" s="188"/>
    </row>
    <row r="29" spans="1:15" ht="12.75">
      <c r="A29" s="436" t="s">
        <v>405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8"/>
      <c r="M29" s="188"/>
      <c r="N29" s="188"/>
      <c r="O29" s="188"/>
    </row>
    <row r="30" spans="1:15" ht="9" customHeight="1">
      <c r="A30" s="188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8"/>
      <c r="M30" s="188"/>
      <c r="N30" s="188"/>
      <c r="O30" s="188"/>
    </row>
    <row r="31" spans="1:15" ht="12.75">
      <c r="A31" s="451" t="s">
        <v>406</v>
      </c>
      <c r="B31" s="80"/>
      <c r="C31" s="80"/>
      <c r="D31" s="80"/>
      <c r="E31" s="80"/>
      <c r="F31" s="80"/>
      <c r="G31" s="80"/>
      <c r="H31" s="80"/>
      <c r="I31" s="447"/>
      <c r="J31" s="447"/>
      <c r="K31" s="447"/>
      <c r="L31" s="447"/>
      <c r="M31" s="447"/>
      <c r="N31" s="447"/>
      <c r="O31" s="447"/>
    </row>
    <row r="32" spans="1:15" ht="9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</row>
    <row r="33" spans="1:19" ht="12.75">
      <c r="A33" s="526" t="s">
        <v>407</v>
      </c>
      <c r="B33" s="527"/>
      <c r="C33" s="527"/>
      <c r="D33" s="527"/>
      <c r="E33" s="527"/>
      <c r="F33" s="527"/>
      <c r="G33" s="527"/>
      <c r="H33" s="527"/>
      <c r="I33" s="527"/>
      <c r="J33" s="527"/>
      <c r="K33" s="527"/>
      <c r="L33" s="527"/>
      <c r="M33" s="527"/>
      <c r="N33" s="527"/>
      <c r="O33" s="527"/>
      <c r="P33" s="420"/>
      <c r="Q33" s="420"/>
      <c r="R33" s="420"/>
      <c r="S33" s="420"/>
    </row>
    <row r="34" spans="1:19" ht="12.75">
      <c r="A34" s="525" t="s">
        <v>408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420"/>
      <c r="Q34" s="420"/>
      <c r="R34" s="420"/>
      <c r="S34" s="420"/>
    </row>
    <row r="35" spans="1:19" ht="12.75">
      <c r="A35" s="525" t="s">
        <v>429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420"/>
      <c r="Q35" s="420"/>
      <c r="R35" s="420"/>
      <c r="S35" s="420"/>
    </row>
    <row r="36" spans="1:19" ht="12.75">
      <c r="A36" s="525" t="s">
        <v>409</v>
      </c>
      <c r="B36" s="527"/>
      <c r="C36" s="527"/>
      <c r="D36" s="527"/>
      <c r="E36" s="527"/>
      <c r="F36" s="527"/>
      <c r="G36" s="527"/>
      <c r="H36" s="527"/>
      <c r="I36" s="527"/>
      <c r="J36" s="527"/>
      <c r="K36" s="527"/>
      <c r="L36" s="527"/>
      <c r="M36" s="527"/>
      <c r="N36" s="527"/>
      <c r="O36" s="527"/>
      <c r="P36" s="420"/>
      <c r="Q36" s="420"/>
      <c r="R36" s="420"/>
      <c r="S36" s="420"/>
    </row>
    <row r="37" spans="1:19" ht="12.75">
      <c r="A37" s="437" t="s">
        <v>369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0"/>
      <c r="Q37" s="420"/>
      <c r="R37" s="420"/>
      <c r="S37" s="420"/>
    </row>
    <row r="38" spans="1:19" ht="12.75">
      <c r="A38" s="437" t="s">
        <v>370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0"/>
      <c r="Q38" s="420"/>
      <c r="R38" s="420"/>
      <c r="S38" s="420"/>
    </row>
    <row r="39" spans="1:19" ht="12.75">
      <c r="A39" s="437" t="s">
        <v>410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0"/>
      <c r="Q39" s="420"/>
      <c r="R39" s="420"/>
      <c r="S39" s="420"/>
    </row>
    <row r="40" spans="1:19" ht="12.75">
      <c r="A40" s="437" t="s">
        <v>411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0"/>
      <c r="Q40" s="420"/>
      <c r="R40" s="420"/>
      <c r="S40" s="420"/>
    </row>
    <row r="41" spans="2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0"/>
      <c r="Q41" s="420"/>
      <c r="R41" s="420"/>
      <c r="S41" s="420"/>
    </row>
    <row r="42" spans="1:15" ht="12.75">
      <c r="A42" s="439" t="s">
        <v>412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8"/>
      <c r="M42" s="188"/>
      <c r="N42" s="188"/>
      <c r="O42" s="188"/>
    </row>
    <row r="43" spans="1:15" ht="12.75">
      <c r="A43" s="434" t="s">
        <v>413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8"/>
      <c r="M43" s="188"/>
      <c r="N43" s="188"/>
      <c r="O43" s="188"/>
    </row>
    <row r="44" spans="1:15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8"/>
      <c r="M44" s="188"/>
      <c r="N44" s="188"/>
      <c r="O44" s="188"/>
    </row>
    <row r="45" spans="1:15" ht="12.75">
      <c r="A45" s="439" t="s">
        <v>414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8"/>
      <c r="M45" s="188"/>
      <c r="N45" s="188"/>
      <c r="O45" s="188"/>
    </row>
    <row r="46" spans="1:15" ht="12.75">
      <c r="A46" s="434" t="s">
        <v>415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8"/>
      <c r="M46" s="188"/>
      <c r="N46" s="188"/>
      <c r="O46" s="188"/>
    </row>
    <row r="47" spans="1:15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8"/>
      <c r="M47" s="188"/>
      <c r="N47" s="188"/>
      <c r="O47" s="188"/>
    </row>
    <row r="48" spans="1:15" ht="12.75">
      <c r="A48" s="439" t="s">
        <v>416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8"/>
      <c r="M48" s="188"/>
      <c r="N48" s="188"/>
      <c r="O48" s="188"/>
    </row>
    <row r="49" spans="1:15" ht="12.75">
      <c r="A49" s="434" t="s">
        <v>417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8"/>
      <c r="M49" s="188"/>
      <c r="N49" s="188"/>
      <c r="O49" s="188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8"/>
      <c r="M50" s="188"/>
      <c r="N50" s="188"/>
      <c r="O50" s="188"/>
    </row>
    <row r="51" spans="1:15" ht="12.75">
      <c r="A51" s="439" t="s">
        <v>418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8"/>
      <c r="M51" s="188"/>
      <c r="N51" s="188"/>
      <c r="O51" s="188"/>
    </row>
    <row r="52" spans="1:15" ht="12.75">
      <c r="A52" s="434" t="s">
        <v>415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8"/>
      <c r="M52" s="188"/>
      <c r="N52" s="188"/>
      <c r="O52" s="188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8"/>
      <c r="M53" s="188"/>
      <c r="N53" s="188"/>
      <c r="O53" s="188"/>
    </row>
    <row r="54" spans="1:15" ht="12.75">
      <c r="A54" s="434" t="s">
        <v>419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8"/>
      <c r="M54" s="188"/>
      <c r="N54" s="188"/>
      <c r="O54" s="188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8"/>
      <c r="M55" s="188"/>
      <c r="N55" s="188"/>
      <c r="O55" s="188"/>
    </row>
    <row r="56" spans="1:15" ht="12.75" customHeight="1">
      <c r="A56" s="439" t="s">
        <v>420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8"/>
      <c r="M56" s="188"/>
      <c r="N56" s="188"/>
      <c r="O56" s="188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8"/>
      <c r="M57" s="188"/>
      <c r="N57" s="188"/>
      <c r="O57" s="188"/>
    </row>
    <row r="58" spans="1:15" ht="12.75">
      <c r="A58" s="434" t="s">
        <v>421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8"/>
      <c r="M58" s="188"/>
      <c r="N58" s="188"/>
      <c r="O58" s="188"/>
    </row>
    <row r="59" spans="1:15" ht="12.75">
      <c r="A59" s="434" t="s">
        <v>422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8"/>
      <c r="M59" s="188"/>
      <c r="N59" s="188"/>
      <c r="O59" s="188"/>
    </row>
    <row r="60" spans="1:15" ht="12.75">
      <c r="A60" s="434" t="s">
        <v>423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8"/>
      <c r="M60" s="188"/>
      <c r="N60" s="188"/>
      <c r="O60" s="188"/>
    </row>
    <row r="61" spans="1:15" ht="12.75">
      <c r="A61" s="434" t="s">
        <v>379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8"/>
      <c r="M61" s="188"/>
      <c r="N61" s="188"/>
      <c r="O61" s="188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8"/>
      <c r="M62" s="188"/>
      <c r="N62" s="188"/>
      <c r="O62" s="188"/>
    </row>
    <row r="63" spans="1:15" ht="12.75">
      <c r="A63" s="434" t="s">
        <v>424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8"/>
      <c r="M63" s="188"/>
      <c r="N63" s="188"/>
      <c r="O63" s="188"/>
    </row>
    <row r="64" spans="1:15" ht="12.75">
      <c r="A64" s="434" t="s">
        <v>425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8"/>
      <c r="M64" s="188"/>
      <c r="N64" s="188"/>
      <c r="O64" s="188"/>
    </row>
    <row r="65" spans="1:15" ht="12.75">
      <c r="A65" s="434" t="s">
        <v>381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8"/>
      <c r="M65" s="188"/>
      <c r="N65" s="188"/>
      <c r="O65" s="188"/>
    </row>
    <row r="66" spans="1:15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8"/>
      <c r="M66" s="188"/>
      <c r="N66" s="188"/>
      <c r="O66" s="188"/>
    </row>
    <row r="67" spans="1:15" ht="12.75">
      <c r="A67" s="434" t="s">
        <v>380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8"/>
      <c r="M67" s="188"/>
      <c r="N67" s="188"/>
      <c r="O67" s="188"/>
    </row>
    <row r="68" spans="1:15" ht="12.75">
      <c r="A68" s="434" t="s">
        <v>382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8"/>
      <c r="M68" s="188"/>
      <c r="N68" s="188"/>
      <c r="O68" s="188"/>
    </row>
    <row r="69" spans="1:15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8"/>
      <c r="M69" s="188"/>
      <c r="N69" s="188"/>
      <c r="O69" s="188"/>
    </row>
    <row r="70" spans="1:15" ht="12.75">
      <c r="A70" s="434" t="s">
        <v>426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8"/>
      <c r="M70" s="188"/>
      <c r="N70" s="188"/>
      <c r="O70" s="188"/>
    </row>
    <row r="71" spans="1:15" ht="12.75">
      <c r="A71" s="434" t="s">
        <v>427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8"/>
      <c r="M71" s="188"/>
      <c r="N71" s="188"/>
      <c r="O71" s="188"/>
    </row>
    <row r="72" spans="1:15" ht="12.75">
      <c r="A72" s="434" t="s">
        <v>428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8"/>
      <c r="M72" s="188"/>
      <c r="N72" s="188"/>
      <c r="O72" s="188"/>
    </row>
    <row r="73" spans="1:15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8"/>
      <c r="M73" s="188"/>
      <c r="N73" s="188"/>
      <c r="O73" s="188"/>
    </row>
    <row r="74" spans="1:15" ht="12.75" customHeight="1">
      <c r="A74" s="525" t="s">
        <v>458</v>
      </c>
      <c r="B74" s="525"/>
      <c r="C74" s="525"/>
      <c r="D74" s="525"/>
      <c r="E74" s="525"/>
      <c r="F74" s="525"/>
      <c r="G74" s="525"/>
      <c r="H74" s="525"/>
      <c r="I74" s="525"/>
      <c r="J74" s="525"/>
      <c r="K74" s="525"/>
      <c r="L74" s="525"/>
      <c r="M74" s="525"/>
      <c r="N74" s="525"/>
      <c r="O74" s="525"/>
    </row>
    <row r="75" spans="1:15" ht="12.75">
      <c r="A75" s="434" t="s">
        <v>371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8"/>
      <c r="M75" s="188"/>
      <c r="N75" s="188"/>
      <c r="O75" s="188"/>
    </row>
    <row r="76" spans="1:15" ht="12.75">
      <c r="A76" s="188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8"/>
      <c r="M76" s="188"/>
      <c r="N76" s="188"/>
      <c r="O76" s="188"/>
    </row>
    <row r="77" spans="1:15" ht="12.75">
      <c r="A77" s="188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8"/>
      <c r="M77" s="188"/>
      <c r="N77" s="188"/>
      <c r="O77" s="188"/>
    </row>
    <row r="78" spans="1:17" ht="12.75">
      <c r="A78" s="188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8"/>
      <c r="O78" s="188"/>
      <c r="P78" s="188"/>
      <c r="Q78" s="188"/>
    </row>
    <row r="79" spans="1:17" ht="12.75">
      <c r="A79" s="188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8"/>
      <c r="O79" s="188"/>
      <c r="P79" s="188"/>
      <c r="Q79" s="188"/>
    </row>
    <row r="80" spans="1:17" ht="12.75">
      <c r="A80" s="188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8"/>
      <c r="O80" s="188"/>
      <c r="P80" s="188"/>
      <c r="Q80" s="188"/>
    </row>
    <row r="81" spans="1:17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8"/>
      <c r="O81" s="188"/>
      <c r="P81" s="188"/>
      <c r="Q81" s="188"/>
    </row>
    <row r="82" spans="1:17" ht="12.75">
      <c r="A82" s="188"/>
      <c r="B82" s="188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8"/>
      <c r="O82" s="188"/>
      <c r="P82" s="188"/>
      <c r="Q82" s="188"/>
    </row>
    <row r="83" spans="1:17" ht="12.75">
      <c r="A83" s="188"/>
      <c r="B83" s="188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8"/>
      <c r="O83" s="188"/>
      <c r="P83" s="188"/>
      <c r="Q83" s="188"/>
    </row>
    <row r="84" spans="1:17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8"/>
      <c r="O84" s="188"/>
      <c r="P84" s="188"/>
      <c r="Q84" s="188"/>
    </row>
    <row r="85" spans="1:17" ht="12.75">
      <c r="A85" s="188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8"/>
      <c r="O85" s="188"/>
      <c r="P85" s="188"/>
      <c r="Q85" s="188"/>
    </row>
    <row r="86" spans="1:17" ht="12.75">
      <c r="A86" s="188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8"/>
      <c r="O86" s="188"/>
      <c r="P86" s="188"/>
      <c r="Q86" s="188"/>
    </row>
    <row r="87" spans="1:17" ht="12.75">
      <c r="A87" s="188"/>
      <c r="B87" s="188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8"/>
      <c r="O87" s="188"/>
      <c r="P87" s="188"/>
      <c r="Q87" s="188"/>
    </row>
    <row r="88" spans="1:17" ht="12.75">
      <c r="A88" s="188"/>
      <c r="B88" s="188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8"/>
      <c r="O88" s="188"/>
      <c r="P88" s="188"/>
      <c r="Q88" s="188"/>
    </row>
    <row r="89" spans="1:17" ht="12.75">
      <c r="A89" s="188"/>
      <c r="B89" s="188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8"/>
      <c r="O89" s="188"/>
      <c r="P89" s="188"/>
      <c r="Q89" s="188"/>
    </row>
    <row r="90" spans="1:17" ht="12.75">
      <c r="A90" s="188"/>
      <c r="B90" s="188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8"/>
      <c r="O90" s="188"/>
      <c r="P90" s="188"/>
      <c r="Q90" s="188"/>
    </row>
    <row r="91" spans="1:17" ht="12.75">
      <c r="A91" s="188"/>
      <c r="B91" s="188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8"/>
      <c r="O91" s="188"/>
      <c r="P91" s="188"/>
      <c r="Q91" s="188"/>
    </row>
    <row r="92" spans="1:17" ht="12.75">
      <c r="A92" s="188"/>
      <c r="B92" s="188"/>
      <c r="C92" s="525"/>
      <c r="D92" s="525"/>
      <c r="E92" s="525"/>
      <c r="F92" s="525"/>
      <c r="G92" s="525"/>
      <c r="H92" s="525"/>
      <c r="I92" s="525"/>
      <c r="J92" s="525"/>
      <c r="K92" s="525"/>
      <c r="L92" s="525"/>
      <c r="M92" s="525"/>
      <c r="N92" s="525"/>
      <c r="O92" s="525"/>
      <c r="P92" s="525"/>
      <c r="Q92" s="525"/>
    </row>
    <row r="93" spans="1:17" ht="12.75">
      <c r="A93" s="188"/>
      <c r="B93" s="188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101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101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101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7086614173228347" bottom="0.35433070866141736" header="0.1968503937007874" footer="0"/>
  <pageSetup fitToHeight="1" fitToWidth="1" horizontalDpi="600" verticalDpi="600" orientation="portrait" scale="70" r:id="rId1"/>
  <headerFooter alignWithMargins="0">
    <oddHeader>&amp;C&amp;A</oddHeader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Florence Thiessen</cp:lastModifiedBy>
  <cp:lastPrinted>2011-07-07T17:50:16Z</cp:lastPrinted>
  <dcterms:created xsi:type="dcterms:W3CDTF">2001-11-07T16:15:53Z</dcterms:created>
  <dcterms:modified xsi:type="dcterms:W3CDTF">2012-06-18T18:24:01Z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