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5480" windowHeight="7836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3'!$4:$8</definedName>
    <definedName name="Ratebase">'REGINFO'!$D$31</definedName>
    <definedName name="Surtax">#REF!</definedName>
  </definedNames>
  <calcPr fullCalcOnLoad="1"/>
</workbook>
</file>

<file path=xl/comments3.xml><?xml version="1.0" encoding="utf-8"?>
<comments xmlns="http://schemas.openxmlformats.org/spreadsheetml/2006/main">
  <authors>
    <author>dsullivan</author>
  </authors>
  <commentList>
    <comment ref="C150" authorId="0">
      <text>
        <r>
          <rPr>
            <b/>
            <sz val="8"/>
            <rFont val="Tahoma"/>
            <family val="2"/>
          </rPr>
          <t>dsullivan:</t>
        </r>
        <r>
          <rPr>
            <sz val="8"/>
            <rFont val="Tahoma"/>
            <family val="2"/>
          </rPr>
          <t xml:space="preserve">
Amount overridden to reflect maximum tax rate.</t>
        </r>
      </text>
    </comment>
  </commentList>
</comments>
</file>

<file path=xl/sharedStrings.xml><?xml version="1.0" encoding="utf-8"?>
<sst xmlns="http://schemas.openxmlformats.org/spreadsheetml/2006/main" count="885" uniqueCount="508">
  <si>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</si>
  <si>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</si>
  <si>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</si>
  <si>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</si>
  <si>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</si>
  <si>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</si>
  <si>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</si>
  <si>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</si>
  <si>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</si>
  <si>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</si>
  <si>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</si>
  <si>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</si>
  <si>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</si>
  <si>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</si>
  <si>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</si>
  <si>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</si>
  <si>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</si>
  <si>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</si>
  <si>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</si>
  <si>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</si>
  <si>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</si>
  <si>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</si>
  <si>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</si>
  <si>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</si>
  <si>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</si>
  <si>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</si>
  <si>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</si>
  <si>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</si>
  <si>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</si>
  <si>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</si>
  <si>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</si>
  <si>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</si>
  <si>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</si>
  <si>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</si>
  <si>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</si>
  <si>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</si>
  <si>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</si>
  <si>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</si>
  <si>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</si>
  <si>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</si>
  <si>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</si>
  <si>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</si>
  <si>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</si>
  <si>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</si>
  <si>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</si>
  <si>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</si>
  <si>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</si>
  <si>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</si>
  <si>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</si>
  <si>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</si>
  <si>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</si>
  <si>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</si>
  <si>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</si>
  <si>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</si>
  <si>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</si>
  <si>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</si>
  <si>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</si>
  <si>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</si>
  <si>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</si>
  <si>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</si>
  <si>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</si>
  <si>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</si>
  <si>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</si>
  <si>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</si>
  <si>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</si>
  <si>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</si>
  <si>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</si>
  <si>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</si>
  <si>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</si>
  <si>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</si>
  <si>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</si>
  <si>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</si>
  <si>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</si>
  <si>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</si>
  <si>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</si>
  <si>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</si>
  <si>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</si>
  <si>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</si>
  <si>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</si>
  <si>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</si>
  <si>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</si>
  <si>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</si>
  <si>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</si>
  <si>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</si>
  <si>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</si>
  <si>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</si>
  <si>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</si>
  <si>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</si>
  <si>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</si>
  <si>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</si>
  <si>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</si>
  <si>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</si>
  <si>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</si>
  <si>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</si>
  <si>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</si>
  <si>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</si>
  <si>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</si>
  <si>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</si>
  <si>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</si>
  <si>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</si>
  <si>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</si>
  <si>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</si>
  <si>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</si>
  <si>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</si>
  <si>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</si>
  <si>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</si>
  <si>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</si>
  <si>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</si>
  <si>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</si>
  <si>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</si>
  <si>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</si>
  <si>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</si>
  <si>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</si>
  <si>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</si>
  <si>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</si>
  <si>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</si>
  <si>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</si>
  <si>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</si>
  <si>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</si>
  <si>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</si>
  <si>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</si>
  <si>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</si>
  <si>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</si>
  <si>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</si>
  <si>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</si>
  <si>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</si>
  <si>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</si>
  <si>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</si>
  <si>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</si>
  <si>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</si>
  <si>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</si>
  <si>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</si>
  <si>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</si>
  <si>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</si>
  <si>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</si>
  <si>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</si>
  <si>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</si>
  <si>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</si>
  <si>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</si>
  <si>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</si>
  <si>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</si>
  <si>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</si>
  <si>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</si>
  <si>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</si>
  <si>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</si>
  <si>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</si>
  <si>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</si>
  <si>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</si>
  <si>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</si>
  <si>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</si>
  <si>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</si>
  <si>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</si>
  <si>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</si>
  <si>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</si>
  <si>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</si>
  <si>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</si>
  <si>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</si>
  <si>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</si>
  <si>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</si>
  <si>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</si>
  <si>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</si>
  <si>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</si>
  <si>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</si>
  <si>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</si>
  <si>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</si>
  <si>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</si>
  <si>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</si>
  <si>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</si>
  <si>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</si>
  <si>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</si>
  <si>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</si>
  <si>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</si>
  <si>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</si>
  <si>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</si>
  <si>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</si>
  <si>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</si>
  <si>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</si>
  <si>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</si>
  <si>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</si>
  <si>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</si>
  <si>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</si>
  <si>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</si>
  <si>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</si>
  <si>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</si>
  <si>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</si>
  <si>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</si>
  <si>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</si>
  <si>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</si>
  <si>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</si>
  <si>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</si>
  <si>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</si>
  <si>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</si>
  <si>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</si>
  <si>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</si>
  <si>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</si>
  <si>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</si>
  <si>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</si>
  <si>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</si>
  <si>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</si>
  <si>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</si>
  <si>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</si>
  <si>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</si>
  <si>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</si>
  <si>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</si>
  <si>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</si>
  <si>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</si>
  <si>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</si>
  <si>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</si>
  <si>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</si>
  <si>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</si>
  <si>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</si>
  <si>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</si>
  <si>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</si>
  <si>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</si>
  <si>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</si>
  <si>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</si>
  <si>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</si>
  <si>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</si>
  <si>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</si>
  <si>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</si>
  <si>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</si>
  <si>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</si>
  <si>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</si>
  <si>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</si>
  <si>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</si>
  <si>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</si>
  <si>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</si>
  <si>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</si>
  <si>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</si>
  <si>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</si>
  <si>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</si>
  <si>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</si>
  <si>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</si>
  <si>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</si>
  <si>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</si>
  <si>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</si>
  <si>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</si>
  <si>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</si>
  <si>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</si>
  <si>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</si>
  <si>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</si>
  <si>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</si>
  <si>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</si>
  <si>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</si>
  <si>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</si>
  <si>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</si>
  <si>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</si>
  <si>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</si>
  <si>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</si>
  <si>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</si>
  <si>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</si>
  <si>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</si>
  <si>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</si>
  <si>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</si>
  <si>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</si>
  <si>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</si>
  <si>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</si>
  <si>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</si>
  <si>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</si>
  <si>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</si>
  <si>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</si>
  <si>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</si>
  <si>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</si>
  <si>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</si>
  <si>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</si>
  <si>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</si>
  <si>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</si>
  <si>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</si>
  <si>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</si>
  <si>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</si>
  <si>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</si>
  <si>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</si>
  <si>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</si>
  <si>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</si>
  <si>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</si>
  <si>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</si>
  <si>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</si>
  <si>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</si>
  <si>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</si>
  <si>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</si>
  <si>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</si>
  <si>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</si>
  <si>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</si>
  <si>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</si>
  <si>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</si>
  <si>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</si>
  <si>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</si>
  <si>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</si>
  <si>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</si>
  <si>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</si>
  <si>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</si>
  <si>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</si>
  <si>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</si>
  <si>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</si>
  <si>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</si>
  <si>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</si>
  <si>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</si>
  <si>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</si>
  <si>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</si>
  <si>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</si>
  <si>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</si>
  <si>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</si>
  <si>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</si>
  <si>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</si>
  <si>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</si>
  <si>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</si>
  <si>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</si>
  <si>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</si>
  <si>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</si>
  <si>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</si>
  <si>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</si>
  <si>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</si>
  <si>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</si>
  <si>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</si>
  <si>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</si>
  <si>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</si>
  <si>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</si>
  <si>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</si>
  <si>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</si>
  <si>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</si>
  <si>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</si>
  <si>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</si>
  <si>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</si>
  <si>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</si>
  <si>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</si>
  <si>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</si>
  <si>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</si>
  <si>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</si>
  <si>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</si>
  <si>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</si>
  <si>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</si>
  <si>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</si>
  <si>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</si>
  <si>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</si>
  <si>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</si>
  <si>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</si>
  <si>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</si>
  <si>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</si>
  <si>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</si>
  <si>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</si>
  <si>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</si>
  <si>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</si>
  <si>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</si>
  <si>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</si>
  <si>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</si>
  <si>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</si>
  <si>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</si>
  <si>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</si>
  <si>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</si>
  <si>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</si>
  <si>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</si>
  <si>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</si>
  <si>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</si>
  <si>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</si>
  <si>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</si>
  <si>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</si>
  <si>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</si>
  <si>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</si>
  <si>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</si>
  <si>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</si>
  <si>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</si>
  <si>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</si>
  <si>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</si>
  <si>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</si>
  <si>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</si>
  <si>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</si>
  <si>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</si>
  <si>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</si>
  <si>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</si>
  <si>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</si>
  <si>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</si>
  <si>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</si>
  <si>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</si>
  <si>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</si>
  <si>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</si>
  <si>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</si>
  <si>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</si>
  <si>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</si>
  <si>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</si>
  <si>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</si>
  <si>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</si>
  <si>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</si>
  <si>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</si>
  <si>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</si>
  <si>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</si>
  <si>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</si>
  <si>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</si>
  <si>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</si>
  <si>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</si>
  <si>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</si>
  <si>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</si>
  <si>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</si>
  <si>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</si>
  <si>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</si>
  <si>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</si>
  <si>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</si>
  <si>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</si>
  <si>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</si>
  <si>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</si>
  <si>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</si>
  <si>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</si>
  <si>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</si>
  <si>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</si>
  <si>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</si>
  <si>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</si>
  <si>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</si>
  <si>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</si>
  <si>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</si>
  <si>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</si>
  <si>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</si>
  <si>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</si>
  <si>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</si>
  <si>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</si>
  <si>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</si>
  <si>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</si>
  <si>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</si>
  <si>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</si>
  <si>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</si>
  <si>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</si>
  <si>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</si>
  <si>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</si>
  <si>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</si>
  <si>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</si>
  <si>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</si>
  <si>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</si>
  <si>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</si>
  <si>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</si>
  <si>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</si>
  <si>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</si>
  <si>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</si>
  <si>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</si>
  <si>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</si>
  <si>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</si>
  <si>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</si>
  <si>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</si>
  <si>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</si>
  <si>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</si>
  <si>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</si>
  <si>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</si>
  <si>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</si>
  <si>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</si>
  <si>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</si>
  <si>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</si>
  <si>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</si>
  <si>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</si>
  <si>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</si>
  <si>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</si>
  <si>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</si>
  <si>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</si>
  <si>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</si>
  <si>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</si>
  <si>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</si>
  <si>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</si>
  <si>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</si>
  <si>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</si>
  <si>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</si>
  <si>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</si>
  <si>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</si>
  <si>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</si>
  <si>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Reporting period:  2001</t>
  </si>
  <si>
    <t>12-31-2001</t>
  </si>
  <si>
    <t>Actual 2001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</si>
  <si>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2001</t>
    </r>
  </si>
  <si>
    <t>**Exemption amounts must agree with the Board-approved 2001 RAM PILs filing</t>
  </si>
  <si>
    <t>&gt;175,000</t>
  </si>
  <si>
    <t>MAX $5MM</t>
  </si>
  <si>
    <t>MAX $10MM</t>
  </si>
  <si>
    <t>Expected Income Tax Rates for 2001 and Capital Tax Exemptions for 2001</t>
  </si>
  <si>
    <t>Input Information from Utility's Actual 2001 Tax Returns</t>
  </si>
  <si>
    <t>Rates Used in 2002 RAM PILs Applications for 2001 Q4</t>
  </si>
  <si>
    <r>
      <t xml:space="preserve">Ontario Capital Tax Exemption  </t>
    </r>
    <r>
      <rPr>
        <b/>
        <sz val="10"/>
        <color indexed="10"/>
        <rFont val="Arial"/>
        <family val="2"/>
      </rPr>
      <t>*** 2001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</si>
  <si>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2001</t>
    </r>
  </si>
  <si>
    <t>Enter from tax return</t>
  </si>
  <si>
    <t>Capital contributions - s.12(1)(x)</t>
  </si>
  <si>
    <t>Ontario Capital Tax per books</t>
  </si>
  <si>
    <t xml:space="preserve">Ontario Capital Tax per tax return </t>
  </si>
  <si>
    <t>Capital contributions s.13(7.4) Election</t>
  </si>
  <si>
    <t>Less: Regulatory Income Tax reported in the Initial Estimate Column (Cell C60)</t>
  </si>
  <si>
    <t>Less: Ontario Capital Tax reported in the initial estimate column (Cell C72)</t>
  </si>
  <si>
    <t>Less: Federal LCT reported in the initial estimate column  (Cell C84)</t>
  </si>
  <si>
    <t>TRUE-UP VARIANCE (from cell I132)</t>
  </si>
  <si>
    <t>Interest phased-in  (Cell C37)</t>
  </si>
  <si>
    <t>G-C</t>
  </si>
  <si>
    <t>Prospectus &amp; underwriting fees</t>
  </si>
  <si>
    <t>Capital items expensed - Software expensed per F/S</t>
  </si>
  <si>
    <t>Income not earned on movement of Regulatory A/Cs</t>
  </si>
  <si>
    <t>Deferred cost deductible (market ready)</t>
  </si>
  <si>
    <t xml:space="preserve">Interest deducted on MoF filing  (Cell G37+G42) </t>
  </si>
  <si>
    <t>Interest Adjustment for Tax Purposes  (carry forward to Cell E112)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</si>
  <si>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</si>
  <si>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PILs TAXES - ED-2002-0511</t>
  </si>
  <si>
    <t>Y</t>
  </si>
  <si>
    <t>N</t>
  </si>
  <si>
    <t xml:space="preserve">     Distribution</t>
  </si>
  <si>
    <r>
      <t xml:space="preserve">Income Tax Rate from </t>
    </r>
    <r>
      <rPr>
        <b/>
        <sz val="10"/>
        <color indexed="10"/>
        <rFont val="Arial"/>
        <family val="2"/>
      </rPr>
      <t>2001</t>
    </r>
    <r>
      <rPr>
        <sz val="10"/>
        <rFont val="Arial"/>
        <family val="0"/>
      </rPr>
      <t xml:space="preserve"> Utility's tax return</t>
    </r>
  </si>
  <si>
    <r>
      <t xml:space="preserve">Income Tax Rate used for gross- up </t>
    </r>
    <r>
      <rPr>
        <strike/>
        <sz val="10"/>
        <rFont val="Arial"/>
        <family val="2"/>
      </rPr>
      <t>(exclude surtax)</t>
    </r>
  </si>
  <si>
    <t xml:space="preserve">Balances with application PILs proxy model approved by the Board </t>
  </si>
  <si>
    <t>Centre Wellington Hydro Ltd.</t>
  </si>
  <si>
    <t>Deemed Interest</t>
  </si>
  <si>
    <t>Net Taxable income per sheet</t>
  </si>
  <si>
    <t>Add back Unrealized income</t>
  </si>
  <si>
    <t xml:space="preserve">  Taxable income before Unrealized Income</t>
  </si>
  <si>
    <t>Less:Small Business Deduction</t>
  </si>
  <si>
    <t>Revised Net Taxable income</t>
  </si>
  <si>
    <t>Unrealized Revenue</t>
  </si>
  <si>
    <t>Effective Tax Rate</t>
  </si>
  <si>
    <t>PILs DEFERRAL AND VARIANCE ACCOUNTS  Scenario C</t>
  </si>
  <si>
    <t>TAX RETURN RECONCILIATION (TAXREC) Scenario C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</si>
</sst>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6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9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4" applyNumberFormat="0" applyFill="0" applyAlignment="0" applyProtection="0"/>
    <xf numFmtId="0" fontId="56" fillId="30" borderId="0" applyNumberFormat="0" applyBorder="0" applyAlignment="0" applyProtection="0"/>
    <xf numFmtId="0" fontId="0" fillId="31" borderId="5" applyNumberFormat="0" applyFont="0" applyAlignment="0" applyProtection="0"/>
    <xf numFmtId="0" fontId="57" fillId="26" borderId="6" applyNumberFormat="0" applyAlignment="0" applyProtection="0"/>
    <xf numFmtId="1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9" fillId="0" borderId="0" applyNumberFormat="0" applyFill="0" applyBorder="0" applyAlignment="0" applyProtection="0"/>
  </cellStyleXfs>
  <cellXfs count="516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2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4" xfId="0" applyFont="1" applyFill="1" applyBorder="1" applyAlignment="1">
      <alignment vertical="top"/>
    </xf>
    <xf numFmtId="0" fontId="0" fillId="39" borderId="17" xfId="0" applyFill="1" applyBorder="1" applyAlignment="1">
      <alignment horizontal="center" vertical="top"/>
    </xf>
    <xf numFmtId="3" fontId="0" fillId="35" borderId="17" xfId="0" applyNumberFormat="1" applyFill="1" applyBorder="1" applyAlignment="1" applyProtection="1">
      <alignment horizontal="center" vertical="top"/>
      <protection locked="0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36" borderId="45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4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39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39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6" xfId="0" applyNumberFormat="1" applyFill="1" applyBorder="1" applyAlignment="1" applyProtection="1">
      <alignment/>
      <protection/>
    </xf>
    <xf numFmtId="3" fontId="0" fillId="3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5" borderId="14" xfId="0" applyNumberFormat="1" applyFill="1" applyBorder="1" applyAlignment="1" applyProtection="1" quotePrefix="1">
      <alignment horizontal="right" vertical="top"/>
      <protection/>
    </xf>
    <xf numFmtId="3" fontId="0" fillId="35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7" applyNumberFormat="1" applyFont="1" applyFill="1" applyBorder="1" applyAlignment="1" applyProtection="1" quotePrefix="1">
      <alignment vertical="top"/>
      <protection/>
    </xf>
    <xf numFmtId="3" fontId="0" fillId="35" borderId="47" xfId="57" applyNumberFormat="1" applyFont="1" applyFill="1" applyBorder="1" applyAlignment="1" applyProtection="1" quotePrefix="1">
      <alignment vertical="top"/>
      <protection/>
    </xf>
    <xf numFmtId="3" fontId="0" fillId="39" borderId="14" xfId="0" applyNumberFormat="1" applyFill="1" applyBorder="1" applyAlignment="1" applyProtection="1">
      <alignment horizontal="right" vertical="top"/>
      <protection locked="0"/>
    </xf>
    <xf numFmtId="3" fontId="0" fillId="35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5" borderId="44" xfId="0" applyNumberFormat="1" applyFill="1" applyBorder="1" applyAlignment="1" applyProtection="1">
      <alignment horizontal="center" vertical="top"/>
      <protection locked="0"/>
    </xf>
    <xf numFmtId="10" fontId="0" fillId="35" borderId="51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40" xfId="0" applyNumberFormat="1" applyFill="1" applyBorder="1" applyAlignment="1" applyProtection="1">
      <alignment horizontal="center" vertical="top"/>
      <protection locked="0"/>
    </xf>
    <xf numFmtId="10" fontId="0" fillId="35" borderId="42" xfId="0" applyNumberFormat="1" applyFill="1" applyBorder="1" applyAlignment="1" applyProtection="1">
      <alignment horizontal="center" vertical="top"/>
      <protection locked="0"/>
    </xf>
    <xf numFmtId="178" fontId="0" fillId="35" borderId="44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6" xfId="0" applyFill="1" applyBorder="1" applyAlignment="1" applyProtection="1">
      <alignment horizontal="center" vertical="top"/>
      <protection locked="0"/>
    </xf>
    <xf numFmtId="0" fontId="0" fillId="35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39" borderId="44" xfId="0" applyNumberFormat="1" applyFill="1" applyBorder="1" applyAlignment="1" applyProtection="1">
      <alignment horizontal="center" vertical="top"/>
      <protection locked="0"/>
    </xf>
    <xf numFmtId="10" fontId="0" fillId="39" borderId="51" xfId="0" applyNumberFormat="1" applyFill="1" applyBorder="1" applyAlignment="1" applyProtection="1">
      <alignment horizontal="center" vertical="top"/>
      <protection locked="0"/>
    </xf>
    <xf numFmtId="10" fontId="0" fillId="39" borderId="18" xfId="0" applyNumberFormat="1" applyFill="1" applyBorder="1" applyAlignment="1" applyProtection="1">
      <alignment horizontal="center" vertical="top"/>
      <protection locked="0"/>
    </xf>
    <xf numFmtId="10" fontId="0" fillId="39" borderId="10" xfId="0" applyNumberFormat="1" applyFill="1" applyBorder="1" applyAlignment="1" applyProtection="1">
      <alignment horizontal="center" vertical="top"/>
      <protection locked="0"/>
    </xf>
    <xf numFmtId="178" fontId="0" fillId="39" borderId="44" xfId="0" applyNumberFormat="1" applyFill="1" applyBorder="1" applyAlignment="1" applyProtection="1">
      <alignment horizontal="center" vertical="top"/>
      <protection locked="0"/>
    </xf>
    <xf numFmtId="178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9" xfId="0" applyNumberFormat="1" applyFill="1" applyBorder="1" applyAlignment="1" applyProtection="1">
      <alignment horizontal="center" vertical="top"/>
      <protection locked="0"/>
    </xf>
    <xf numFmtId="0" fontId="0" fillId="39" borderId="14" xfId="0" applyFill="1" applyBorder="1" applyAlignment="1" applyProtection="1">
      <alignment horizontal="center" vertical="top"/>
      <protection locked="0"/>
    </xf>
    <xf numFmtId="0" fontId="0" fillId="39" borderId="9" xfId="0" applyFill="1" applyBorder="1" applyAlignment="1" applyProtection="1">
      <alignment horizontal="center" vertical="top"/>
      <protection locked="0"/>
    </xf>
    <xf numFmtId="3" fontId="0" fillId="39" borderId="14" xfId="0" applyNumberFormat="1" applyFill="1" applyBorder="1" applyAlignment="1" applyProtection="1">
      <alignment horizontal="center" vertical="center"/>
      <protection locked="0"/>
    </xf>
    <xf numFmtId="0" fontId="0" fillId="39" borderId="46" xfId="0" applyFill="1" applyBorder="1" applyAlignment="1" applyProtection="1">
      <alignment horizontal="center" vertical="top"/>
      <protection locked="0"/>
    </xf>
    <xf numFmtId="0" fontId="0" fillId="39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4" fontId="9" fillId="36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9" xfId="0" applyFont="1" applyFill="1" applyBorder="1" applyAlignment="1" applyProtection="1">
      <alignment horizontal="center" vertical="top"/>
      <protection locked="0"/>
    </xf>
    <xf numFmtId="3" fontId="3" fillId="36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9" xfId="42" applyNumberFormat="1" applyFont="1" applyFill="1" applyBorder="1" applyAlignment="1" applyProtection="1">
      <alignment horizontal="center" vertical="top"/>
      <protection locked="0"/>
    </xf>
    <xf numFmtId="0" fontId="9" fillId="36" borderId="55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3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39" borderId="0" xfId="0" applyNumberFormat="1" applyFill="1" applyAlignment="1" applyProtection="1">
      <alignment/>
      <protection/>
    </xf>
    <xf numFmtId="3" fontId="0" fillId="39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6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9" borderId="14" xfId="0" applyNumberFormat="1" applyFill="1" applyBorder="1" applyAlignment="1">
      <alignment vertical="top"/>
    </xf>
    <xf numFmtId="10" fontId="0" fillId="35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35" borderId="41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39" borderId="0" xfId="0" applyNumberFormat="1" applyFill="1" applyAlignment="1">
      <alignment horizontal="center" vertical="top"/>
    </xf>
    <xf numFmtId="3" fontId="0" fillId="39" borderId="0" xfId="0" applyNumberFormat="1" applyFill="1" applyAlignment="1">
      <alignment vertical="top"/>
    </xf>
    <xf numFmtId="0" fontId="0" fillId="39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19" fillId="35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8" xfId="0" applyFont="1" applyFill="1" applyBorder="1" applyAlignment="1">
      <alignment horizontal="center" vertical="top"/>
    </xf>
    <xf numFmtId="0" fontId="3" fillId="35" borderId="49" xfId="0" applyFont="1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3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0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1" borderId="14" xfId="0" applyNumberFormat="1" applyFill="1" applyBorder="1" applyAlignment="1" applyProtection="1" quotePrefix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10" fontId="0" fillId="41" borderId="14" xfId="0" applyNumberFormat="1" applyFill="1" applyBorder="1" applyAlignment="1" applyProtection="1" quotePrefix="1">
      <alignment vertical="top"/>
      <protection/>
    </xf>
    <xf numFmtId="37" fontId="0" fillId="41" borderId="14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10" fontId="0" fillId="35" borderId="0" xfId="0" applyNumberFormat="1" applyFill="1" applyAlignment="1">
      <alignment vertical="top"/>
    </xf>
    <xf numFmtId="37" fontId="0" fillId="35" borderId="0" xfId="0" applyNumberFormat="1" applyFill="1" applyAlignment="1">
      <alignment vertical="top"/>
    </xf>
    <xf numFmtId="3" fontId="0" fillId="36" borderId="0" xfId="0" applyNumberFormat="1" applyFill="1" applyBorder="1" applyAlignment="1" applyProtection="1">
      <alignment vertical="top"/>
      <protection locked="0"/>
    </xf>
    <xf numFmtId="3" fontId="0" fillId="36" borderId="0" xfId="0" applyNumberFormat="1" applyFill="1" applyBorder="1" applyAlignment="1" applyProtection="1">
      <alignment vertical="top"/>
      <protection/>
    </xf>
    <xf numFmtId="1" fontId="0" fillId="35" borderId="0" xfId="0" applyNumberFormat="1" applyFill="1" applyAlignment="1">
      <alignment horizontal="center" vertical="top"/>
    </xf>
    <xf numFmtId="1" fontId="0" fillId="36" borderId="14" xfId="0" applyNumberFormat="1" applyFill="1" applyBorder="1" applyAlignment="1" applyProtection="1">
      <alignment horizontal="center" vertical="top"/>
      <protection locked="0"/>
    </xf>
    <xf numFmtId="1" fontId="0" fillId="35" borderId="14" xfId="0" applyNumberFormat="1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>
      <alignment/>
    </xf>
    <xf numFmtId="9" fontId="0" fillId="35" borderId="0" xfId="0" applyNumberFormat="1" applyFill="1" applyAlignment="1">
      <alignment horizontal="center" vertical="top"/>
    </xf>
    <xf numFmtId="3" fontId="0" fillId="35" borderId="14" xfId="0" applyNumberFormat="1" applyFill="1" applyBorder="1" applyAlignment="1" applyProtection="1">
      <alignment horizontal="center" vertical="center"/>
      <protection locked="0"/>
    </xf>
    <xf numFmtId="3" fontId="0" fillId="35" borderId="46" xfId="0" applyNumberFormat="1" applyFill="1" applyBorder="1" applyAlignment="1" applyProtection="1">
      <alignment horizontal="center" vertical="center"/>
      <protection locked="0"/>
    </xf>
    <xf numFmtId="3" fontId="0" fillId="36" borderId="14" xfId="0" applyNumberFormat="1" applyFill="1" applyBorder="1" applyAlignment="1">
      <alignment horizontal="right" vertical="top"/>
    </xf>
    <xf numFmtId="1" fontId="0" fillId="35" borderId="17" xfId="0" applyNumberForma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36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36" borderId="0" xfId="0" applyFont="1" applyFill="1" applyAlignment="1">
      <alignment vertical="top" wrapText="1"/>
    </xf>
    <xf numFmtId="0" fontId="0" fillId="0" borderId="24" xfId="0" applyFont="1" applyFill="1" applyBorder="1" applyAlignment="1" applyProtection="1">
      <alignment vertical="top"/>
      <protection/>
    </xf>
    <xf numFmtId="0" fontId="19" fillId="0" borderId="0" xfId="0" applyFont="1" applyFill="1" applyAlignment="1">
      <alignment vertical="top"/>
    </xf>
    <xf numFmtId="10" fontId="0" fillId="0" borderId="0" xfId="63" applyNumberFormat="1" applyFont="1" applyAlignment="1" applyProtection="1">
      <alignment vertical="top"/>
      <protection locked="0"/>
    </xf>
    <xf numFmtId="4" fontId="0" fillId="0" borderId="0" xfId="42" applyFont="1" applyFill="1" applyBorder="1" applyAlignment="1" applyProtection="1">
      <alignment vertical="top"/>
      <protection locked="0"/>
    </xf>
    <xf numFmtId="10" fontId="0" fillId="0" borderId="0" xfId="63" applyFont="1" applyFill="1" applyBorder="1" applyAlignment="1" applyProtection="1">
      <alignment vertical="top"/>
      <protection locked="0"/>
    </xf>
    <xf numFmtId="3" fontId="0" fillId="42" borderId="14" xfId="0" applyNumberFormat="1" applyFill="1" applyBorder="1" applyAlignment="1" applyProtection="1">
      <alignment vertical="top"/>
      <protection/>
    </xf>
    <xf numFmtId="178" fontId="0" fillId="35" borderId="14" xfId="0" applyNumberFormat="1" applyFill="1" applyBorder="1" applyAlignment="1" applyProtection="1" quotePrefix="1">
      <alignment horizontal="right" vertical="top"/>
      <protection/>
    </xf>
    <xf numFmtId="37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3" fontId="0" fillId="0" borderId="58" xfId="0" applyNumberFormat="1" applyFill="1" applyBorder="1" applyAlignment="1">
      <alignment vertical="top"/>
    </xf>
    <xf numFmtId="3" fontId="0" fillId="0" borderId="56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36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490</v>
      </c>
      <c r="C1" s="8"/>
      <c r="E1" s="2" t="s">
        <v>451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497</v>
      </c>
      <c r="C3" s="8"/>
      <c r="D3" s="449" t="s">
        <v>437</v>
      </c>
      <c r="E3" s="8"/>
      <c r="F3" s="8"/>
      <c r="G3" s="8"/>
      <c r="H3" s="8"/>
    </row>
    <row r="4" spans="1:8" ht="12.75">
      <c r="A4" s="2" t="s">
        <v>459</v>
      </c>
      <c r="C4" s="8"/>
      <c r="D4" s="448" t="s">
        <v>432</v>
      </c>
      <c r="E4" s="423"/>
      <c r="H4" s="8"/>
    </row>
    <row r="5" spans="1:8" ht="12.75">
      <c r="A5" s="52"/>
      <c r="C5" s="8"/>
      <c r="D5" s="447" t="s">
        <v>433</v>
      </c>
      <c r="E5" s="398"/>
      <c r="H5" s="8"/>
    </row>
    <row r="6" spans="1:8" ht="12.75">
      <c r="A6" s="2" t="s">
        <v>125</v>
      </c>
      <c r="B6" s="476">
        <v>92</v>
      </c>
      <c r="C6" s="8" t="s">
        <v>126</v>
      </c>
      <c r="D6" s="21"/>
      <c r="H6" s="8"/>
    </row>
    <row r="7" spans="1:8" ht="13.5" thickBot="1">
      <c r="A7" s="52" t="s">
        <v>250</v>
      </c>
      <c r="B7" s="249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8" t="s">
        <v>491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8" t="s">
        <v>492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63</v>
      </c>
      <c r="D17" s="258" t="s">
        <v>492</v>
      </c>
    </row>
    <row r="18" spans="1:4" ht="15" customHeight="1">
      <c r="A18" s="389" t="s">
        <v>308</v>
      </c>
      <c r="C18" s="8"/>
      <c r="D18" s="8"/>
    </row>
    <row r="19" spans="1:4" ht="15" customHeight="1">
      <c r="A19" s="502" t="s">
        <v>309</v>
      </c>
      <c r="B19" s="8" t="s">
        <v>306</v>
      </c>
      <c r="C19" s="8" t="s">
        <v>63</v>
      </c>
      <c r="D19" s="388" t="s">
        <v>492</v>
      </c>
    </row>
    <row r="20" spans="1:4" ht="13.5" thickBot="1">
      <c r="A20" s="503"/>
      <c r="B20" s="8" t="s">
        <v>307</v>
      </c>
      <c r="C20" s="8" t="s">
        <v>63</v>
      </c>
      <c r="D20" s="258" t="s">
        <v>492</v>
      </c>
    </row>
    <row r="21" spans="1:4" ht="12.75">
      <c r="A21" s="502" t="s">
        <v>305</v>
      </c>
      <c r="B21" s="8" t="s">
        <v>306</v>
      </c>
      <c r="C21" s="8"/>
      <c r="D21" s="480">
        <v>1</v>
      </c>
    </row>
    <row r="22" spans="1:4" ht="12.75">
      <c r="A22" s="502"/>
      <c r="B22" s="8" t="s">
        <v>307</v>
      </c>
      <c r="C22" s="8"/>
      <c r="D22" s="480">
        <v>1</v>
      </c>
    </row>
    <row r="23" spans="1:4" ht="7.5" customHeight="1">
      <c r="A23" s="45"/>
      <c r="C23" s="8"/>
      <c r="D23" s="388"/>
    </row>
    <row r="24" spans="1:4" ht="12.75">
      <c r="A24" s="45" t="s">
        <v>211</v>
      </c>
      <c r="C24" s="8" t="s">
        <v>212</v>
      </c>
      <c r="D24" s="421" t="s">
        <v>460</v>
      </c>
    </row>
    <row r="25" ht="6.75" customHeight="1" thickBot="1">
      <c r="A25" s="12"/>
    </row>
    <row r="26" spans="1:5" ht="12.75">
      <c r="A26" s="255" t="s">
        <v>66</v>
      </c>
      <c r="C26" s="8"/>
      <c r="E26" s="438" t="s">
        <v>291</v>
      </c>
    </row>
    <row r="27" spans="1:5" ht="12.75">
      <c r="A27" s="256" t="s">
        <v>67</v>
      </c>
      <c r="C27" s="8"/>
      <c r="E27" s="439" t="s">
        <v>292</v>
      </c>
    </row>
    <row r="28" spans="1:3" ht="12.75">
      <c r="A28" s="256" t="s">
        <v>68</v>
      </c>
      <c r="C28" s="38"/>
    </row>
    <row r="29" ht="12.75">
      <c r="A29" s="257" t="s">
        <v>69</v>
      </c>
    </row>
    <row r="30" ht="12.75">
      <c r="A30" s="35"/>
    </row>
    <row r="31" spans="1:8" ht="12.75">
      <c r="A31" t="s">
        <v>281</v>
      </c>
      <c r="D31" s="473">
        <v>8553726</v>
      </c>
      <c r="H31" s="5"/>
    </row>
    <row r="32" ht="6" customHeight="1"/>
    <row r="33" spans="1:8" ht="12.75">
      <c r="A33" t="s">
        <v>70</v>
      </c>
      <c r="D33" s="472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72">
        <v>0.0988</v>
      </c>
      <c r="H37" s="41"/>
    </row>
    <row r="38" ht="4.5" customHeight="1">
      <c r="H38" s="34"/>
    </row>
    <row r="39" spans="1:8" ht="12.75">
      <c r="A39" t="s">
        <v>73</v>
      </c>
      <c r="D39" s="472">
        <v>0.0725</v>
      </c>
      <c r="H39" s="41"/>
    </row>
    <row r="40" ht="6" customHeight="1">
      <c r="H40" s="34"/>
    </row>
    <row r="41" spans="1:8" ht="12.75">
      <c r="A41" t="s">
        <v>74</v>
      </c>
      <c r="D41" s="251">
        <f>D31*((D33*D37)+(D35*D39))</f>
        <v>732626.6319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22">
        <v>555088</v>
      </c>
      <c r="E43" s="387">
        <f>D43</f>
        <v>555088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51">
        <f>D41-D43</f>
        <v>177538.63190000004</v>
      </c>
      <c r="H45" s="40"/>
      <c r="J45" s="5"/>
      <c r="K45" s="5"/>
    </row>
    <row r="46" spans="1:11" ht="12.75">
      <c r="A46" s="2" t="s">
        <v>282</v>
      </c>
      <c r="D46" s="40"/>
      <c r="H46" s="40"/>
      <c r="J46" s="5"/>
      <c r="K46" s="5"/>
    </row>
    <row r="47" spans="1:11" ht="12.75">
      <c r="A47" t="s">
        <v>283</v>
      </c>
      <c r="D47" s="474">
        <v>4932</v>
      </c>
      <c r="E47" s="387">
        <f aca="true" t="shared" si="0" ref="E47:E53">D47</f>
        <v>4932</v>
      </c>
      <c r="H47" s="40"/>
      <c r="J47" s="5"/>
      <c r="K47" s="5"/>
    </row>
    <row r="48" spans="1:11" ht="12.75">
      <c r="A48" t="s">
        <v>284</v>
      </c>
      <c r="D48" s="474">
        <v>113427</v>
      </c>
      <c r="E48" s="387">
        <v>0</v>
      </c>
      <c r="F48" s="22"/>
      <c r="H48" s="40"/>
      <c r="J48" s="5"/>
      <c r="K48" s="5"/>
    </row>
    <row r="49" spans="1:11" ht="12.75">
      <c r="A49" t="s">
        <v>285</v>
      </c>
      <c r="D49" s="475">
        <v>0</v>
      </c>
      <c r="E49" s="387">
        <v>0</v>
      </c>
      <c r="F49" s="22"/>
      <c r="H49" s="40"/>
      <c r="J49" s="5"/>
      <c r="K49" s="5"/>
    </row>
    <row r="50" spans="1:11" ht="12.75">
      <c r="A50" t="s">
        <v>286</v>
      </c>
      <c r="D50" s="423"/>
      <c r="E50" s="387">
        <f t="shared" si="0"/>
        <v>0</v>
      </c>
      <c r="H50" s="40"/>
      <c r="J50" s="5"/>
      <c r="K50" s="5"/>
    </row>
    <row r="51" spans="1:11" ht="12.75">
      <c r="A51" t="s">
        <v>429</v>
      </c>
      <c r="D51" s="423"/>
      <c r="E51" s="387">
        <f t="shared" si="0"/>
        <v>0</v>
      </c>
      <c r="H51" s="40"/>
      <c r="J51" s="5"/>
      <c r="K51" s="5"/>
    </row>
    <row r="52" spans="1:11" ht="12.75">
      <c r="A52" t="s">
        <v>452</v>
      </c>
      <c r="D52" s="423"/>
      <c r="E52" s="387">
        <f t="shared" si="0"/>
        <v>0</v>
      </c>
      <c r="H52" s="40"/>
      <c r="J52" s="5"/>
      <c r="K52" s="5"/>
    </row>
    <row r="53" spans="4:11" ht="12.75">
      <c r="D53" s="423"/>
      <c r="E53" s="387">
        <f t="shared" si="0"/>
        <v>0</v>
      </c>
      <c r="H53" s="40"/>
      <c r="J53" s="5"/>
      <c r="K53" s="5"/>
    </row>
    <row r="54" spans="1:11" ht="12.75">
      <c r="A54" s="2" t="s">
        <v>287</v>
      </c>
      <c r="E54" s="254">
        <f>SUM(E43:E53)</f>
        <v>560020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2">
        <f>D31*D33</f>
        <v>4276863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2">
        <f>D56*D37</f>
        <v>422554.0644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2">
        <f>D31*D35</f>
        <v>4276863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304</v>
      </c>
      <c r="B62" s="5"/>
      <c r="C62" s="5"/>
      <c r="D62" s="252">
        <f>D60*D39</f>
        <v>310072.5675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288</v>
      </c>
      <c r="B64" s="5"/>
      <c r="C64" s="5"/>
      <c r="D64" s="253">
        <f>IF(D41&gt;0,(((D43+D47)/D41)*D62),0)</f>
        <v>237019.5563339171</v>
      </c>
      <c r="F64" s="5"/>
      <c r="H64" s="32"/>
      <c r="J64" s="5"/>
      <c r="K64" s="5"/>
    </row>
    <row r="65" spans="1:11" ht="12.75">
      <c r="A65" s="33" t="s">
        <v>370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289</v>
      </c>
      <c r="B66" s="5"/>
      <c r="C66" s="5"/>
      <c r="D66" s="253">
        <f>IF(D41&gt;0,(((D43+D47+D48)/D41)*D62),0)</f>
        <v>285025.7297139521</v>
      </c>
      <c r="F66" s="5"/>
      <c r="H66" s="32"/>
      <c r="J66" s="5"/>
      <c r="K66" s="5"/>
    </row>
    <row r="67" spans="1:11" ht="12.75">
      <c r="A67" s="33" t="s">
        <v>371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290</v>
      </c>
      <c r="B68" s="5"/>
      <c r="C68" s="5"/>
      <c r="D68" s="253">
        <f>IF(D41&gt;0,(((D43+D47+D48)/D41)*D62),0)</f>
        <v>285025.7297139521</v>
      </c>
      <c r="F68" s="5"/>
      <c r="H68" s="32"/>
      <c r="J68" s="5"/>
    </row>
    <row r="69" spans="1:10" ht="12.75">
      <c r="A69" s="33" t="s">
        <v>372</v>
      </c>
      <c r="B69" s="5"/>
      <c r="C69" s="5"/>
      <c r="D69" s="5"/>
      <c r="F69" s="5"/>
      <c r="H69" s="32"/>
      <c r="J69" s="5"/>
    </row>
    <row r="70" spans="1:10" ht="12.75">
      <c r="A70" s="45" t="s">
        <v>438</v>
      </c>
      <c r="B70" s="5"/>
      <c r="C70" s="5"/>
      <c r="D70" s="253">
        <f>D62</f>
        <v>310072.5675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35433070866141736" top="0.6692913385826772" bottom="0.2362204724409449" header="0.15748031496062992" footer="0"/>
  <pageSetup fitToHeight="1" fitToWidth="1" horizontalDpi="600" verticalDpi="600" orientation="portrait" scale="86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ED-2002-0511</v>
      </c>
      <c r="B1" s="204" t="s">
        <v>127</v>
      </c>
      <c r="C1" s="205" t="s">
        <v>34</v>
      </c>
      <c r="D1" s="206"/>
      <c r="E1" s="207" t="s">
        <v>23</v>
      </c>
      <c r="F1" s="208" t="s">
        <v>23</v>
      </c>
      <c r="G1" s="209" t="s">
        <v>453</v>
      </c>
      <c r="H1" s="210"/>
    </row>
    <row r="2" spans="1:8" ht="12.75">
      <c r="A2" s="211" t="s">
        <v>506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454</v>
      </c>
      <c r="H2" s="217"/>
    </row>
    <row r="3" spans="1:8" ht="12.75">
      <c r="A3" s="211" t="s">
        <v>48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482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Centre Wellington Hydro Ltd.</v>
      </c>
      <c r="B6" s="115"/>
      <c r="D6" s="137"/>
      <c r="E6" s="115"/>
      <c r="G6" s="115"/>
      <c r="H6" s="459"/>
    </row>
    <row r="7" spans="1:8" ht="12.75">
      <c r="A7" s="211" t="str">
        <f>REGINFO!A4</f>
        <v>Reporting period:  2001</v>
      </c>
      <c r="B7" s="115"/>
      <c r="D7" s="137"/>
      <c r="E7" s="115"/>
      <c r="G7" s="115"/>
      <c r="H7" s="459"/>
    </row>
    <row r="8" spans="2:12" ht="12.75">
      <c r="B8" s="222"/>
      <c r="C8" s="230"/>
      <c r="D8" s="214"/>
      <c r="E8" s="137"/>
      <c r="F8" s="220"/>
      <c r="G8" s="183" t="s">
        <v>86</v>
      </c>
      <c r="H8" s="217"/>
      <c r="J8" s="47" t="s">
        <v>128</v>
      </c>
      <c r="K8" s="47"/>
      <c r="L8" s="47"/>
    </row>
    <row r="9" spans="1:8" ht="12.75">
      <c r="A9" s="211" t="s">
        <v>125</v>
      </c>
      <c r="B9" s="477">
        <f>REGINFO!B6</f>
        <v>92</v>
      </c>
      <c r="C9" s="231" t="s">
        <v>126</v>
      </c>
      <c r="D9" s="214"/>
      <c r="E9" s="137"/>
      <c r="F9" s="220"/>
      <c r="G9" s="183" t="s">
        <v>89</v>
      </c>
      <c r="H9" s="217"/>
    </row>
    <row r="10" spans="1:8" ht="12.75">
      <c r="A10" s="211" t="s">
        <v>250</v>
      </c>
      <c r="B10" s="424">
        <f>REGINFO!B7</f>
        <v>365</v>
      </c>
      <c r="C10" s="231" t="s">
        <v>126</v>
      </c>
      <c r="D10" s="214"/>
      <c r="E10" s="232"/>
      <c r="F10" s="220"/>
      <c r="G10" s="233" t="s">
        <v>87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88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101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335</v>
      </c>
      <c r="B16" s="125">
        <v>1</v>
      </c>
      <c r="C16" s="260">
        <f>REGINFO!E54/12*3</f>
        <v>140005</v>
      </c>
      <c r="D16" s="17"/>
      <c r="E16" s="268">
        <f>G16-C16</f>
        <v>-276892.29000000004</v>
      </c>
      <c r="F16" s="3"/>
      <c r="G16" s="268">
        <f>TAXREC!E50</f>
        <v>-136887.29000000004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207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110693</v>
      </c>
      <c r="D20" s="18"/>
      <c r="E20" s="268">
        <f>G20-C20</f>
        <v>-3814</v>
      </c>
      <c r="F20" s="6"/>
      <c r="G20" s="268">
        <f>TAXREC!E61</f>
        <v>106879</v>
      </c>
      <c r="H20" s="151"/>
    </row>
    <row r="21" spans="1:8" ht="12.75">
      <c r="A21" s="158" t="s">
        <v>55</v>
      </c>
      <c r="B21" s="127">
        <v>3</v>
      </c>
      <c r="C21" s="262">
        <v>0</v>
      </c>
      <c r="D21" s="18"/>
      <c r="E21" s="268">
        <f>G21-C21</f>
        <v>0</v>
      </c>
      <c r="F21" s="6"/>
      <c r="G21" s="268">
        <f>TAXREC!E62</f>
        <v>0</v>
      </c>
      <c r="H21" s="151"/>
    </row>
    <row r="22" spans="1:8" ht="12.75">
      <c r="A22" s="158" t="s">
        <v>258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257</v>
      </c>
      <c r="B23" s="127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1"/>
    </row>
    <row r="24" spans="1:8" ht="12.75">
      <c r="A24" s="158" t="s">
        <v>259</v>
      </c>
      <c r="B24" s="127">
        <v>5</v>
      </c>
      <c r="C24" s="262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52</v>
      </c>
      <c r="B25" s="127"/>
      <c r="C25" s="105" t="s">
        <v>101</v>
      </c>
      <c r="D25" s="18"/>
      <c r="E25" s="186"/>
      <c r="F25" s="33"/>
      <c r="G25" s="186"/>
      <c r="H25" s="151"/>
    </row>
    <row r="26" spans="1:8" ht="12.75">
      <c r="A26" s="158" t="s">
        <v>155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158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157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156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2.75">
      <c r="A30" s="403" t="s">
        <v>385</v>
      </c>
      <c r="B30" s="127"/>
      <c r="C30" s="260"/>
      <c r="D30" s="18"/>
      <c r="E30" s="268">
        <f>G30-C30</f>
        <v>4350</v>
      </c>
      <c r="F30" s="6"/>
      <c r="G30" s="268">
        <f>TAXREC!E66</f>
        <v>4350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336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102</v>
      </c>
      <c r="B33" s="127">
        <v>7</v>
      </c>
      <c r="C33" s="260">
        <v>42391</v>
      </c>
      <c r="D33" s="132"/>
      <c r="E33" s="268">
        <f aca="true" t="shared" si="0" ref="E33:E42">G33-C33</f>
        <v>103146</v>
      </c>
      <c r="F33" s="6"/>
      <c r="G33" s="268">
        <f>TAXREC!E97+TAXREC!E98</f>
        <v>145537</v>
      </c>
      <c r="H33" s="151"/>
    </row>
    <row r="34" spans="1:8" ht="12.75">
      <c r="A34" s="158" t="s">
        <v>56</v>
      </c>
      <c r="B34" s="127">
        <v>8</v>
      </c>
      <c r="C34" s="262"/>
      <c r="D34" s="132"/>
      <c r="E34" s="268">
        <f t="shared" si="0"/>
        <v>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260</v>
      </c>
      <c r="B36" s="127">
        <v>10</v>
      </c>
      <c r="C36" s="262">
        <v>0</v>
      </c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85</v>
      </c>
      <c r="B37" s="125">
        <v>11</v>
      </c>
      <c r="C37" s="261">
        <f>REGINFO!D64/12*3</f>
        <v>59254.88908347927</v>
      </c>
      <c r="D37" s="132"/>
      <c r="E37" s="268">
        <f t="shared" si="0"/>
        <v>-59254.88908347927</v>
      </c>
      <c r="F37" s="6"/>
      <c r="G37" s="268">
        <f>TAXREC!E51</f>
        <v>0</v>
      </c>
      <c r="H37" s="151"/>
    </row>
    <row r="38" spans="1:8" ht="12.75">
      <c r="A38" s="155" t="s">
        <v>256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255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183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53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155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152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154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153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2.75">
      <c r="A48" s="403" t="s">
        <v>385</v>
      </c>
      <c r="B48" s="127"/>
      <c r="C48" s="260"/>
      <c r="D48" s="132"/>
      <c r="E48" s="268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321</v>
      </c>
      <c r="B50" s="125"/>
      <c r="C50" s="264">
        <f>C16+SUM(C20:C30)-SUM(C33:C48)</f>
        <v>149052.11091652073</v>
      </c>
      <c r="D50" s="102"/>
      <c r="E50" s="264">
        <f>E16+SUM(E20:E30)-SUM(E33:E48)</f>
        <v>-320247.40091652074</v>
      </c>
      <c r="F50" s="426"/>
      <c r="G50" s="264">
        <f>G16+SUM(G20:G30)-SUM(G33:G48)</f>
        <v>-171195.29000000004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330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334</v>
      </c>
      <c r="B53" s="127">
        <v>13</v>
      </c>
      <c r="C53" s="263">
        <f>IF($C$50&gt;'Tax Rates'!$E$11,'Tax Rates'!$F$16,IF($C$50&gt;'Tax Rates'!$C$11,'Tax Rates'!$E$16,'Tax Rates'!$C$16))</f>
        <v>0.3412</v>
      </c>
      <c r="D53" s="102"/>
      <c r="E53" s="269">
        <f>+G53-C53</f>
        <v>-0.01990000000000003</v>
      </c>
      <c r="F53" s="114"/>
      <c r="G53" s="467">
        <v>0.3213</v>
      </c>
      <c r="H53" s="151"/>
      <c r="I53" s="464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50856.580244716875</v>
      </c>
      <c r="D55" s="102"/>
      <c r="E55" s="268">
        <f>G55-C55</f>
        <v>-50856.580244716875</v>
      </c>
      <c r="F55" s="426" t="s">
        <v>360</v>
      </c>
      <c r="G55" s="265">
        <f>TAXREC!E144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26" t="s">
        <v>360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50856.580244716875</v>
      </c>
      <c r="D60" s="133"/>
      <c r="E60" s="270">
        <f>+E55-E58</f>
        <v>-50856.580244716875</v>
      </c>
      <c r="F60" s="426" t="s">
        <v>360</v>
      </c>
      <c r="G60" s="270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8553726</v>
      </c>
      <c r="D66" s="102"/>
      <c r="E66" s="268">
        <f>G66-C66</f>
        <v>3738802</v>
      </c>
      <c r="F66" s="6"/>
      <c r="G66" s="268">
        <v>12292528</v>
      </c>
      <c r="H66" s="151"/>
      <c r="I66" s="469" t="s">
        <v>472</v>
      </c>
    </row>
    <row r="67" spans="1:10" ht="12.75">
      <c r="A67" s="152" t="s">
        <v>353</v>
      </c>
      <c r="B67" s="125">
        <v>16</v>
      </c>
      <c r="C67" s="261">
        <v>5000000</v>
      </c>
      <c r="D67" s="102"/>
      <c r="E67" s="268">
        <f>G67-C67</f>
        <v>0</v>
      </c>
      <c r="F67" s="6"/>
      <c r="G67" s="268">
        <f>'Tax Rates'!C57</f>
        <v>5000000</v>
      </c>
      <c r="H67" s="151"/>
      <c r="I67" s="469" t="s">
        <v>472</v>
      </c>
      <c r="J67" s="490"/>
    </row>
    <row r="68" spans="1:8" ht="12.75">
      <c r="A68" s="152" t="s">
        <v>42</v>
      </c>
      <c r="B68" s="125"/>
      <c r="C68" s="265">
        <f>IF((C66-C67)&gt;0,C66-C67,0)</f>
        <v>3553726</v>
      </c>
      <c r="D68" s="102"/>
      <c r="E68" s="268">
        <f>SUM(E66:E67)</f>
        <v>3738802</v>
      </c>
      <c r="F68" s="114"/>
      <c r="G68" s="265">
        <f>G66-G67</f>
        <v>7292528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354</v>
      </c>
      <c r="B70" s="125">
        <v>17</v>
      </c>
      <c r="C70" s="301">
        <f>'Tax Rates'!C18</f>
        <v>0.003</v>
      </c>
      <c r="D70" s="102"/>
      <c r="E70" s="269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310</v>
      </c>
      <c r="B72" s="125"/>
      <c r="C72" s="265">
        <f>IF(C68&gt;0,C68*C70,0)*0.25</f>
        <v>2665.2945</v>
      </c>
      <c r="D72" s="101"/>
      <c r="E72" s="268">
        <f>+G72-C72</f>
        <v>9012.158519178083</v>
      </c>
      <c r="F72" s="470"/>
      <c r="G72" s="265">
        <f>IF(G68&gt;0,((G68*G70*92/B10)+(G66*G70*61/B10)),0)</f>
        <v>11677.453019178083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217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8553726</v>
      </c>
      <c r="D75" s="102"/>
      <c r="E75" s="268">
        <f>+G75-C75</f>
        <v>3738801</v>
      </c>
      <c r="F75" s="6"/>
      <c r="G75" s="268">
        <v>12292527</v>
      </c>
      <c r="H75" s="151"/>
      <c r="I75" s="469" t="s">
        <v>472</v>
      </c>
    </row>
    <row r="76" spans="1:9" ht="12.75">
      <c r="A76" s="152" t="s">
        <v>353</v>
      </c>
      <c r="B76" s="125">
        <v>19</v>
      </c>
      <c r="C76" s="261">
        <v>10000000</v>
      </c>
      <c r="D76" s="18"/>
      <c r="E76" s="268">
        <f>+G76-C76</f>
        <v>0</v>
      </c>
      <c r="F76" s="6"/>
      <c r="G76" s="268">
        <v>10000000</v>
      </c>
      <c r="H76" s="151"/>
      <c r="I76" s="469" t="s">
        <v>472</v>
      </c>
    </row>
    <row r="77" spans="1:8" ht="12.75">
      <c r="A77" s="152" t="s">
        <v>42</v>
      </c>
      <c r="B77" s="125"/>
      <c r="C77" s="265">
        <f>IF((C75-C76)&gt;0,C75-C76,0)</f>
        <v>0</v>
      </c>
      <c r="D77" s="19"/>
      <c r="E77" s="268">
        <f>SUM(E75:E76)</f>
        <v>3738801</v>
      </c>
      <c r="F77" s="114"/>
      <c r="G77" s="265">
        <f>G75-G76</f>
        <v>2292527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354</v>
      </c>
      <c r="B79" s="125">
        <v>20</v>
      </c>
      <c r="C79" s="301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311</v>
      </c>
      <c r="B81" s="125"/>
      <c r="C81" s="265">
        <f>IF(C77&gt;0,C77*C79,0)*REGINFO!$B$6/REGINFO!$B$7</f>
        <v>0</v>
      </c>
      <c r="D81" s="102"/>
      <c r="E81" s="268">
        <f>+G81-C81</f>
        <v>2162.1984102739725</v>
      </c>
      <c r="F81" s="6"/>
      <c r="G81" s="265">
        <f>G77*G79*153/B10</f>
        <v>2162.1984102739725</v>
      </c>
      <c r="H81" s="151"/>
    </row>
    <row r="82" spans="1:8" ht="12.75">
      <c r="A82" s="152" t="s">
        <v>312</v>
      </c>
      <c r="B82" s="125">
        <v>21</v>
      </c>
      <c r="C82" s="300">
        <f>IF(C77&gt;0,IF(C60&gt;0,C50*'Tax Rates'!C20,0),0)</f>
        <v>0</v>
      </c>
      <c r="D82" s="102"/>
      <c r="E82" s="268">
        <f>+G82-C82</f>
        <v>0</v>
      </c>
      <c r="F82" s="6"/>
      <c r="G82" s="300">
        <f>IF(G77&gt;0,IF(G60&gt;0,G50*'Tax Rates'!C20,0),0)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0</v>
      </c>
      <c r="D84" s="16"/>
      <c r="E84" s="268">
        <f>E81-E82</f>
        <v>2162.1984102739725</v>
      </c>
      <c r="F84" s="103"/>
      <c r="G84" s="265">
        <f>G81-G82</f>
        <v>2162.1984102739725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117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9" ht="12.75">
      <c r="A88" s="152" t="s">
        <v>495</v>
      </c>
      <c r="B88" s="125"/>
      <c r="C88" s="263">
        <f>IF($C$50&gt;'Tax Rates'!$E$11,'Tax Rates'!$F$16,IF(AND($C$50&gt;='Tax Rates'!$C$11,$C$50&lt;='Tax Rates'!E11),'Tax Rates'!$E$16,'Tax Rates'!$C$16))</f>
        <v>0.3412</v>
      </c>
      <c r="D88" s="11"/>
      <c r="E88" s="114"/>
      <c r="F88" s="6"/>
      <c r="G88" s="198"/>
      <c r="H88" s="151"/>
      <c r="I88" s="415" t="s">
        <v>496</v>
      </c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361</v>
      </c>
      <c r="B90" s="127">
        <v>22</v>
      </c>
      <c r="C90" s="265">
        <f>C60/(1-C88)</f>
        <v>77195.78057789446</v>
      </c>
      <c r="D90" s="20"/>
      <c r="E90" s="139"/>
      <c r="F90" s="425" t="s">
        <v>461</v>
      </c>
      <c r="G90" s="271">
        <f>TAXREC!E156</f>
        <v>0</v>
      </c>
      <c r="H90" s="151"/>
    </row>
    <row r="91" spans="1:8" ht="12.75">
      <c r="A91" s="158" t="s">
        <v>362</v>
      </c>
      <c r="B91" s="127">
        <v>23</v>
      </c>
      <c r="C91" s="265">
        <f>C84/(1-C88)</f>
        <v>0</v>
      </c>
      <c r="D91" s="20"/>
      <c r="E91" s="139"/>
      <c r="F91" s="425" t="s">
        <v>461</v>
      </c>
      <c r="G91" s="271">
        <f>TAXREC!E158</f>
        <v>0</v>
      </c>
      <c r="H91" s="151"/>
    </row>
    <row r="92" spans="1:8" ht="12.75">
      <c r="A92" s="158" t="s">
        <v>341</v>
      </c>
      <c r="B92" s="127">
        <v>24</v>
      </c>
      <c r="C92" s="265">
        <f>C72</f>
        <v>2665.2945</v>
      </c>
      <c r="D92" s="20"/>
      <c r="E92" s="139"/>
      <c r="F92" s="425" t="s">
        <v>461</v>
      </c>
      <c r="G92" s="271">
        <f>TAXREC!E157</f>
        <v>5514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462</v>
      </c>
      <c r="B95" s="125">
        <v>25</v>
      </c>
      <c r="C95" s="270">
        <f>SUM(C90:C93)</f>
        <v>79861.07507789446</v>
      </c>
      <c r="D95" s="6"/>
      <c r="E95" s="139"/>
      <c r="F95" s="425" t="s">
        <v>461</v>
      </c>
      <c r="G95" s="413">
        <f>SUM(G90:G94)</f>
        <v>5514</v>
      </c>
      <c r="H95" s="164"/>
    </row>
    <row r="96" spans="1:8" ht="12.75">
      <c r="A96" s="403" t="s">
        <v>302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299</v>
      </c>
      <c r="B99" s="123"/>
      <c r="C99" s="112"/>
      <c r="D99" s="3"/>
      <c r="E99" s="112"/>
      <c r="F99" s="3"/>
      <c r="G99" s="200"/>
      <c r="H99" s="164"/>
    </row>
    <row r="100" spans="1:8" ht="13.5">
      <c r="A100" s="166" t="s">
        <v>244</v>
      </c>
      <c r="B100" s="123"/>
      <c r="C100" s="112"/>
      <c r="D100" s="3"/>
      <c r="E100" s="143" t="s">
        <v>246</v>
      </c>
      <c r="F100" s="37"/>
      <c r="G100" s="200"/>
      <c r="H100" s="164"/>
    </row>
    <row r="101" spans="1:8" ht="12.75">
      <c r="A101" s="156" t="s">
        <v>340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55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99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356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357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355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56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489" t="s">
        <v>489</v>
      </c>
      <c r="B112" s="127">
        <v>11</v>
      </c>
      <c r="C112" s="112"/>
      <c r="D112" s="3"/>
      <c r="E112" s="466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100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358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359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219</v>
      </c>
      <c r="B120" s="127">
        <v>26</v>
      </c>
      <c r="C120" s="112"/>
      <c r="D120" s="117" t="s">
        <v>188</v>
      </c>
      <c r="E120" s="265">
        <f>SUM(E102:E107)-SUM(E109:E118)</f>
        <v>0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494</v>
      </c>
      <c r="B122" s="127"/>
      <c r="C122" s="112"/>
      <c r="D122" s="3" t="s">
        <v>229</v>
      </c>
      <c r="E122" s="463">
        <f>G53</f>
        <v>0.3213</v>
      </c>
      <c r="F122" s="464"/>
      <c r="G122" s="201" t="s">
        <v>101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101</v>
      </c>
      <c r="H123" s="164"/>
    </row>
    <row r="124" spans="1:8" ht="12.75">
      <c r="A124" s="158" t="s">
        <v>243</v>
      </c>
      <c r="B124" s="127"/>
      <c r="C124" s="112"/>
      <c r="D124" s="3" t="s">
        <v>188</v>
      </c>
      <c r="E124" s="265">
        <f>E120*E122</f>
        <v>0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113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116</v>
      </c>
      <c r="B128" s="127"/>
      <c r="C128" s="112"/>
      <c r="D128" s="3"/>
      <c r="E128" s="265">
        <f>E124-E126</f>
        <v>0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195</v>
      </c>
      <c r="B130" s="127"/>
      <c r="C130" s="112"/>
      <c r="D130" s="3"/>
      <c r="E130" s="495">
        <f>E122-1.12%</f>
        <v>0.3101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345</v>
      </c>
      <c r="B132" s="130"/>
      <c r="C132" s="112"/>
      <c r="D132" s="3"/>
      <c r="E132" s="264">
        <f>E128/(1-E130)</f>
        <v>0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27">
      <c r="A134" s="169" t="s">
        <v>348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6.25">
      <c r="A136" s="171" t="s">
        <v>233</v>
      </c>
      <c r="B136" s="130"/>
      <c r="C136" s="112"/>
      <c r="D136" s="118" t="s">
        <v>188</v>
      </c>
      <c r="E136" s="302">
        <f>C50</f>
        <v>149052.11091652073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235</v>
      </c>
      <c r="B138" s="130"/>
      <c r="C138" s="112"/>
      <c r="D138" s="119" t="s">
        <v>229</v>
      </c>
      <c r="E138" s="312">
        <f>E122</f>
        <v>0.3213</v>
      </c>
      <c r="F138" s="197" t="s">
        <v>101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227</v>
      </c>
      <c r="B140" s="130"/>
      <c r="C140" s="112"/>
      <c r="D140" s="118" t="s">
        <v>188</v>
      </c>
      <c r="E140" s="303">
        <f>IF(E136&gt;0,E136*E138,0)</f>
        <v>47890.44323747811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236</v>
      </c>
      <c r="B142" s="130"/>
      <c r="C142" s="112"/>
      <c r="D142" s="118" t="s">
        <v>187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228</v>
      </c>
      <c r="B144" s="130"/>
      <c r="C144" s="112"/>
      <c r="D144" s="119" t="s">
        <v>188</v>
      </c>
      <c r="E144" s="302">
        <f>E140-E142</f>
        <v>47890.44323747811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6.25">
      <c r="A146" s="171" t="s">
        <v>477</v>
      </c>
      <c r="B146" s="130"/>
      <c r="C146" s="112"/>
      <c r="D146" s="118" t="s">
        <v>187</v>
      </c>
      <c r="E146" s="302">
        <f>C60</f>
        <v>50856.580244716875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230</v>
      </c>
      <c r="B148" s="130"/>
      <c r="C148" s="112"/>
      <c r="D148" s="118" t="s">
        <v>188</v>
      </c>
      <c r="E148" s="302">
        <f>E144-E146</f>
        <v>-2966.1370072387654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304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188</v>
      </c>
      <c r="E151" s="302">
        <f>C66</f>
        <v>8553726</v>
      </c>
      <c r="F151" s="37"/>
      <c r="G151" s="201"/>
      <c r="H151" s="164"/>
    </row>
    <row r="152" spans="1:8" ht="12.75">
      <c r="A152" s="171" t="s">
        <v>351</v>
      </c>
      <c r="B152" s="130"/>
      <c r="C152" s="112"/>
      <c r="D152" s="118" t="s">
        <v>187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231</v>
      </c>
      <c r="B153" s="130"/>
      <c r="C153" s="112"/>
      <c r="D153" s="118" t="s">
        <v>188</v>
      </c>
      <c r="E153" s="302">
        <f>E151-E152</f>
        <v>3553726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352</v>
      </c>
      <c r="B155" s="130"/>
      <c r="C155" s="112"/>
      <c r="D155" s="119" t="s">
        <v>229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232</v>
      </c>
      <c r="B157" s="130"/>
      <c r="C157" s="112"/>
      <c r="D157" s="119" t="s">
        <v>188</v>
      </c>
      <c r="E157" s="302">
        <f>IF(E153&gt;0,E153*E155*B9/B10,0)</f>
        <v>2687.201030136986</v>
      </c>
      <c r="F157" s="37"/>
      <c r="G157" s="201"/>
      <c r="H157" s="164"/>
    </row>
    <row r="158" spans="1:8" ht="26.25">
      <c r="A158" s="171" t="s">
        <v>478</v>
      </c>
      <c r="B158" s="130"/>
      <c r="C158" s="112"/>
      <c r="D158" s="118" t="s">
        <v>187</v>
      </c>
      <c r="E158" s="305">
        <f>C72</f>
        <v>2665.2945</v>
      </c>
      <c r="F158" s="37"/>
      <c r="G158" s="201"/>
      <c r="H158" s="164"/>
    </row>
    <row r="159" spans="1:8" ht="12.75" customHeight="1">
      <c r="A159" s="172" t="s">
        <v>241</v>
      </c>
      <c r="B159" s="130"/>
      <c r="C159" s="112"/>
      <c r="D159" s="118" t="s">
        <v>188</v>
      </c>
      <c r="E159" s="468">
        <f>E157-E158</f>
        <v>21.90653013698602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234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8553726</v>
      </c>
      <c r="F162" s="37"/>
      <c r="G162" s="201"/>
      <c r="H162" s="164"/>
    </row>
    <row r="163" spans="1:8" ht="12.75">
      <c r="A163" s="171" t="s">
        <v>350</v>
      </c>
      <c r="B163" s="130"/>
      <c r="C163" s="112"/>
      <c r="D163" s="118" t="s">
        <v>187</v>
      </c>
      <c r="E163" s="305">
        <f>IF(E162&gt;0,'Tax Rates'!C40,0)</f>
        <v>10000000</v>
      </c>
      <c r="F163" s="37"/>
      <c r="G163" s="201"/>
      <c r="H163" s="164"/>
    </row>
    <row r="164" spans="1:8" ht="12.75">
      <c r="A164" s="171" t="s">
        <v>237</v>
      </c>
      <c r="B164" s="130"/>
      <c r="C164" s="112"/>
      <c r="D164" s="119" t="s">
        <v>188</v>
      </c>
      <c r="E164" s="302">
        <f>E162-E163</f>
        <v>-1446274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303</v>
      </c>
      <c r="B166" s="130"/>
      <c r="C166" s="112"/>
      <c r="D166" s="119"/>
      <c r="E166" s="306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238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313</v>
      </c>
      <c r="B169" s="130"/>
      <c r="C169" s="112"/>
      <c r="D169" s="118" t="s">
        <v>187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239</v>
      </c>
      <c r="B170" s="130"/>
      <c r="C170" s="112"/>
      <c r="D170" s="119" t="s">
        <v>188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479</v>
      </c>
      <c r="B172" s="130"/>
      <c r="C172" s="112"/>
      <c r="D172" s="118" t="s">
        <v>187</v>
      </c>
      <c r="E172" s="305">
        <f>C84</f>
        <v>0</v>
      </c>
      <c r="F172" s="37"/>
      <c r="G172" s="201"/>
      <c r="H172" s="164"/>
    </row>
    <row r="173" spans="1:8" ht="12.75">
      <c r="A173" s="155" t="s">
        <v>242</v>
      </c>
      <c r="B173" s="130"/>
      <c r="C173" s="112"/>
      <c r="D173" s="119" t="s">
        <v>188</v>
      </c>
      <c r="E173" s="468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339</v>
      </c>
      <c r="B175" s="130"/>
      <c r="C175" s="112"/>
      <c r="D175" s="119"/>
      <c r="E175" s="463">
        <f>E130</f>
        <v>0.3101</v>
      </c>
      <c r="F175" s="464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240</v>
      </c>
      <c r="B177" s="130"/>
      <c r="C177" s="112"/>
      <c r="D177" s="119" t="s">
        <v>186</v>
      </c>
      <c r="E177" s="302">
        <f>E148/(1-E175)</f>
        <v>-4299.372383300139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186</v>
      </c>
      <c r="E178" s="302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186</v>
      </c>
      <c r="E179" s="302">
        <f>E159</f>
        <v>21.90653013698602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346</v>
      </c>
      <c r="B181" s="130"/>
      <c r="C181" s="112"/>
      <c r="D181" s="119" t="s">
        <v>188</v>
      </c>
      <c r="E181" s="302">
        <f>SUM(E177:E179)</f>
        <v>-4277.465853163152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480</v>
      </c>
      <c r="B183" s="130"/>
      <c r="C183" s="112"/>
      <c r="D183" s="119" t="s">
        <v>186</v>
      </c>
      <c r="E183" s="302">
        <f>E132</f>
        <v>0</v>
      </c>
      <c r="F183" s="37" t="s">
        <v>101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3.5">
      <c r="A185" s="173" t="s">
        <v>347</v>
      </c>
      <c r="B185" s="130"/>
      <c r="C185" s="112"/>
      <c r="D185" s="119" t="s">
        <v>188</v>
      </c>
      <c r="E185" s="302">
        <f>E181+E183</f>
        <v>-4277.465853163152</v>
      </c>
      <c r="F185" s="37"/>
      <c r="G185" s="201"/>
      <c r="H185" s="164"/>
    </row>
    <row r="186" spans="1:8" ht="12.75">
      <c r="A186" s="162" t="s">
        <v>245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57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82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223</v>
      </c>
      <c r="B193" s="127"/>
      <c r="C193" s="112"/>
      <c r="D193" s="120"/>
      <c r="E193" s="308">
        <f>REGINFO!D62</f>
        <v>310072.5675</v>
      </c>
      <c r="F193" s="3"/>
      <c r="G193" s="123"/>
      <c r="H193" s="164"/>
    </row>
    <row r="194" spans="1:8" ht="12.75">
      <c r="A194" s="155" t="s">
        <v>481</v>
      </c>
      <c r="B194" s="127"/>
      <c r="C194" s="112"/>
      <c r="D194" s="120"/>
      <c r="E194" s="308">
        <f>C37</f>
        <v>59254.88908347927</v>
      </c>
      <c r="F194" s="471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337</v>
      </c>
      <c r="B196" s="127"/>
      <c r="C196" s="112"/>
      <c r="D196" s="120"/>
      <c r="E196" s="308">
        <f>E193-E194</f>
        <v>250817.67841652074</v>
      </c>
      <c r="F196" s="3"/>
      <c r="G196" s="123"/>
      <c r="H196" s="164"/>
    </row>
    <row r="197" spans="1:8" ht="12.75">
      <c r="A197" s="155" t="s">
        <v>338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251</v>
      </c>
      <c r="B199" s="127"/>
      <c r="C199" s="112"/>
      <c r="D199" s="120"/>
      <c r="E199" s="147"/>
      <c r="F199" s="3"/>
      <c r="G199" s="123"/>
      <c r="H199" s="164"/>
    </row>
    <row r="200" spans="1:8" ht="12.75">
      <c r="A200" s="176" t="s">
        <v>84</v>
      </c>
      <c r="B200" s="127"/>
      <c r="C200" s="112"/>
      <c r="D200" s="120"/>
      <c r="E200" s="147"/>
      <c r="F200" s="3"/>
      <c r="G200" s="123"/>
      <c r="H200" s="164"/>
    </row>
    <row r="201" spans="1:8" ht="12.75">
      <c r="A201" s="489" t="s">
        <v>487</v>
      </c>
      <c r="B201" s="127"/>
      <c r="C201" s="112"/>
      <c r="D201" s="120"/>
      <c r="E201" s="308">
        <f>G37+G42</f>
        <v>0</v>
      </c>
      <c r="F201" s="3"/>
      <c r="G201" s="123"/>
      <c r="H201" s="164"/>
    </row>
    <row r="202" spans="1:8" ht="12.75">
      <c r="A202" s="489" t="s">
        <v>498</v>
      </c>
      <c r="B202" s="127"/>
      <c r="C202" s="112"/>
      <c r="D202" s="120"/>
      <c r="E202" s="308">
        <f>REGINFO!D62/4</f>
        <v>77518.141875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83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488</v>
      </c>
      <c r="B206" s="127"/>
      <c r="C206" s="112"/>
      <c r="D206" s="120"/>
      <c r="E206" s="465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224</v>
      </c>
      <c r="B208" s="178"/>
      <c r="C208" s="179"/>
      <c r="D208" s="180"/>
      <c r="E208" s="309">
        <f>+E196-E204</f>
        <v>250817.67841652074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101</v>
      </c>
      <c r="D221" s="85"/>
      <c r="E221" s="72"/>
    </row>
    <row r="222" spans="3:5" ht="12.75">
      <c r="C222" t="s">
        <v>101</v>
      </c>
      <c r="D222" s="85"/>
      <c r="E222" s="72"/>
    </row>
    <row r="223" spans="3:5" ht="12.75">
      <c r="C223" t="s">
        <v>101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15748031496062992" bottom="0.2362204724409449" header="0.5118110236220472" footer="0"/>
  <pageSetup fitToHeight="2" fitToWidth="1" horizontalDpi="600" verticalDpi="600" orientation="portrait" scale="10" r:id="rId1"/>
  <headerFooter alignWithMargins="0">
    <oddFooter>&amp;C&amp;F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ED-2002-0511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507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Centre Wellington Hydro Ltd.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2001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84">
        <f>REGINFO!B6</f>
        <v>92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259">
        <f>REGINFO!D56*0.0025</f>
        <v>10692.1575</v>
      </c>
      <c r="D13" s="83" t="s">
        <v>185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101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9" t="s">
        <v>226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279</v>
      </c>
      <c r="B17" s="20" t="s">
        <v>63</v>
      </c>
      <c r="C17" s="8"/>
      <c r="E17" s="26"/>
      <c r="F17" s="8"/>
    </row>
    <row r="18" spans="1:6" ht="12.75">
      <c r="A18" s="55" t="s">
        <v>252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319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253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222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317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318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268</v>
      </c>
      <c r="B31" s="23" t="s">
        <v>186</v>
      </c>
      <c r="C31" s="483">
        <v>3542052.52</v>
      </c>
      <c r="D31" s="286"/>
      <c r="E31" s="284">
        <f>C31-D31</f>
        <v>3542052.52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285">
        <v>59410.54</v>
      </c>
      <c r="D32" s="286"/>
      <c r="E32" s="284">
        <f>C32-D32</f>
        <v>59410.54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285">
        <f>82007.9-21688.36-60.48</f>
        <v>60259.05999999999</v>
      </c>
      <c r="D33" s="286"/>
      <c r="E33" s="284">
        <f>C33-D33</f>
        <v>60259.05999999999</v>
      </c>
      <c r="F33" s="11"/>
      <c r="G33" s="11">
        <v>-136887</v>
      </c>
      <c r="H33" s="6"/>
      <c r="I33" s="6"/>
    </row>
    <row r="34" spans="1:9" ht="12.75">
      <c r="A34" s="4" t="s">
        <v>225</v>
      </c>
      <c r="B34" s="23" t="s">
        <v>186</v>
      </c>
      <c r="C34" s="285">
        <f>21688.36+60.48</f>
        <v>21748.84</v>
      </c>
      <c r="D34" s="286"/>
      <c r="E34" s="284">
        <f>C34-D34</f>
        <v>21748.84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5"/>
      <c r="D35" s="286"/>
      <c r="E35" s="284">
        <f>C35-D35</f>
        <v>0</v>
      </c>
      <c r="F35" s="11"/>
      <c r="G35" s="11">
        <v>598336</v>
      </c>
      <c r="H35" s="6"/>
      <c r="I35" s="6"/>
    </row>
    <row r="36" spans="1:9" ht="12.75">
      <c r="A36" s="57" t="s">
        <v>180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280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483">
        <v>3241510.5</v>
      </c>
      <c r="D39" s="286"/>
      <c r="E39" s="284">
        <f>C39-D39</f>
        <v>3241510.5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483">
        <v>350104.98</v>
      </c>
      <c r="D40" s="286"/>
      <c r="E40" s="284">
        <f aca="true" t="shared" si="0" ref="E40:E48">C40-D40</f>
        <v>350104.98</v>
      </c>
      <c r="F40" s="11"/>
      <c r="G40" s="11"/>
      <c r="H40" s="6"/>
      <c r="I40" s="6"/>
    </row>
    <row r="41" spans="1:9" ht="12.75">
      <c r="A41" s="4" t="s">
        <v>269</v>
      </c>
      <c r="B41" s="23" t="s">
        <v>187</v>
      </c>
      <c r="C41" s="285">
        <v>98380.43</v>
      </c>
      <c r="D41" s="286"/>
      <c r="E41" s="284">
        <f t="shared" si="0"/>
        <v>98380.43</v>
      </c>
      <c r="F41" s="11"/>
      <c r="G41" s="11"/>
      <c r="H41" s="6"/>
      <c r="I41" s="6"/>
    </row>
    <row r="42" spans="1:9" ht="12.75">
      <c r="A42" s="4" t="s">
        <v>270</v>
      </c>
      <c r="B42" s="23" t="s">
        <v>187</v>
      </c>
      <c r="C42" s="285">
        <f>119644.1+10390.18+328.06</f>
        <v>130362.34</v>
      </c>
      <c r="D42" s="286"/>
      <c r="E42" s="284">
        <f t="shared" si="0"/>
        <v>130362.34</v>
      </c>
      <c r="F42" s="11"/>
      <c r="G42" s="11"/>
      <c r="H42" s="6"/>
      <c r="I42" s="6"/>
    </row>
    <row r="43" spans="1:9" ht="12.75">
      <c r="A43" s="4" t="s">
        <v>271</v>
      </c>
      <c r="B43" s="23" t="s">
        <v>187</v>
      </c>
      <c r="C43" s="483"/>
      <c r="D43" s="286"/>
      <c r="E43" s="284">
        <f t="shared" si="0"/>
        <v>0</v>
      </c>
      <c r="F43" s="11"/>
      <c r="G43" s="11"/>
      <c r="H43" s="6"/>
      <c r="I43" s="6"/>
    </row>
    <row r="44" spans="1:9" ht="12.75">
      <c r="A44" s="4" t="s">
        <v>272</v>
      </c>
      <c r="B44" s="23" t="s">
        <v>187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2:11" ht="12.75">
      <c r="B45" s="23" t="s">
        <v>187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85" t="s">
        <v>493</v>
      </c>
      <c r="B46" s="23" t="s">
        <v>187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187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187</v>
      </c>
      <c r="C48" s="285"/>
      <c r="D48" s="286"/>
      <c r="E48" s="284">
        <f t="shared" si="0"/>
        <v>0</v>
      </c>
      <c r="F48" s="11"/>
      <c r="G48" s="11">
        <f>171194+C53</f>
        <v>34306.70999999996</v>
      </c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81</v>
      </c>
      <c r="B50" s="23" t="s">
        <v>188</v>
      </c>
      <c r="C50" s="281">
        <f>SUM(C31:C36)-SUM(C39:C49)</f>
        <v>-136887.29000000004</v>
      </c>
      <c r="D50" s="281">
        <f>SUM(D31:D36)-SUM(D39:D49)</f>
        <v>0</v>
      </c>
      <c r="E50" s="281">
        <f>SUM(E31:E35)-SUM(E39:E48)</f>
        <v>-136887.29000000004</v>
      </c>
      <c r="F50" s="11"/>
      <c r="G50" s="11"/>
      <c r="H50" s="6"/>
      <c r="I50" s="6"/>
    </row>
    <row r="51" spans="1:9" ht="12.75">
      <c r="A51" s="4" t="s">
        <v>90</v>
      </c>
      <c r="B51" s="23" t="s">
        <v>187</v>
      </c>
      <c r="C51" s="483"/>
      <c r="D51" s="285"/>
      <c r="E51" s="282">
        <f>+C51-D51</f>
        <v>0</v>
      </c>
      <c r="F51" s="11"/>
      <c r="G51" s="11"/>
      <c r="H51" s="6"/>
      <c r="I51" s="6"/>
    </row>
    <row r="52" spans="1:6" ht="12.75">
      <c r="A52" t="s">
        <v>181</v>
      </c>
      <c r="B52" s="8" t="s">
        <v>187</v>
      </c>
      <c r="C52" s="285"/>
      <c r="D52" s="285"/>
      <c r="E52" s="283">
        <f>+C52-D52</f>
        <v>0</v>
      </c>
      <c r="F52" s="8"/>
    </row>
    <row r="53" spans="1:6" ht="12.75">
      <c r="A53" s="2" t="s">
        <v>130</v>
      </c>
      <c r="B53" s="8" t="s">
        <v>188</v>
      </c>
      <c r="C53" s="281">
        <f>C50-C51-C52</f>
        <v>-136887.29000000004</v>
      </c>
      <c r="D53" s="281">
        <f>D50-D51-D52</f>
        <v>0</v>
      </c>
      <c r="E53" s="281">
        <f>E50-E51-E52</f>
        <v>-136887.29000000004</v>
      </c>
      <c r="F53" s="8"/>
    </row>
    <row r="54" spans="1:6" ht="36">
      <c r="A54" s="87" t="s">
        <v>213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6" ht="12.75">
      <c r="A59" s="4" t="s">
        <v>97</v>
      </c>
      <c r="B59" s="8" t="s">
        <v>186</v>
      </c>
      <c r="C59" s="287"/>
      <c r="D59" s="287">
        <f>D52</f>
        <v>0</v>
      </c>
      <c r="E59" s="272">
        <f>+C59-D59</f>
        <v>0</v>
      </c>
      <c r="F59" s="8"/>
    </row>
    <row r="60" spans="1:6" ht="12.75">
      <c r="A60" s="4" t="s">
        <v>320</v>
      </c>
      <c r="B60" s="8" t="s">
        <v>186</v>
      </c>
      <c r="C60" s="287"/>
      <c r="D60" s="318"/>
      <c r="E60" s="272">
        <f>+C60-D60</f>
        <v>0</v>
      </c>
      <c r="F60" s="8"/>
    </row>
    <row r="61" spans="1:6" ht="12.75">
      <c r="A61" t="s">
        <v>4</v>
      </c>
      <c r="B61" s="8" t="s">
        <v>186</v>
      </c>
      <c r="C61" s="287">
        <v>106879</v>
      </c>
      <c r="D61" s="287">
        <f>D43</f>
        <v>0</v>
      </c>
      <c r="E61" s="272">
        <f>+C61-D61</f>
        <v>106879</v>
      </c>
      <c r="F61" s="8"/>
    </row>
    <row r="62" spans="1:6" ht="12.75">
      <c r="A62" t="s">
        <v>6</v>
      </c>
      <c r="B62" s="8" t="s">
        <v>186</v>
      </c>
      <c r="C62" s="287"/>
      <c r="D62" s="287">
        <v>0</v>
      </c>
      <c r="E62" s="272">
        <f>+C62-D62</f>
        <v>0</v>
      </c>
      <c r="F62" s="8"/>
    </row>
    <row r="63" spans="1:6" ht="12.75">
      <c r="A63" s="31" t="s">
        <v>273</v>
      </c>
      <c r="B63" s="8" t="s">
        <v>186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51</v>
      </c>
      <c r="B64" s="8" t="s">
        <v>186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434</v>
      </c>
      <c r="B65" s="8" t="s">
        <v>186</v>
      </c>
      <c r="C65" s="286"/>
      <c r="D65" s="286"/>
      <c r="E65" s="272">
        <f>+C65-D65</f>
        <v>0</v>
      </c>
      <c r="F65" s="8"/>
    </row>
    <row r="66" spans="1:6" ht="15">
      <c r="A66" s="461" t="s">
        <v>385</v>
      </c>
      <c r="B66" s="8"/>
      <c r="C66" s="440">
        <f>'TAXREC 3'!C47</f>
        <v>4350</v>
      </c>
      <c r="D66" s="440">
        <f>'TAXREC 3'!D47</f>
        <v>0</v>
      </c>
      <c r="E66" s="272">
        <f>+C66-D66</f>
        <v>4350</v>
      </c>
      <c r="F66" s="8"/>
    </row>
    <row r="67" spans="1:6" ht="12.75">
      <c r="A67" t="s">
        <v>159</v>
      </c>
      <c r="B67" s="8" t="s">
        <v>186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160</v>
      </c>
      <c r="B68" s="8" t="s">
        <v>186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105</v>
      </c>
      <c r="B70" s="8"/>
      <c r="C70" s="272">
        <f>SUM(C59:C68)</f>
        <v>111229</v>
      </c>
      <c r="D70" s="272">
        <f>SUM(D59:D68)</f>
        <v>0</v>
      </c>
      <c r="E70" s="272">
        <f>SUM(E59:E68)</f>
        <v>111229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147</v>
      </c>
      <c r="B74" s="8" t="s">
        <v>186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s="485" t="s">
        <v>484</v>
      </c>
      <c r="B75" s="8" t="s">
        <v>186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186</v>
      </c>
      <c r="C76" s="294"/>
      <c r="D76" s="294"/>
      <c r="E76" s="27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186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186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186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49</v>
      </c>
      <c r="B80" s="8" t="s">
        <v>188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188</v>
      </c>
      <c r="C82" s="251">
        <f>C70+C80</f>
        <v>111229</v>
      </c>
      <c r="D82" s="251">
        <f>D70+D80</f>
        <v>0</v>
      </c>
      <c r="E82" s="251">
        <f>E70+E80</f>
        <v>111229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150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422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196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54">
        <v>145537</v>
      </c>
      <c r="D97" s="294"/>
      <c r="E97" s="272">
        <f>+C97-D97</f>
        <v>145537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4"/>
      <c r="D98" s="294"/>
      <c r="E98" s="272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5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187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187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187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256</v>
      </c>
      <c r="B104" s="8" t="s">
        <v>187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274</v>
      </c>
      <c r="B105" s="8" t="s">
        <v>187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1" t="s">
        <v>385</v>
      </c>
      <c r="B108" s="8"/>
      <c r="C108" s="254">
        <f>'TAXREC 3'!C73</f>
        <v>0</v>
      </c>
      <c r="D108" s="254">
        <f>'TAXREC 3'!D73</f>
        <v>0</v>
      </c>
      <c r="E108" s="272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163</v>
      </c>
      <c r="B113" s="8" t="s">
        <v>188</v>
      </c>
      <c r="C113" s="251">
        <f>SUM(C97:C111)</f>
        <v>145537</v>
      </c>
      <c r="D113" s="251">
        <f>SUM(D97:D111)</f>
        <v>0</v>
      </c>
      <c r="E113" s="251">
        <f>SUM(E97:E111)</f>
        <v>145537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221</v>
      </c>
      <c r="B116" s="8" t="s">
        <v>187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187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187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50</v>
      </c>
      <c r="B120" s="8" t="s">
        <v>188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188</v>
      </c>
      <c r="C122" s="251">
        <f>C113+C120</f>
        <v>145537</v>
      </c>
      <c r="D122" s="251">
        <f>D113+D120</f>
        <v>0</v>
      </c>
      <c r="E122" s="251">
        <f>+E113+E120</f>
        <v>145537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198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199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197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188</v>
      </c>
      <c r="C134" s="251">
        <f>+C53+C82-C122</f>
        <v>-171195.29000000004</v>
      </c>
      <c r="D134" s="251">
        <f>D53+D82-D122</f>
        <v>0</v>
      </c>
      <c r="E134" s="251">
        <f>E53+E82-E122</f>
        <v>-171195.29000000004</v>
      </c>
      <c r="F134" s="8"/>
      <c r="G134" s="492"/>
      <c r="H134" s="492"/>
      <c r="I134" s="492"/>
      <c r="J134" s="492"/>
      <c r="K134" s="45"/>
    </row>
    <row r="135" spans="1:11" ht="12.75">
      <c r="A135" s="12" t="s">
        <v>46</v>
      </c>
      <c r="B135" s="8"/>
      <c r="D135" s="30"/>
      <c r="E135" s="30"/>
      <c r="F135" s="8"/>
      <c r="G135" s="492"/>
      <c r="H135" s="492"/>
      <c r="I135" s="492"/>
      <c r="J135" s="492"/>
      <c r="K135" s="45"/>
    </row>
    <row r="136" spans="1:11" ht="12.75">
      <c r="A136" s="12" t="s">
        <v>367</v>
      </c>
      <c r="B136" s="8" t="s">
        <v>187</v>
      </c>
      <c r="C136" s="294"/>
      <c r="D136" s="294"/>
      <c r="E136" s="265">
        <f>C136-D136</f>
        <v>0</v>
      </c>
      <c r="F136" s="8"/>
      <c r="G136" s="492"/>
      <c r="H136" s="492"/>
      <c r="I136" s="492"/>
      <c r="J136" s="492"/>
      <c r="K136" s="45"/>
    </row>
    <row r="137" spans="1:11" ht="12.75">
      <c r="A137" s="46" t="s">
        <v>368</v>
      </c>
      <c r="B137" s="8" t="s">
        <v>187</v>
      </c>
      <c r="C137" s="310"/>
      <c r="D137" s="310"/>
      <c r="E137" s="393">
        <f>C137-D137</f>
        <v>0</v>
      </c>
      <c r="F137" s="8"/>
      <c r="G137" s="493"/>
      <c r="H137" s="492"/>
      <c r="I137" s="493"/>
      <c r="J137" s="492"/>
      <c r="K137" s="45"/>
    </row>
    <row r="138" spans="1:11" ht="12.75">
      <c r="A138" s="46"/>
      <c r="B138" s="8"/>
      <c r="C138" s="310"/>
      <c r="D138" s="310"/>
      <c r="E138" s="393">
        <f>C138-D138</f>
        <v>0</v>
      </c>
      <c r="F138" s="8"/>
      <c r="G138" s="492"/>
      <c r="H138" s="492"/>
      <c r="I138" s="492"/>
      <c r="J138" s="492"/>
      <c r="K138" s="45"/>
    </row>
    <row r="139" spans="1:11" ht="12.75">
      <c r="A139" s="46" t="s">
        <v>96</v>
      </c>
      <c r="B139" s="8" t="s">
        <v>188</v>
      </c>
      <c r="C139" s="252">
        <f>C134-C136-C137-C138</f>
        <v>-171195.29000000004</v>
      </c>
      <c r="D139" s="252">
        <f>D134-D136-D137-D138</f>
        <v>0</v>
      </c>
      <c r="E139" s="252">
        <f>E134-E136-E137-E138</f>
        <v>-171195.29000000004</v>
      </c>
      <c r="F139" s="8"/>
      <c r="G139" s="492"/>
      <c r="H139" s="492"/>
      <c r="I139" s="492"/>
      <c r="J139" s="492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300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316</v>
      </c>
      <c r="B142" s="8" t="s">
        <v>186</v>
      </c>
      <c r="C142" s="298">
        <v>0</v>
      </c>
      <c r="D142" s="298"/>
      <c r="E142" s="252">
        <f>C142-D142</f>
        <v>0</v>
      </c>
      <c r="F142" s="8"/>
      <c r="G142" s="45"/>
      <c r="H142" s="38"/>
      <c r="I142" s="496" t="s">
        <v>499</v>
      </c>
      <c r="J142" s="30">
        <f>C134</f>
        <v>-171195.29000000004</v>
      </c>
      <c r="K142" s="45"/>
    </row>
    <row r="143" spans="1:11" ht="12.75">
      <c r="A143" s="46" t="s">
        <v>315</v>
      </c>
      <c r="B143" s="8" t="s">
        <v>186</v>
      </c>
      <c r="C143" s="298">
        <v>0</v>
      </c>
      <c r="D143" s="298"/>
      <c r="E143" s="292">
        <f>C143-D143</f>
        <v>0</v>
      </c>
      <c r="F143" s="8"/>
      <c r="G143" s="45"/>
      <c r="H143" s="38"/>
      <c r="I143" s="497" t="s">
        <v>500</v>
      </c>
      <c r="J143" s="30">
        <v>735222</v>
      </c>
      <c r="K143" s="45"/>
    </row>
    <row r="144" spans="1:11" ht="12.75">
      <c r="A144" s="46" t="s">
        <v>172</v>
      </c>
      <c r="B144" s="8" t="s">
        <v>188</v>
      </c>
      <c r="C144" s="252">
        <f>C142+C143</f>
        <v>0</v>
      </c>
      <c r="D144" s="252">
        <f>D142+D143</f>
        <v>0</v>
      </c>
      <c r="E144" s="252">
        <f>E142+E143</f>
        <v>0</v>
      </c>
      <c r="F144" s="8"/>
      <c r="G144" s="45"/>
      <c r="H144" s="38"/>
      <c r="I144" s="498" t="s">
        <v>501</v>
      </c>
      <c r="J144" s="499">
        <f>SUM(J142:J143)</f>
        <v>564026.71</v>
      </c>
      <c r="K144" s="45"/>
    </row>
    <row r="145" spans="1:11" ht="12.75">
      <c r="A145" s="46" t="s">
        <v>327</v>
      </c>
      <c r="B145" s="8" t="s">
        <v>187</v>
      </c>
      <c r="C145" s="298">
        <v>0</v>
      </c>
      <c r="D145" s="298"/>
      <c r="E145" s="293">
        <f>C145-D145</f>
        <v>0</v>
      </c>
      <c r="F145" s="8"/>
      <c r="G145" s="45"/>
      <c r="H145" s="38"/>
      <c r="I145" s="498" t="s">
        <v>502</v>
      </c>
      <c r="J145" s="45">
        <v>-280000</v>
      </c>
      <c r="K145" s="45"/>
    </row>
    <row r="146" spans="1:11" ht="13.5" thickBot="1">
      <c r="A146" s="320" t="s">
        <v>98</v>
      </c>
      <c r="B146" s="8" t="s">
        <v>188</v>
      </c>
      <c r="C146" s="252">
        <f>C144-C145</f>
        <v>0</v>
      </c>
      <c r="D146" s="252">
        <f>D144-D145</f>
        <v>0</v>
      </c>
      <c r="E146" s="252">
        <f>E144-E145</f>
        <v>0</v>
      </c>
      <c r="F146" s="8"/>
      <c r="H146" s="38"/>
      <c r="I146" s="498" t="s">
        <v>503</v>
      </c>
      <c r="J146" s="500">
        <f>SUM(J144:J145)</f>
        <v>284026.70999999996</v>
      </c>
      <c r="K146" s="45"/>
    </row>
    <row r="147" spans="2:11" ht="13.5" thickTop="1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300</v>
      </c>
      <c r="B148" s="8"/>
      <c r="C148" s="5"/>
      <c r="D148" s="5"/>
      <c r="E148" s="5"/>
      <c r="F148" s="8"/>
      <c r="G148" s="45" t="s">
        <v>505</v>
      </c>
      <c r="H148" s="45"/>
      <c r="I148" s="45"/>
      <c r="J148" s="45"/>
      <c r="K148" s="45"/>
    </row>
    <row r="149" spans="1:11" ht="12.75">
      <c r="A149" s="46" t="s">
        <v>322</v>
      </c>
      <c r="B149" s="8"/>
      <c r="C149" s="404">
        <f>G149</f>
        <v>0</v>
      </c>
      <c r="D149" s="5"/>
      <c r="E149" s="405">
        <f>C149</f>
        <v>0</v>
      </c>
      <c r="F149" s="8"/>
      <c r="G149" s="38">
        <f>C142/C139</f>
        <v>0</v>
      </c>
      <c r="K149" s="45"/>
    </row>
    <row r="150" spans="1:11" ht="12.75">
      <c r="A150" s="46" t="s">
        <v>323</v>
      </c>
      <c r="B150" s="8"/>
      <c r="C150" s="404">
        <f>G150</f>
        <v>0</v>
      </c>
      <c r="D150" s="5"/>
      <c r="E150" s="405">
        <f>C150</f>
        <v>0</v>
      </c>
      <c r="F150" s="8"/>
      <c r="G150" s="38">
        <f>C143/C139</f>
        <v>0</v>
      </c>
      <c r="K150" s="45"/>
    </row>
    <row r="151" spans="1:11" ht="12.75">
      <c r="A151" t="s">
        <v>324</v>
      </c>
      <c r="B151" s="8"/>
      <c r="C151" s="405">
        <f>SUM(C149:C150)</f>
        <v>0</v>
      </c>
      <c r="D151" s="5"/>
      <c r="E151" s="405">
        <f>SUM(E149:E150)</f>
        <v>0</v>
      </c>
      <c r="F151" s="8"/>
      <c r="G151" s="38">
        <f>SUM(G149:G150)</f>
        <v>0</v>
      </c>
      <c r="K151" s="45"/>
    </row>
    <row r="152" spans="2:11" ht="12.75">
      <c r="B152" s="8"/>
      <c r="C152" s="491"/>
      <c r="D152" s="5"/>
      <c r="E152" s="5"/>
      <c r="F152" s="8"/>
      <c r="K152" s="45"/>
    </row>
    <row r="153" spans="1:11" ht="12.75">
      <c r="A153" s="14" t="s">
        <v>349</v>
      </c>
      <c r="B153" s="8"/>
      <c r="K153" s="501"/>
    </row>
    <row r="154" spans="1:2" ht="12.75">
      <c r="A154" s="14"/>
      <c r="B154" s="8"/>
    </row>
    <row r="155" spans="1:2" ht="12.75">
      <c r="A155" s="2" t="s">
        <v>328</v>
      </c>
      <c r="B155" s="8"/>
    </row>
    <row r="156" spans="1:5" ht="12.75">
      <c r="A156" t="s">
        <v>218</v>
      </c>
      <c r="B156" s="86" t="s">
        <v>186</v>
      </c>
      <c r="C156" s="251">
        <f>C146</f>
        <v>0</v>
      </c>
      <c r="D156" s="251">
        <f>D146</f>
        <v>0</v>
      </c>
      <c r="E156" s="251">
        <f>E146</f>
        <v>0</v>
      </c>
    </row>
    <row r="157" spans="1:5" ht="12.75">
      <c r="A157" t="s">
        <v>20</v>
      </c>
      <c r="B157" s="86" t="s">
        <v>186</v>
      </c>
      <c r="C157" s="494">
        <v>5514</v>
      </c>
      <c r="D157" s="251"/>
      <c r="E157" s="251">
        <f>C157+D157</f>
        <v>5514</v>
      </c>
    </row>
    <row r="158" spans="1:5" ht="12.75">
      <c r="A158" t="s">
        <v>217</v>
      </c>
      <c r="B158" s="86" t="s">
        <v>186</v>
      </c>
      <c r="C158" s="494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297</v>
      </c>
      <c r="B160" s="66" t="s">
        <v>188</v>
      </c>
      <c r="C160" s="251">
        <f>C156+C157+C158</f>
        <v>5514</v>
      </c>
      <c r="D160" s="251">
        <f>D156+D157+D158</f>
        <v>0</v>
      </c>
      <c r="E160" s="251">
        <f>E156+E157+E158</f>
        <v>5514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5905511811023623" bottom="0.2362204724409449" header="0.2362204724409449" footer="0"/>
  <pageSetup fitToHeight="2" fitToWidth="1" horizontalDpi="600" verticalDpi="600" orientation="portrait" scale="67" r:id="rId3"/>
  <headerFooter alignWithMargins="0">
    <oddFooter>&amp;C&amp;F</oddFooter>
  </headerFooter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ED-2002-0511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295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296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Centre Wellington Hydro Ltd.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2001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7" t="s">
        <v>267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275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276</v>
      </c>
      <c r="B15" s="61"/>
      <c r="C15" s="294"/>
      <c r="D15" s="294"/>
      <c r="E15" s="251">
        <f t="shared" si="0"/>
        <v>0</v>
      </c>
    </row>
    <row r="16" spans="1:5" ht="12.75">
      <c r="A16" s="61" t="s">
        <v>277</v>
      </c>
      <c r="B16" s="61"/>
      <c r="C16" s="294"/>
      <c r="D16" s="294"/>
      <c r="E16" s="251">
        <f t="shared" si="0"/>
        <v>0</v>
      </c>
    </row>
    <row r="17" spans="1:5" ht="12.75">
      <c r="A17" s="61" t="s">
        <v>278</v>
      </c>
      <c r="B17" s="61"/>
      <c r="C17" s="294"/>
      <c r="D17" s="294"/>
      <c r="E17" s="251">
        <f t="shared" si="0"/>
        <v>0</v>
      </c>
    </row>
    <row r="18" spans="1:5" ht="12.75">
      <c r="A18" s="61" t="s">
        <v>439</v>
      </c>
      <c r="B18" s="61"/>
      <c r="C18" s="294"/>
      <c r="D18" s="294"/>
      <c r="E18" s="251">
        <f t="shared" si="0"/>
        <v>0</v>
      </c>
    </row>
    <row r="19" spans="1:5" ht="12.75">
      <c r="A19" s="61" t="s">
        <v>439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179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266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275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276</v>
      </c>
      <c r="B27" s="61"/>
      <c r="C27" s="294"/>
      <c r="D27" s="294"/>
      <c r="E27" s="251">
        <f t="shared" si="1"/>
        <v>0</v>
      </c>
    </row>
    <row r="28" spans="1:5" ht="12.75">
      <c r="A28" s="61" t="s">
        <v>277</v>
      </c>
      <c r="B28" s="61"/>
      <c r="C28" s="294"/>
      <c r="D28" s="294"/>
      <c r="E28" s="251">
        <f t="shared" si="1"/>
        <v>0</v>
      </c>
    </row>
    <row r="29" spans="1:5" ht="12.75">
      <c r="A29" s="61" t="s">
        <v>278</v>
      </c>
      <c r="B29" s="61"/>
      <c r="C29" s="294"/>
      <c r="D29" s="294"/>
      <c r="E29" s="251">
        <f t="shared" si="1"/>
        <v>0</v>
      </c>
    </row>
    <row r="30" spans="1:5" ht="12.75">
      <c r="A30" s="61" t="s">
        <v>439</v>
      </c>
      <c r="B30" s="61"/>
      <c r="C30" s="294"/>
      <c r="D30" s="294"/>
      <c r="E30" s="251">
        <f t="shared" si="1"/>
        <v>0</v>
      </c>
    </row>
    <row r="31" spans="1:5" ht="12.75">
      <c r="A31" s="61" t="s">
        <v>439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131</v>
      </c>
      <c r="C34" s="22"/>
      <c r="D34" s="22"/>
      <c r="E34" s="279"/>
    </row>
    <row r="35" spans="1:5" ht="12.75">
      <c r="A35" s="2" t="s">
        <v>179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265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267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261</v>
      </c>
      <c r="B43" s="61"/>
      <c r="C43" s="294"/>
      <c r="D43" s="294"/>
      <c r="E43" s="251">
        <f t="shared" si="2"/>
        <v>0</v>
      </c>
    </row>
    <row r="44" spans="1:5" ht="12.75">
      <c r="A44" s="61" t="s">
        <v>262</v>
      </c>
      <c r="B44" s="61"/>
      <c r="C44" s="294"/>
      <c r="D44" s="294"/>
      <c r="E44" s="251">
        <f t="shared" si="2"/>
        <v>0</v>
      </c>
    </row>
    <row r="45" spans="1:5" ht="12.75">
      <c r="A45" s="61" t="s">
        <v>263</v>
      </c>
      <c r="B45" s="61"/>
      <c r="C45" s="294"/>
      <c r="D45" s="294"/>
      <c r="E45" s="251">
        <f t="shared" si="2"/>
        <v>0</v>
      </c>
    </row>
    <row r="46" spans="1:5" ht="12.75">
      <c r="A46" s="61" t="s">
        <v>264</v>
      </c>
      <c r="B46" s="61"/>
      <c r="C46" s="294"/>
      <c r="D46" s="294"/>
      <c r="E46" s="251">
        <f t="shared" si="2"/>
        <v>0</v>
      </c>
    </row>
    <row r="47" spans="1:5" ht="12.75">
      <c r="A47" s="61" t="s">
        <v>439</v>
      </c>
      <c r="B47" s="61"/>
      <c r="C47" s="294"/>
      <c r="D47" s="294"/>
      <c r="E47" s="251">
        <f t="shared" si="2"/>
        <v>0</v>
      </c>
    </row>
    <row r="48" spans="1:5" ht="12.75">
      <c r="A48" s="61" t="s">
        <v>439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179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266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261</v>
      </c>
      <c r="B55" s="61"/>
      <c r="C55" s="294"/>
      <c r="D55" s="294"/>
      <c r="E55" s="251">
        <f t="shared" si="3"/>
        <v>0</v>
      </c>
    </row>
    <row r="56" spans="1:5" ht="12.75">
      <c r="A56" s="246" t="s">
        <v>262</v>
      </c>
      <c r="B56" s="61"/>
      <c r="C56" s="294"/>
      <c r="D56" s="294"/>
      <c r="E56" s="251">
        <f t="shared" si="3"/>
        <v>0</v>
      </c>
    </row>
    <row r="57" spans="1:5" ht="12.75">
      <c r="A57" s="246" t="s">
        <v>263</v>
      </c>
      <c r="B57" s="61"/>
      <c r="C57" s="294"/>
      <c r="D57" s="294"/>
      <c r="E57" s="251">
        <f t="shared" si="3"/>
        <v>0</v>
      </c>
    </row>
    <row r="58" spans="1:5" ht="12.75">
      <c r="A58" s="246" t="s">
        <v>264</v>
      </c>
      <c r="B58" s="61"/>
      <c r="C58" s="294"/>
      <c r="D58" s="294"/>
      <c r="E58" s="251">
        <f t="shared" si="3"/>
        <v>0</v>
      </c>
    </row>
    <row r="59" spans="1:5" ht="12.75">
      <c r="A59" s="61" t="s">
        <v>439</v>
      </c>
      <c r="B59" s="61"/>
      <c r="C59" s="294"/>
      <c r="D59" s="294"/>
      <c r="E59" s="251">
        <f t="shared" si="3"/>
        <v>0</v>
      </c>
    </row>
    <row r="60" spans="1:5" ht="12.75">
      <c r="A60" s="61" t="s">
        <v>439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131</v>
      </c>
      <c r="C62" s="22"/>
      <c r="D62" s="22"/>
      <c r="E62" s="279"/>
    </row>
    <row r="63" spans="1:5" ht="12.75">
      <c r="A63" s="2" t="s">
        <v>179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36" right="0.03937007874015748" top="0.7086614173228347" bottom="0.2362204724409449" header="0.1968503937007874" footer="0"/>
  <pageSetup fitToHeight="1" fitToWidth="1" horizontalDpi="600" verticalDpi="600" orientation="portrait" scale="89" r:id="rId1"/>
  <headerFooter alignWithMargins="0"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16" activePane="bottomRight" state="frozen"/>
      <selection pane="topLeft" activeCell="C9" sqref="C9"/>
      <selection pane="topRight" activeCell="C9" sqref="C9"/>
      <selection pane="bottomLeft" activeCell="C9" sqref="C9"/>
      <selection pane="bottomRight" activeCell="D69" sqref="D6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ED-2002-0511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456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455</v>
      </c>
      <c r="B5" s="8"/>
      <c r="C5" s="8" t="s">
        <v>2</v>
      </c>
      <c r="D5" s="8"/>
      <c r="E5" s="8"/>
      <c r="F5" s="8"/>
    </row>
    <row r="6" spans="1:6" ht="12.75">
      <c r="A6" s="415" t="s">
        <v>436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Centre Wellington Hydro Ltd.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2001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478">
        <f>TAXREC!C11</f>
        <v>92</v>
      </c>
      <c r="D10" s="60"/>
      <c r="E10" s="25"/>
      <c r="F10" s="20"/>
    </row>
    <row r="11" spans="1:6" ht="12.75">
      <c r="A11" s="2" t="s">
        <v>118</v>
      </c>
      <c r="B11" s="20"/>
      <c r="C11" s="272">
        <f>TAXREC!C13</f>
        <v>10692.1575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7"/>
      <c r="B17" t="s">
        <v>186</v>
      </c>
      <c r="C17" s="295"/>
      <c r="D17" s="295"/>
      <c r="E17" s="313">
        <f>C17-D17</f>
        <v>0</v>
      </c>
    </row>
    <row r="18" spans="1:5" ht="12.75">
      <c r="A18" s="67" t="s">
        <v>247</v>
      </c>
      <c r="B18" t="s">
        <v>186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134</v>
      </c>
      <c r="B19" t="s">
        <v>186</v>
      </c>
      <c r="C19" s="295"/>
      <c r="D19" s="295"/>
      <c r="E19" s="313">
        <f t="shared" si="0"/>
        <v>0</v>
      </c>
    </row>
    <row r="20" spans="1:5" ht="12.75">
      <c r="A20" s="67" t="s">
        <v>440</v>
      </c>
      <c r="B20" t="s">
        <v>186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186</v>
      </c>
      <c r="C21" s="295"/>
      <c r="D21" s="295"/>
      <c r="E21" s="313">
        <f t="shared" si="0"/>
        <v>0</v>
      </c>
    </row>
    <row r="22" spans="1:5" ht="12.75">
      <c r="A22" s="67"/>
      <c r="B22" t="s">
        <v>186</v>
      </c>
      <c r="C22" s="295"/>
      <c r="D22" s="295"/>
      <c r="E22" s="313">
        <f t="shared" si="0"/>
        <v>0</v>
      </c>
    </row>
    <row r="23" spans="1:5" ht="12.75">
      <c r="A23" s="67" t="s">
        <v>136</v>
      </c>
      <c r="B23" t="s">
        <v>186</v>
      </c>
      <c r="C23" s="295"/>
      <c r="D23" s="295"/>
      <c r="E23" s="313">
        <f t="shared" si="0"/>
        <v>0</v>
      </c>
    </row>
    <row r="24" spans="1:5" ht="12.75">
      <c r="A24" s="67" t="s">
        <v>137</v>
      </c>
      <c r="B24" t="s">
        <v>186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186</v>
      </c>
      <c r="C25" s="295"/>
      <c r="D25" s="295"/>
      <c r="E25" s="313">
        <f t="shared" si="0"/>
        <v>0</v>
      </c>
    </row>
    <row r="26" spans="1:5" ht="12.75">
      <c r="A26" s="67" t="s">
        <v>190</v>
      </c>
      <c r="B26" t="s">
        <v>186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186</v>
      </c>
      <c r="C27" s="295"/>
      <c r="D27" s="295"/>
      <c r="E27" s="313">
        <f t="shared" si="0"/>
        <v>0</v>
      </c>
    </row>
    <row r="28" spans="1:5" ht="12.75">
      <c r="A28" s="67" t="s">
        <v>123</v>
      </c>
      <c r="B28" t="s">
        <v>186</v>
      </c>
      <c r="C28" s="295"/>
      <c r="D28" s="295"/>
      <c r="E28" s="313">
        <f t="shared" si="0"/>
        <v>0</v>
      </c>
    </row>
    <row r="29" spans="1:5" ht="12.75">
      <c r="A29" s="67" t="s">
        <v>138</v>
      </c>
      <c r="B29" t="s">
        <v>186</v>
      </c>
      <c r="C29" s="295"/>
      <c r="D29" s="295"/>
      <c r="E29" s="313">
        <f t="shared" si="0"/>
        <v>0</v>
      </c>
    </row>
    <row r="30" spans="1:5" ht="12.75">
      <c r="A30" s="67" t="s">
        <v>139</v>
      </c>
      <c r="B30" t="s">
        <v>186</v>
      </c>
      <c r="C30" s="295"/>
      <c r="D30" s="295"/>
      <c r="E30" s="313">
        <f t="shared" si="0"/>
        <v>0</v>
      </c>
    </row>
    <row r="31" spans="1:5" ht="12.75">
      <c r="A31" s="67" t="s">
        <v>248</v>
      </c>
      <c r="B31" t="s">
        <v>186</v>
      </c>
      <c r="C31" s="295"/>
      <c r="D31" s="295"/>
      <c r="E31" s="313">
        <f t="shared" si="0"/>
        <v>0</v>
      </c>
    </row>
    <row r="32" spans="1:5" ht="12.75">
      <c r="A32" s="67" t="s">
        <v>140</v>
      </c>
      <c r="B32" t="s">
        <v>186</v>
      </c>
      <c r="C32" s="295"/>
      <c r="D32" s="295"/>
      <c r="E32" s="313">
        <f t="shared" si="0"/>
        <v>0</v>
      </c>
    </row>
    <row r="33" spans="1:5" ht="12.75">
      <c r="A33" s="67" t="s">
        <v>141</v>
      </c>
      <c r="B33" t="s">
        <v>186</v>
      </c>
      <c r="C33" s="295"/>
      <c r="D33" s="295"/>
      <c r="E33" s="313">
        <f t="shared" si="0"/>
        <v>0</v>
      </c>
    </row>
    <row r="34" spans="1:5" ht="12.75">
      <c r="A34" s="67" t="s">
        <v>142</v>
      </c>
      <c r="B34" t="s">
        <v>186</v>
      </c>
      <c r="C34" s="295"/>
      <c r="D34" s="295"/>
      <c r="E34" s="313">
        <f t="shared" si="0"/>
        <v>0</v>
      </c>
    </row>
    <row r="35" spans="1:5" ht="12.75">
      <c r="A35" s="67" t="s">
        <v>192</v>
      </c>
      <c r="B35" t="s">
        <v>186</v>
      </c>
      <c r="C35" s="295"/>
      <c r="D35" s="295"/>
      <c r="E35" s="313">
        <f t="shared" si="0"/>
        <v>0</v>
      </c>
    </row>
    <row r="36" spans="1:5" ht="12.75">
      <c r="A36" s="67"/>
      <c r="B36" t="s">
        <v>186</v>
      </c>
      <c r="C36" s="295"/>
      <c r="D36" s="295"/>
      <c r="E36" s="313">
        <f t="shared" si="0"/>
        <v>0</v>
      </c>
    </row>
    <row r="37" spans="1:5" ht="12.75">
      <c r="A37" s="67"/>
      <c r="B37" t="s">
        <v>186</v>
      </c>
      <c r="C37" s="295"/>
      <c r="D37" s="295"/>
      <c r="E37" s="313">
        <f t="shared" si="0"/>
        <v>0</v>
      </c>
    </row>
    <row r="38" spans="2:5" ht="12.75">
      <c r="B38" t="s">
        <v>186</v>
      </c>
      <c r="C38" s="295"/>
      <c r="D38" s="295"/>
      <c r="E38" s="251">
        <f t="shared" si="0"/>
        <v>0</v>
      </c>
    </row>
    <row r="39" spans="2:5" ht="12.75">
      <c r="B39" t="s">
        <v>186</v>
      </c>
      <c r="C39" s="294"/>
      <c r="D39" s="295"/>
      <c r="E39" s="251">
        <f t="shared" si="0"/>
        <v>0</v>
      </c>
    </row>
    <row r="40" spans="1:5" ht="12.75">
      <c r="A40" s="68" t="s">
        <v>203</v>
      </c>
      <c r="B40" t="s">
        <v>186</v>
      </c>
      <c r="C40" s="294"/>
      <c r="D40" s="294"/>
      <c r="E40" s="251">
        <f t="shared" si="0"/>
        <v>0</v>
      </c>
    </row>
    <row r="41" spans="1:5" ht="12.75">
      <c r="A41" s="67"/>
      <c r="B41" t="s">
        <v>186</v>
      </c>
      <c r="C41" s="294"/>
      <c r="D41" s="294"/>
      <c r="E41" s="251">
        <f t="shared" si="0"/>
        <v>0</v>
      </c>
    </row>
    <row r="42" spans="1:5" ht="12.75">
      <c r="A42" s="67"/>
      <c r="B42" t="s">
        <v>186</v>
      </c>
      <c r="C42" s="294"/>
      <c r="D42" s="294"/>
      <c r="E42" s="251">
        <f t="shared" si="0"/>
        <v>0</v>
      </c>
    </row>
    <row r="43" spans="1:5" ht="12.75">
      <c r="A43" s="67"/>
      <c r="B43" t="s">
        <v>186</v>
      </c>
      <c r="C43" s="294"/>
      <c r="D43" s="294"/>
      <c r="E43" s="251">
        <f t="shared" si="0"/>
        <v>0</v>
      </c>
    </row>
    <row r="44" spans="1:5" ht="12.75">
      <c r="A44" s="67"/>
      <c r="B44" t="s">
        <v>186</v>
      </c>
      <c r="C44" s="294"/>
      <c r="D44" s="294"/>
      <c r="E44" s="251">
        <f t="shared" si="0"/>
        <v>0</v>
      </c>
    </row>
    <row r="45" spans="1:5" ht="12.75">
      <c r="A45" s="67"/>
      <c r="B45" t="s">
        <v>186</v>
      </c>
      <c r="C45" s="294"/>
      <c r="D45" s="294"/>
      <c r="E45" s="279"/>
    </row>
    <row r="46" spans="1:5" ht="12.75">
      <c r="A46" s="70" t="s">
        <v>169</v>
      </c>
      <c r="B46" t="s">
        <v>188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171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143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202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169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144</v>
      </c>
    </row>
    <row r="82" spans="1:5" ht="12.75">
      <c r="A82" s="67" t="s">
        <v>145</v>
      </c>
      <c r="B82" s="8" t="s">
        <v>187</v>
      </c>
      <c r="C82" s="294"/>
      <c r="D82" s="294"/>
      <c r="E82" s="251">
        <f>C82-D82</f>
        <v>0</v>
      </c>
    </row>
    <row r="83" spans="1:5" ht="12.75">
      <c r="A83" s="71" t="s">
        <v>151</v>
      </c>
      <c r="B83" s="8" t="s">
        <v>187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146</v>
      </c>
      <c r="B84" s="8" t="s">
        <v>187</v>
      </c>
      <c r="C84" s="294"/>
      <c r="D84" s="294"/>
      <c r="E84" s="251">
        <f t="shared" si="5"/>
        <v>0</v>
      </c>
    </row>
    <row r="85" spans="1:5" ht="12.75">
      <c r="A85" s="71" t="s">
        <v>249</v>
      </c>
      <c r="B85" s="8" t="s">
        <v>187</v>
      </c>
      <c r="C85" s="294"/>
      <c r="D85" s="294"/>
      <c r="E85" s="251">
        <f t="shared" si="5"/>
        <v>0</v>
      </c>
    </row>
    <row r="86" spans="1:5" ht="12.75">
      <c r="A86" s="67" t="s">
        <v>193</v>
      </c>
      <c r="B86" s="8" t="s">
        <v>187</v>
      </c>
      <c r="C86" s="294"/>
      <c r="D86" s="294"/>
      <c r="E86" s="251">
        <f t="shared" si="5"/>
        <v>0</v>
      </c>
    </row>
    <row r="87" spans="1:5" ht="12.75">
      <c r="A87" s="67" t="s">
        <v>369</v>
      </c>
      <c r="B87" s="8" t="s">
        <v>187</v>
      </c>
      <c r="C87" s="294"/>
      <c r="D87" s="294"/>
      <c r="E87" s="251">
        <f t="shared" si="5"/>
        <v>0</v>
      </c>
    </row>
    <row r="88" spans="1:5" ht="12.75">
      <c r="A88" s="67" t="s">
        <v>194</v>
      </c>
      <c r="B88" s="8" t="s">
        <v>187</v>
      </c>
      <c r="C88" s="294"/>
      <c r="D88" s="294"/>
      <c r="E88" s="251">
        <f t="shared" si="5"/>
        <v>0</v>
      </c>
    </row>
    <row r="89" spans="1:5" ht="12.75">
      <c r="A89" s="67" t="s">
        <v>166</v>
      </c>
      <c r="B89" s="8" t="s">
        <v>187</v>
      </c>
      <c r="C89" s="294"/>
      <c r="D89" s="294"/>
      <c r="E89" s="251">
        <f t="shared" si="5"/>
        <v>0</v>
      </c>
    </row>
    <row r="90" spans="1:5" ht="12.75">
      <c r="A90" s="67" t="s">
        <v>167</v>
      </c>
      <c r="B90" s="8" t="s">
        <v>187</v>
      </c>
      <c r="C90" s="294"/>
      <c r="D90" s="294"/>
      <c r="E90" s="251">
        <f t="shared" si="5"/>
        <v>0</v>
      </c>
    </row>
    <row r="91" spans="1:5" ht="12.75">
      <c r="A91" s="67" t="s">
        <v>168</v>
      </c>
      <c r="B91" s="8" t="s">
        <v>187</v>
      </c>
      <c r="C91" s="294"/>
      <c r="D91" s="294"/>
      <c r="E91" s="251">
        <f t="shared" si="5"/>
        <v>0</v>
      </c>
    </row>
    <row r="92" spans="1:5" ht="12.75">
      <c r="A92" s="487"/>
      <c r="B92" s="8" t="s">
        <v>187</v>
      </c>
      <c r="C92" s="294"/>
      <c r="D92" s="294"/>
      <c r="E92" s="251"/>
    </row>
    <row r="93" spans="1:5" ht="12.75">
      <c r="A93" s="487"/>
      <c r="B93" s="8" t="s">
        <v>187</v>
      </c>
      <c r="C93" s="294"/>
      <c r="D93" s="294"/>
      <c r="E93" s="251">
        <f t="shared" si="5"/>
        <v>0</v>
      </c>
    </row>
    <row r="94" spans="1:5" ht="12.75">
      <c r="A94" s="67"/>
      <c r="B94" s="8" t="s">
        <v>187</v>
      </c>
      <c r="C94" s="294"/>
      <c r="D94" s="294"/>
      <c r="E94" s="251">
        <f t="shared" si="5"/>
        <v>0</v>
      </c>
    </row>
    <row r="95" spans="1:5" ht="12.75">
      <c r="A95" s="68" t="s">
        <v>204</v>
      </c>
      <c r="B95" s="8" t="s">
        <v>187</v>
      </c>
      <c r="C95" s="294"/>
      <c r="D95" s="294"/>
      <c r="E95" s="251">
        <f t="shared" si="5"/>
        <v>0</v>
      </c>
    </row>
    <row r="96" spans="1:5" ht="12.75">
      <c r="A96" s="486"/>
      <c r="B96" s="8" t="s">
        <v>187</v>
      </c>
      <c r="C96" s="294"/>
      <c r="D96" s="294"/>
      <c r="E96" s="251">
        <f t="shared" si="5"/>
        <v>0</v>
      </c>
    </row>
    <row r="97" spans="1:5" ht="12.75">
      <c r="A97" s="486"/>
      <c r="B97" s="8" t="s">
        <v>187</v>
      </c>
      <c r="C97" s="294"/>
      <c r="D97" s="294"/>
      <c r="E97" s="251">
        <f t="shared" si="5"/>
        <v>0</v>
      </c>
    </row>
    <row r="98" spans="1:5" ht="12.75">
      <c r="A98" s="67"/>
      <c r="B98" s="8" t="s">
        <v>187</v>
      </c>
      <c r="C98" s="294"/>
      <c r="D98" s="294"/>
      <c r="E98" s="251">
        <f t="shared" si="5"/>
        <v>0</v>
      </c>
    </row>
    <row r="99" spans="1:5" ht="12.75">
      <c r="A99" s="67" t="s">
        <v>170</v>
      </c>
      <c r="B99" s="8" t="s">
        <v>188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173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201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200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170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5905511811023623" bottom="0.2362204724409449" header="0.15748031496062992" footer="0"/>
  <pageSetup fitToHeight="2" fitToWidth="1" horizontalDpi="600" verticalDpi="600" orientation="portrait" scale="10" r:id="rId1"/>
  <headerFooter alignWithMargins="0">
    <oddFooter>&amp;C&amp;F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5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28" sqref="C2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ED-2002-0511</v>
      </c>
    </row>
    <row r="3" spans="1:5" ht="12.75">
      <c r="A3" s="2" t="s">
        <v>377</v>
      </c>
      <c r="E3" s="92"/>
    </row>
    <row r="4" spans="1:6" ht="15">
      <c r="A4" s="458" t="s">
        <v>436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0" t="s">
        <v>378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Centre Wellington Hydro Ltd.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2001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478">
        <f>TAXREC!C11</f>
        <v>92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7" t="s">
        <v>132</v>
      </c>
      <c r="B19" t="s">
        <v>186</v>
      </c>
      <c r="C19" s="295"/>
      <c r="D19" s="295"/>
      <c r="E19" s="313">
        <f aca="true" t="shared" si="0" ref="E19:E45">C19-D19</f>
        <v>0</v>
      </c>
    </row>
    <row r="20" spans="1:5" ht="12.75">
      <c r="A20" t="s">
        <v>380</v>
      </c>
      <c r="B20" t="s">
        <v>186</v>
      </c>
      <c r="C20" s="295"/>
      <c r="D20" s="295"/>
      <c r="E20" s="313">
        <f t="shared" si="0"/>
        <v>0</v>
      </c>
    </row>
    <row r="21" spans="1:5" ht="12.75">
      <c r="A21" t="s">
        <v>444</v>
      </c>
      <c r="B21" t="s">
        <v>186</v>
      </c>
      <c r="C21" s="295"/>
      <c r="D21" s="295"/>
      <c r="E21" s="313">
        <f t="shared" si="0"/>
        <v>0</v>
      </c>
    </row>
    <row r="22" spans="1:5" ht="12.75">
      <c r="A22" s="67" t="s">
        <v>383</v>
      </c>
      <c r="B22" t="s">
        <v>186</v>
      </c>
      <c r="C22" s="295"/>
      <c r="D22" s="314"/>
      <c r="E22" s="313">
        <f t="shared" si="0"/>
        <v>0</v>
      </c>
    </row>
    <row r="23" spans="1:5" ht="12.75">
      <c r="A23" s="67" t="s">
        <v>384</v>
      </c>
      <c r="B23" t="s">
        <v>186</v>
      </c>
      <c r="C23" s="295"/>
      <c r="D23" s="295"/>
      <c r="E23" s="313">
        <f t="shared" si="0"/>
        <v>0</v>
      </c>
    </row>
    <row r="24" spans="1:5" ht="12.75">
      <c r="A24" s="67" t="s">
        <v>445</v>
      </c>
      <c r="B24" t="s">
        <v>186</v>
      </c>
      <c r="C24" s="295"/>
      <c r="D24" s="295"/>
      <c r="E24" s="313">
        <f t="shared" si="0"/>
        <v>0</v>
      </c>
    </row>
    <row r="25" spans="1:5" ht="12.75">
      <c r="A25" s="67" t="s">
        <v>124</v>
      </c>
      <c r="B25" t="s">
        <v>186</v>
      </c>
      <c r="C25" s="295"/>
      <c r="D25" s="295"/>
      <c r="E25" s="313">
        <f t="shared" si="0"/>
        <v>0</v>
      </c>
    </row>
    <row r="26" spans="1:5" ht="12.75">
      <c r="A26" s="67" t="s">
        <v>133</v>
      </c>
      <c r="B26" t="s">
        <v>186</v>
      </c>
      <c r="C26" s="295"/>
      <c r="D26" s="295"/>
      <c r="E26" s="313">
        <f t="shared" si="0"/>
        <v>0</v>
      </c>
    </row>
    <row r="27" spans="1:5" ht="12.75">
      <c r="A27" s="67" t="s">
        <v>428</v>
      </c>
      <c r="B27" t="s">
        <v>186</v>
      </c>
      <c r="C27" s="295">
        <v>3002</v>
      </c>
      <c r="D27" s="295"/>
      <c r="E27" s="313">
        <f t="shared" si="0"/>
        <v>3002</v>
      </c>
    </row>
    <row r="28" spans="1:5" ht="12.75">
      <c r="A28" s="67" t="s">
        <v>382</v>
      </c>
      <c r="B28" t="s">
        <v>186</v>
      </c>
      <c r="C28" s="295"/>
      <c r="D28" s="295"/>
      <c r="E28" s="313">
        <f t="shared" si="0"/>
        <v>0</v>
      </c>
    </row>
    <row r="29" spans="1:5" ht="12.75">
      <c r="A29" s="67" t="s">
        <v>135</v>
      </c>
      <c r="B29" t="s">
        <v>186</v>
      </c>
      <c r="C29" s="295"/>
      <c r="D29" s="295"/>
      <c r="E29" s="313">
        <f t="shared" si="0"/>
        <v>0</v>
      </c>
    </row>
    <row r="30" spans="1:5" ht="12.75">
      <c r="A30" s="67" t="s">
        <v>381</v>
      </c>
      <c r="B30" t="s">
        <v>186</v>
      </c>
      <c r="C30" s="295"/>
      <c r="D30" s="295"/>
      <c r="E30" s="313">
        <f t="shared" si="0"/>
        <v>0</v>
      </c>
    </row>
    <row r="31" spans="1:5" ht="12.75">
      <c r="A31" s="67" t="s">
        <v>191</v>
      </c>
      <c r="B31" t="s">
        <v>186</v>
      </c>
      <c r="C31" s="295"/>
      <c r="D31" s="295"/>
      <c r="E31" s="313">
        <f t="shared" si="0"/>
        <v>0</v>
      </c>
    </row>
    <row r="32" spans="1:5" ht="12.75">
      <c r="A32" s="67" t="s">
        <v>423</v>
      </c>
      <c r="B32" t="s">
        <v>186</v>
      </c>
      <c r="C32" s="479">
        <v>1348</v>
      </c>
      <c r="D32" s="295"/>
      <c r="E32" s="313">
        <f t="shared" si="0"/>
        <v>1348</v>
      </c>
    </row>
    <row r="33" spans="1:5" ht="12.75">
      <c r="A33" s="67" t="s">
        <v>424</v>
      </c>
      <c r="B33" t="s">
        <v>186</v>
      </c>
      <c r="C33" s="295"/>
      <c r="D33" s="295"/>
      <c r="E33" s="313">
        <f t="shared" si="0"/>
        <v>0</v>
      </c>
    </row>
    <row r="34" spans="1:5" ht="12.75">
      <c r="A34" s="67" t="s">
        <v>441</v>
      </c>
      <c r="B34" t="s">
        <v>186</v>
      </c>
      <c r="C34" s="295"/>
      <c r="D34" s="295"/>
      <c r="E34" s="313">
        <f t="shared" si="0"/>
        <v>0</v>
      </c>
    </row>
    <row r="35" spans="1:5" ht="12.75">
      <c r="A35" s="81" t="s">
        <v>442</v>
      </c>
      <c r="B35" t="s">
        <v>186</v>
      </c>
      <c r="C35" s="295"/>
      <c r="D35" s="295"/>
      <c r="E35" s="313"/>
    </row>
    <row r="36" spans="1:5" ht="12.75">
      <c r="A36" s="67" t="s">
        <v>425</v>
      </c>
      <c r="B36" t="s">
        <v>186</v>
      </c>
      <c r="C36" s="295"/>
      <c r="D36" s="295"/>
      <c r="E36" s="313"/>
    </row>
    <row r="37" spans="1:5" ht="12.75">
      <c r="A37" s="67" t="s">
        <v>426</v>
      </c>
      <c r="B37" t="s">
        <v>186</v>
      </c>
      <c r="C37" s="295"/>
      <c r="D37" s="295"/>
      <c r="E37" s="313"/>
    </row>
    <row r="38" spans="1:5" ht="12.75">
      <c r="A38" s="81" t="s">
        <v>474</v>
      </c>
      <c r="B38" t="s">
        <v>186</v>
      </c>
      <c r="C38" s="295"/>
      <c r="D38" s="295"/>
      <c r="E38" s="313"/>
    </row>
    <row r="39" spans="2:5" ht="12.75">
      <c r="B39" t="s">
        <v>186</v>
      </c>
      <c r="C39" s="295"/>
      <c r="D39" s="295"/>
      <c r="E39" s="313">
        <f t="shared" si="0"/>
        <v>0</v>
      </c>
    </row>
    <row r="40" spans="1:5" ht="12.75">
      <c r="A40" s="81" t="s">
        <v>379</v>
      </c>
      <c r="B40" t="s">
        <v>186</v>
      </c>
      <c r="C40" s="295"/>
      <c r="D40" s="295"/>
      <c r="E40" s="313">
        <f t="shared" si="0"/>
        <v>0</v>
      </c>
    </row>
    <row r="41" spans="1:5" ht="12.75">
      <c r="A41" s="67" t="s">
        <v>448</v>
      </c>
      <c r="B41" t="s">
        <v>186</v>
      </c>
      <c r="C41" s="295"/>
      <c r="D41" s="295"/>
      <c r="E41" s="313">
        <f t="shared" si="0"/>
        <v>0</v>
      </c>
    </row>
    <row r="42" spans="2:5" ht="12.75">
      <c r="B42" t="s">
        <v>186</v>
      </c>
      <c r="C42" s="295"/>
      <c r="D42" s="295"/>
      <c r="E42" s="313">
        <f t="shared" si="0"/>
        <v>0</v>
      </c>
    </row>
    <row r="43" spans="1:5" ht="12.75">
      <c r="A43" s="68" t="s">
        <v>203</v>
      </c>
      <c r="B43" t="s">
        <v>186</v>
      </c>
      <c r="C43" s="295"/>
      <c r="D43" s="295"/>
      <c r="E43" s="313">
        <f t="shared" si="0"/>
        <v>0</v>
      </c>
    </row>
    <row r="44" spans="1:5" ht="12.75">
      <c r="A44" t="s">
        <v>473</v>
      </c>
      <c r="B44" t="s">
        <v>186</v>
      </c>
      <c r="C44" s="294"/>
      <c r="D44" s="294"/>
      <c r="E44" s="251">
        <f t="shared" si="0"/>
        <v>0</v>
      </c>
    </row>
    <row r="45" spans="2:5" ht="12.75">
      <c r="B45" t="s">
        <v>186</v>
      </c>
      <c r="C45" s="294"/>
      <c r="D45" s="294"/>
      <c r="E45" s="251">
        <f t="shared" si="0"/>
        <v>0</v>
      </c>
    </row>
    <row r="46" spans="1:5" ht="12.75">
      <c r="A46" s="67"/>
      <c r="B46" t="s">
        <v>186</v>
      </c>
      <c r="C46" s="294"/>
      <c r="D46" s="294"/>
      <c r="E46" s="279"/>
    </row>
    <row r="47" spans="1:5" ht="12.75">
      <c r="A47" s="443" t="s">
        <v>387</v>
      </c>
      <c r="B47" t="s">
        <v>188</v>
      </c>
      <c r="C47" s="251">
        <f>SUM(C19:C46)</f>
        <v>4350</v>
      </c>
      <c r="D47" s="251">
        <f>SUM(D19:D46)</f>
        <v>0</v>
      </c>
      <c r="E47" s="251">
        <f>SUM(E19:E46)</f>
        <v>4350</v>
      </c>
    </row>
    <row r="48" ht="12.75">
      <c r="A48" s="67"/>
    </row>
    <row r="49" ht="12.75">
      <c r="A49" s="81" t="s">
        <v>144</v>
      </c>
    </row>
    <row r="51" spans="1:5" ht="12.75">
      <c r="A51" s="71" t="s">
        <v>380</v>
      </c>
      <c r="B51" s="8" t="s">
        <v>187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444</v>
      </c>
      <c r="B52" s="8" t="s">
        <v>187</v>
      </c>
      <c r="C52" s="294"/>
      <c r="D52" s="294"/>
      <c r="E52" s="251">
        <f t="shared" si="1"/>
        <v>0</v>
      </c>
    </row>
    <row r="53" spans="1:5" ht="12.75">
      <c r="A53" t="s">
        <v>381</v>
      </c>
      <c r="B53" s="8" t="s">
        <v>187</v>
      </c>
      <c r="C53" s="294"/>
      <c r="D53" s="294"/>
      <c r="E53" s="251">
        <f t="shared" si="1"/>
        <v>0</v>
      </c>
    </row>
    <row r="54" spans="1:5" ht="12.75">
      <c r="A54" t="s">
        <v>427</v>
      </c>
      <c r="B54" s="8" t="s">
        <v>187</v>
      </c>
      <c r="C54" s="294"/>
      <c r="D54" s="294"/>
      <c r="E54" s="251">
        <f t="shared" si="1"/>
        <v>0</v>
      </c>
    </row>
    <row r="55" spans="1:5" ht="12.75">
      <c r="A55" s="67" t="s">
        <v>435</v>
      </c>
      <c r="B55" s="8" t="s">
        <v>187</v>
      </c>
      <c r="C55" s="294"/>
      <c r="D55" s="294"/>
      <c r="E55" s="251">
        <f t="shared" si="1"/>
        <v>0</v>
      </c>
    </row>
    <row r="56" spans="1:5" ht="12.75">
      <c r="A56" s="67" t="s">
        <v>447</v>
      </c>
      <c r="B56" s="8" t="s">
        <v>187</v>
      </c>
      <c r="C56" s="294"/>
      <c r="D56" s="294"/>
      <c r="E56" s="251">
        <f t="shared" si="1"/>
        <v>0</v>
      </c>
    </row>
    <row r="57" spans="1:5" ht="12.75">
      <c r="A57" s="2" t="s">
        <v>443</v>
      </c>
      <c r="B57" s="8" t="s">
        <v>187</v>
      </c>
      <c r="C57" s="294"/>
      <c r="D57" s="294"/>
      <c r="E57" s="251">
        <f t="shared" si="1"/>
        <v>0</v>
      </c>
    </row>
    <row r="58" spans="1:5" ht="12.75">
      <c r="A58" s="67" t="s">
        <v>446</v>
      </c>
      <c r="B58" s="8" t="s">
        <v>187</v>
      </c>
      <c r="C58" s="294"/>
      <c r="D58" s="294"/>
      <c r="E58" s="251">
        <f t="shared" si="1"/>
        <v>0</v>
      </c>
    </row>
    <row r="59" spans="1:5" ht="12.75">
      <c r="A59" s="67"/>
      <c r="B59" s="8" t="s">
        <v>187</v>
      </c>
      <c r="C59" s="294"/>
      <c r="D59" s="294"/>
      <c r="E59" s="251">
        <f t="shared" si="1"/>
        <v>0</v>
      </c>
    </row>
    <row r="60" spans="1:5" ht="12.75">
      <c r="A60" s="462" t="s">
        <v>475</v>
      </c>
      <c r="B60" s="8" t="s">
        <v>187</v>
      </c>
      <c r="C60" s="294"/>
      <c r="D60" s="294"/>
      <c r="E60" s="251">
        <f t="shared" si="1"/>
        <v>0</v>
      </c>
    </row>
    <row r="61" spans="2:5" ht="12.75">
      <c r="B61" s="8" t="s">
        <v>187</v>
      </c>
      <c r="C61" s="294"/>
      <c r="D61" s="294"/>
      <c r="E61" s="251">
        <f t="shared" si="1"/>
        <v>0</v>
      </c>
    </row>
    <row r="62" spans="1:5" ht="12.75">
      <c r="A62" s="462" t="s">
        <v>379</v>
      </c>
      <c r="B62" s="8" t="s">
        <v>187</v>
      </c>
      <c r="C62" s="294"/>
      <c r="D62" s="294"/>
      <c r="E62" s="251">
        <f aca="true" t="shared" si="2" ref="E62:E72">C62-D62</f>
        <v>0</v>
      </c>
    </row>
    <row r="63" spans="1:5" ht="12.75">
      <c r="A63" s="485" t="s">
        <v>504</v>
      </c>
      <c r="B63" s="8" t="s">
        <v>187</v>
      </c>
      <c r="C63" s="294"/>
      <c r="D63" s="294"/>
      <c r="E63" s="251">
        <f t="shared" si="2"/>
        <v>0</v>
      </c>
    </row>
    <row r="64" spans="1:5" ht="12.75">
      <c r="A64" s="485"/>
      <c r="B64" s="8" t="s">
        <v>187</v>
      </c>
      <c r="C64" s="294"/>
      <c r="D64" s="294"/>
      <c r="E64" s="251">
        <f t="shared" si="2"/>
        <v>0</v>
      </c>
    </row>
    <row r="65" spans="1:5" ht="12.75">
      <c r="A65" s="485"/>
      <c r="B65" s="8" t="s">
        <v>187</v>
      </c>
      <c r="C65" s="294"/>
      <c r="D65" s="294"/>
      <c r="E65" s="251">
        <f t="shared" si="2"/>
        <v>0</v>
      </c>
    </row>
    <row r="66" spans="2:5" ht="12.75">
      <c r="B66" s="8" t="s">
        <v>187</v>
      </c>
      <c r="C66" s="294"/>
      <c r="D66" s="294"/>
      <c r="E66" s="251">
        <f t="shared" si="2"/>
        <v>0</v>
      </c>
    </row>
    <row r="67" spans="1:5" ht="12.75">
      <c r="A67" s="67"/>
      <c r="B67" s="8" t="s">
        <v>187</v>
      </c>
      <c r="C67" s="294"/>
      <c r="D67" s="294"/>
      <c r="E67" s="251">
        <f t="shared" si="2"/>
        <v>0</v>
      </c>
    </row>
    <row r="68" spans="1:5" ht="12.75">
      <c r="A68" s="68" t="s">
        <v>204</v>
      </c>
      <c r="B68" s="8" t="s">
        <v>187</v>
      </c>
      <c r="C68" s="294"/>
      <c r="D68" s="294"/>
      <c r="E68" s="251">
        <f t="shared" si="2"/>
        <v>0</v>
      </c>
    </row>
    <row r="69" spans="1:5" ht="12.75">
      <c r="A69" s="67" t="s">
        <v>476</v>
      </c>
      <c r="B69" s="8" t="s">
        <v>187</v>
      </c>
      <c r="C69" s="294"/>
      <c r="D69" s="294"/>
      <c r="E69" s="251">
        <f t="shared" si="2"/>
        <v>0</v>
      </c>
    </row>
    <row r="70" spans="1:5" ht="12.75">
      <c r="A70" s="486" t="s">
        <v>483</v>
      </c>
      <c r="B70" s="8" t="s">
        <v>187</v>
      </c>
      <c r="C70" s="294"/>
      <c r="D70" s="294"/>
      <c r="E70" s="251">
        <f t="shared" si="2"/>
        <v>0</v>
      </c>
    </row>
    <row r="71" spans="1:5" ht="12.75">
      <c r="A71" s="488" t="s">
        <v>485</v>
      </c>
      <c r="B71" s="8" t="s">
        <v>187</v>
      </c>
      <c r="C71" s="294"/>
      <c r="D71" s="294"/>
      <c r="E71" s="251">
        <f t="shared" si="2"/>
        <v>0</v>
      </c>
    </row>
    <row r="72" spans="1:5" ht="12.75">
      <c r="A72" s="488" t="s">
        <v>486</v>
      </c>
      <c r="B72" s="8" t="s">
        <v>187</v>
      </c>
      <c r="C72" s="294"/>
      <c r="D72" s="294"/>
      <c r="E72" s="279">
        <f t="shared" si="2"/>
        <v>0</v>
      </c>
    </row>
    <row r="73" spans="1:5" ht="12.75">
      <c r="A73" s="442" t="s">
        <v>386</v>
      </c>
      <c r="B73" s="8" t="s">
        <v>188</v>
      </c>
      <c r="C73" s="251">
        <f>SUM(C51:C72)</f>
        <v>0</v>
      </c>
      <c r="D73" s="251">
        <f>SUM(D51:D72)</f>
        <v>0</v>
      </c>
      <c r="E73" s="251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5905511811023623" bottom="0.2362204724409449" header="0.1968503937007874" footer="0"/>
  <pageSetup fitToHeight="1" fitToWidth="1" horizontalDpi="600" verticalDpi="600" orientation="portrait" scale="72" r:id="rId1"/>
  <headerFooter alignWithMargins="0"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1">
      <selection activeCell="A26" sqref="A26:F26"/>
    </sheetView>
  </sheetViews>
  <sheetFormatPr defaultColWidth="9.140625" defaultRowHeight="12.75"/>
  <cols>
    <col min="1" max="1" width="23.8515625" style="0" customWidth="1"/>
    <col min="2" max="2" width="7.57421875" style="8" customWidth="1"/>
    <col min="3" max="3" width="10.28125" style="8" customWidth="1"/>
    <col min="4" max="4" width="6.7109375" style="8" customWidth="1"/>
    <col min="5" max="5" width="9.7109375" style="8" customWidth="1"/>
    <col min="6" max="6" width="10.421875" style="8" customWidth="1"/>
    <col min="7" max="7" width="3.421875" style="0" customWidth="1"/>
    <col min="8" max="8" width="10.140625" style="0" bestFit="1" customWidth="1"/>
    <col min="9" max="9" width="0.9921875" style="0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ED-2002-0511</v>
      </c>
      <c r="B1" s="385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106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301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Centre Wellington Hydro Ltd.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2001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0" t="s">
        <v>331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0" t="s">
        <v>469</v>
      </c>
      <c r="B8" s="511"/>
      <c r="C8" s="511"/>
      <c r="D8" s="511"/>
      <c r="E8" s="343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111</v>
      </c>
      <c r="B9" s="326"/>
      <c r="C9" s="373">
        <v>0</v>
      </c>
      <c r="D9" s="373"/>
      <c r="E9" s="373">
        <v>50000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457</v>
      </c>
      <c r="B10" s="327"/>
      <c r="C10" s="375" t="s">
        <v>110</v>
      </c>
      <c r="D10" s="375"/>
      <c r="E10" s="375" t="s">
        <v>110</v>
      </c>
      <c r="F10" s="376" t="s">
        <v>464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115</v>
      </c>
      <c r="C11" s="377">
        <v>50000</v>
      </c>
      <c r="D11" s="377"/>
      <c r="E11" s="377">
        <v>175000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107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294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293</v>
      </c>
      <c r="B14" s="245"/>
      <c r="C14" s="328">
        <v>0.1312</v>
      </c>
      <c r="D14" s="328"/>
      <c r="E14" s="329">
        <v>0.2812</v>
      </c>
      <c r="F14" s="329">
        <v>0.2812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298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254</v>
      </c>
      <c r="B16" s="245"/>
      <c r="C16" s="332">
        <f>SUM(C14:C15)</f>
        <v>0.1912</v>
      </c>
      <c r="D16" s="332"/>
      <c r="E16" s="333">
        <f>SUM(E14:E15)</f>
        <v>0.3412</v>
      </c>
      <c r="F16" s="333">
        <f>SUM(F14:F15)</f>
        <v>0.4062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108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109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112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7" thickBot="1">
      <c r="A21" s="325" t="s">
        <v>325</v>
      </c>
      <c r="B21" s="406" t="s">
        <v>465</v>
      </c>
      <c r="C21" s="481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.75" thickBot="1">
      <c r="A22" s="325" t="s">
        <v>326</v>
      </c>
      <c r="B22" s="407" t="s">
        <v>466</v>
      </c>
      <c r="C22" s="482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4" t="s">
        <v>463</v>
      </c>
      <c r="B23" s="505"/>
      <c r="C23" s="505"/>
      <c r="D23" s="505"/>
      <c r="E23" s="505"/>
      <c r="F23" s="505"/>
      <c r="G23" s="433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3"/>
      <c r="E25" s="343"/>
      <c r="F25" s="410" t="s">
        <v>332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0" t="s">
        <v>467</v>
      </c>
      <c r="B26" s="511"/>
      <c r="C26" s="511"/>
      <c r="D26" s="511"/>
      <c r="E26" s="511"/>
      <c r="F26" s="511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111</v>
      </c>
      <c r="B27" s="326"/>
      <c r="C27" s="367">
        <v>0</v>
      </c>
      <c r="D27" s="367"/>
      <c r="E27" s="367">
        <v>50000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431</v>
      </c>
      <c r="B28" s="327"/>
      <c r="C28" s="369" t="s">
        <v>110</v>
      </c>
      <c r="D28" s="369"/>
      <c r="E28" s="369" t="s">
        <v>110</v>
      </c>
      <c r="F28" s="370" t="s">
        <v>464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115</v>
      </c>
      <c r="C29" s="371">
        <v>50000</v>
      </c>
      <c r="D29" s="371"/>
      <c r="E29" s="371">
        <v>175000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107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114</v>
      </c>
      <c r="B31" s="409">
        <v>2001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293</v>
      </c>
      <c r="B32" s="409">
        <v>2001</v>
      </c>
      <c r="C32" s="328">
        <v>0.1312</v>
      </c>
      <c r="D32" s="328"/>
      <c r="E32" s="329">
        <v>0.1312</v>
      </c>
      <c r="F32" s="329">
        <v>0.1312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09">
        <v>2001</v>
      </c>
      <c r="C33" s="330">
        <v>0.06</v>
      </c>
      <c r="D33" s="330"/>
      <c r="E33" s="331">
        <v>0.06</v>
      </c>
      <c r="F33" s="331">
        <v>0.06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254</v>
      </c>
      <c r="B34" s="409">
        <v>2001</v>
      </c>
      <c r="C34" s="332">
        <f>SUM(C32:C33)</f>
        <v>0.1912</v>
      </c>
      <c r="D34" s="332"/>
      <c r="E34" s="333">
        <f>SUM(E32:E33)</f>
        <v>0.1912</v>
      </c>
      <c r="F34" s="333">
        <f>SUM(F32:F33)</f>
        <v>0.1912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108</v>
      </c>
      <c r="B36" s="409">
        <v>2001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109</v>
      </c>
      <c r="B37" s="409">
        <v>2001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112</v>
      </c>
      <c r="B38" s="409">
        <v>2001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7" thickBot="1">
      <c r="A39" s="325" t="s">
        <v>470</v>
      </c>
      <c r="B39" s="406" t="s">
        <v>465</v>
      </c>
      <c r="C39" s="481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.75" thickBot="1">
      <c r="A40" s="325" t="s">
        <v>471</v>
      </c>
      <c r="B40" s="407" t="s">
        <v>466</v>
      </c>
      <c r="C40" s="482">
        <v>10000000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6" t="s">
        <v>329</v>
      </c>
      <c r="B41" s="505"/>
      <c r="C41" s="505"/>
      <c r="D41" s="505"/>
      <c r="E41" s="505"/>
      <c r="F41" s="505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7"/>
      <c r="B42" s="507"/>
      <c r="C42" s="507"/>
      <c r="D42" s="507"/>
      <c r="E42" s="507"/>
      <c r="F42" s="507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333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468</v>
      </c>
      <c r="B44" s="365"/>
      <c r="C44" s="366"/>
      <c r="D44" s="365"/>
      <c r="E44" s="343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111</v>
      </c>
      <c r="B45" s="326"/>
      <c r="C45" s="367">
        <v>0</v>
      </c>
      <c r="D45" s="367"/>
      <c r="E45" s="367">
        <v>50000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69" t="s">
        <v>110</v>
      </c>
      <c r="D46" s="369"/>
      <c r="E46" s="369" t="s">
        <v>110</v>
      </c>
      <c r="F46" s="370" t="s">
        <v>464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115</v>
      </c>
      <c r="C47" s="371">
        <v>50000</v>
      </c>
      <c r="D47" s="371"/>
      <c r="E47" s="371">
        <v>175000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107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114</v>
      </c>
      <c r="B49" s="409">
        <v>2001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293</v>
      </c>
      <c r="B50" s="245"/>
      <c r="C50" s="352">
        <f>TAXREC!C149</f>
        <v>0</v>
      </c>
      <c r="D50" s="352"/>
      <c r="E50" s="353"/>
      <c r="F50" s="353"/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f>TAXREC!C150</f>
        <v>0</v>
      </c>
      <c r="D51" s="354"/>
      <c r="E51" s="355"/>
      <c r="F51" s="355"/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254</v>
      </c>
      <c r="B52" s="245"/>
      <c r="C52" s="332">
        <f>SUM(C50:C51)</f>
        <v>0</v>
      </c>
      <c r="D52" s="332"/>
      <c r="E52" s="333">
        <f>SUM(E50:E51)</f>
        <v>0</v>
      </c>
      <c r="F52" s="333">
        <f>SUM(F50:F51)</f>
        <v>0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108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109</v>
      </c>
      <c r="B55" s="238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112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7" thickBot="1">
      <c r="A57" s="325" t="s">
        <v>342</v>
      </c>
      <c r="B57" s="406" t="s">
        <v>465</v>
      </c>
      <c r="C57" s="362">
        <v>5000000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.75" thickBot="1">
      <c r="A58" s="325" t="s">
        <v>343</v>
      </c>
      <c r="B58" s="407" t="s">
        <v>466</v>
      </c>
      <c r="C58" s="482">
        <v>10000000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4" t="s">
        <v>344</v>
      </c>
      <c r="B59" s="508"/>
      <c r="C59" s="508"/>
      <c r="D59" s="508"/>
      <c r="E59" s="508"/>
      <c r="F59" s="508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9"/>
      <c r="B60" s="509"/>
      <c r="C60" s="509"/>
      <c r="D60" s="509"/>
      <c r="E60" s="509"/>
      <c r="F60" s="509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15748031496062992" bottom="0.984251968503937" header="0.5118110236220472" footer="0"/>
  <pageSetup fitToHeight="1" fitToWidth="1" horizontalDpi="600" verticalDpi="600" orientation="portrait" scale="75" r:id="rId1"/>
  <headerFooter alignWithMargins="0"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ED-2002-0511</v>
      </c>
    </row>
    <row r="2" spans="1:2" ht="12.75">
      <c r="A2" s="2" t="s">
        <v>449</v>
      </c>
      <c r="B2" s="2"/>
    </row>
    <row r="3" spans="1:15" ht="12.75">
      <c r="A3" s="2" t="str">
        <f>REGINFO!A3</f>
        <v>Centre Wellington Hydro Ltd.</v>
      </c>
      <c r="O3" s="416" t="str">
        <f>REGINFO!E1</f>
        <v>Version 2009.1</v>
      </c>
    </row>
    <row r="4" spans="1:15" ht="12.75">
      <c r="A4" s="2" t="str">
        <f>REGINFO!A4</f>
        <v>Reporting period:  2001</v>
      </c>
      <c r="E4" s="417" t="s">
        <v>314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94</v>
      </c>
      <c r="C8" s="50">
        <v>37104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95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103</v>
      </c>
    </row>
    <row r="10" spans="1:8" ht="12.75">
      <c r="A10" s="2"/>
      <c r="F10" s="34"/>
      <c r="H10" s="34"/>
    </row>
    <row r="11" spans="1:15" ht="20.25" customHeight="1">
      <c r="A11" s="81" t="s">
        <v>104</v>
      </c>
      <c r="B11" s="8" t="s">
        <v>188</v>
      </c>
      <c r="C11" s="394">
        <v>0</v>
      </c>
      <c r="D11" s="390"/>
      <c r="E11" s="396">
        <f>C22</f>
        <v>0</v>
      </c>
      <c r="F11" s="419"/>
      <c r="G11" s="396">
        <f>E22</f>
        <v>0</v>
      </c>
      <c r="H11" s="419"/>
      <c r="I11" s="396">
        <f>G22</f>
        <v>0</v>
      </c>
      <c r="J11" s="390"/>
      <c r="K11" s="396">
        <f>I22</f>
        <v>0</v>
      </c>
      <c r="L11" s="390"/>
      <c r="M11" s="396">
        <f>K22</f>
        <v>0</v>
      </c>
      <c r="N11" s="390"/>
      <c r="O11" s="396">
        <f>C11</f>
        <v>0</v>
      </c>
    </row>
    <row r="12" spans="1:15" ht="27" customHeight="1">
      <c r="A12" s="81" t="s">
        <v>388</v>
      </c>
      <c r="B12" s="66" t="s">
        <v>189</v>
      </c>
      <c r="C12" s="395"/>
      <c r="D12" s="391"/>
      <c r="E12" s="395"/>
      <c r="F12" s="95"/>
      <c r="G12" s="418">
        <f>C12+E12</f>
        <v>0</v>
      </c>
      <c r="H12" s="95"/>
      <c r="I12" s="418">
        <f>(E12/12*9)+(G12/12*3)</f>
        <v>0</v>
      </c>
      <c r="J12" s="391"/>
      <c r="K12" s="418">
        <f>E12/12*3</f>
        <v>0</v>
      </c>
      <c r="L12" s="391"/>
      <c r="M12" s="418">
        <f>K13/9*12/4</f>
        <v>0</v>
      </c>
      <c r="N12" s="391"/>
      <c r="O12" s="396">
        <f aca="true" t="shared" si="0" ref="O12:O20">SUM(C12:N12)</f>
        <v>0</v>
      </c>
    </row>
    <row r="13" spans="1:15" ht="27" customHeight="1">
      <c r="A13" s="81" t="s">
        <v>430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/>
      <c r="L13" s="391"/>
      <c r="M13" s="418"/>
      <c r="N13" s="391"/>
      <c r="O13" s="396">
        <f t="shared" si="0"/>
        <v>0</v>
      </c>
    </row>
    <row r="14" spans="1:15" ht="26.25">
      <c r="A14" s="81" t="s">
        <v>389</v>
      </c>
      <c r="B14" s="66" t="s">
        <v>189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390</v>
      </c>
      <c r="B15" s="66" t="s">
        <v>189</v>
      </c>
      <c r="C15" s="395"/>
      <c r="D15" s="391"/>
      <c r="E15" s="395"/>
      <c r="F15" s="95"/>
      <c r="G15" s="395"/>
      <c r="H15" s="95"/>
      <c r="I15" s="395"/>
      <c r="J15" s="391"/>
      <c r="K15" s="395"/>
      <c r="L15" s="391"/>
      <c r="M15" s="418">
        <f>TAXCALC!E132</f>
        <v>0</v>
      </c>
      <c r="N15" s="391"/>
      <c r="O15" s="396">
        <f t="shared" si="0"/>
        <v>0</v>
      </c>
    </row>
    <row r="16" spans="1:15" ht="27" customHeight="1">
      <c r="A16" s="81" t="s">
        <v>391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392</v>
      </c>
      <c r="B17" s="66" t="s">
        <v>189</v>
      </c>
      <c r="C17" s="395"/>
      <c r="D17" s="391"/>
      <c r="E17" s="395"/>
      <c r="F17" s="95"/>
      <c r="G17" s="395"/>
      <c r="H17" s="95"/>
      <c r="I17" s="395"/>
      <c r="J17" s="391"/>
      <c r="K17" s="395"/>
      <c r="L17" s="391"/>
      <c r="M17" s="418">
        <f>TAXCALC!E181</f>
        <v>-4277.465853163152</v>
      </c>
      <c r="N17" s="391"/>
      <c r="O17" s="396">
        <f t="shared" si="0"/>
        <v>-4277.465853163152</v>
      </c>
    </row>
    <row r="18" spans="1:15" ht="26.25">
      <c r="A18" s="81" t="s">
        <v>393</v>
      </c>
      <c r="B18" s="66" t="s">
        <v>189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27" t="s">
        <v>394</v>
      </c>
      <c r="B19" s="66" t="s">
        <v>189</v>
      </c>
      <c r="C19" s="395"/>
      <c r="D19" s="391"/>
      <c r="E19" s="395"/>
      <c r="F19" s="95"/>
      <c r="G19" s="395"/>
      <c r="H19" s="95"/>
      <c r="I19" s="395"/>
      <c r="J19" s="391"/>
      <c r="K19" s="395"/>
      <c r="L19" s="391"/>
      <c r="M19" s="395"/>
      <c r="N19" s="391"/>
      <c r="O19" s="396">
        <f t="shared" si="0"/>
        <v>0</v>
      </c>
    </row>
    <row r="20" spans="1:15" ht="24.75" customHeight="1">
      <c r="A20" s="81" t="s">
        <v>458</v>
      </c>
      <c r="B20" s="66" t="s">
        <v>187</v>
      </c>
      <c r="C20" s="418">
        <v>0</v>
      </c>
      <c r="D20" s="391"/>
      <c r="E20" s="395"/>
      <c r="F20" s="95"/>
      <c r="G20" s="395"/>
      <c r="H20" s="95"/>
      <c r="I20" s="395"/>
      <c r="J20" s="391"/>
      <c r="K20" s="395"/>
      <c r="L20" s="391"/>
      <c r="M20" s="395"/>
      <c r="N20" s="391"/>
      <c r="O20" s="396">
        <f t="shared" si="0"/>
        <v>0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366</v>
      </c>
      <c r="B22" s="34"/>
      <c r="C22" s="397">
        <f>SUM(C11:C20)</f>
        <v>0</v>
      </c>
      <c r="D22" s="419"/>
      <c r="E22" s="397">
        <f>SUM(E11:E20)</f>
        <v>0</v>
      </c>
      <c r="F22" s="419"/>
      <c r="G22" s="397">
        <f>SUM(G11:G20)</f>
        <v>0</v>
      </c>
      <c r="H22" s="419"/>
      <c r="I22" s="397">
        <f>SUM(I11:I20)</f>
        <v>0</v>
      </c>
      <c r="J22" s="390"/>
      <c r="K22" s="397">
        <f>SUM(K11:K20)</f>
        <v>0</v>
      </c>
      <c r="L22" s="390"/>
      <c r="M22" s="397">
        <f>SUM(M11:M21)</f>
        <v>-4277.465853163152</v>
      </c>
      <c r="N22" s="390"/>
      <c r="O22" s="444">
        <f>SUM(O11:O20)</f>
        <v>-4277.465853163152</v>
      </c>
    </row>
    <row r="23" spans="1:15" ht="13.5" thickTop="1">
      <c r="A23" s="428"/>
      <c r="B23" s="429"/>
      <c r="C23" s="435"/>
      <c r="D23" s="436"/>
      <c r="E23" s="435"/>
      <c r="F23" s="436"/>
      <c r="G23" s="435"/>
      <c r="H23" s="436"/>
      <c r="I23" s="435"/>
      <c r="J23" s="429"/>
      <c r="K23" s="435"/>
      <c r="L23" s="188"/>
      <c r="M23" s="437"/>
      <c r="N23" s="188"/>
      <c r="O23" s="437"/>
    </row>
    <row r="24" spans="1:15" ht="12.75">
      <c r="A24" s="450"/>
      <c r="B24" s="451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3"/>
    </row>
    <row r="25" spans="1:15" ht="12.75">
      <c r="A25" s="428"/>
      <c r="B25" s="429"/>
      <c r="C25" s="454"/>
      <c r="D25" s="454"/>
      <c r="E25" s="454"/>
      <c r="F25" s="454"/>
      <c r="G25" s="454"/>
      <c r="H25" s="454"/>
      <c r="I25" s="454"/>
      <c r="J25" s="455"/>
      <c r="K25" s="454"/>
      <c r="L25" s="456"/>
      <c r="M25" s="457"/>
      <c r="N25" s="456"/>
      <c r="O25" s="457"/>
    </row>
    <row r="26" spans="1:15" ht="12.75">
      <c r="A26" s="428" t="s">
        <v>395</v>
      </c>
      <c r="B26" s="429"/>
      <c r="C26" s="454"/>
      <c r="D26" s="454"/>
      <c r="E26" s="454"/>
      <c r="F26" s="454"/>
      <c r="G26" s="454"/>
      <c r="H26" s="454"/>
      <c r="I26" s="454"/>
      <c r="J26" s="455"/>
      <c r="K26" s="454"/>
      <c r="L26" s="456"/>
      <c r="M26" s="457"/>
      <c r="N26" s="456"/>
      <c r="O26" s="457"/>
    </row>
    <row r="27" spans="1:15" ht="9" customHeight="1">
      <c r="A27" s="428"/>
      <c r="B27" s="429"/>
      <c r="C27" s="429"/>
      <c r="D27" s="429"/>
      <c r="E27" s="429"/>
      <c r="F27" s="429"/>
      <c r="G27" s="429"/>
      <c r="H27" s="429"/>
      <c r="I27" s="429"/>
      <c r="J27" s="429"/>
      <c r="K27" s="430"/>
      <c r="L27" s="188"/>
      <c r="M27" s="188"/>
      <c r="N27" s="188"/>
      <c r="O27" s="188"/>
    </row>
    <row r="28" spans="1:15" ht="12.75">
      <c r="A28" s="428" t="s">
        <v>396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188"/>
      <c r="M28" s="188"/>
      <c r="N28" s="188"/>
      <c r="O28" s="188"/>
    </row>
    <row r="29" spans="1:15" ht="12.75">
      <c r="A29" s="431" t="s">
        <v>397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188"/>
      <c r="M29" s="188"/>
      <c r="N29" s="188"/>
      <c r="O29" s="188"/>
    </row>
    <row r="30" spans="1:15" ht="9" customHeight="1">
      <c r="A30" s="18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188"/>
      <c r="M30" s="188"/>
      <c r="N30" s="188"/>
      <c r="O30" s="188"/>
    </row>
    <row r="31" spans="1:15" ht="12.75">
      <c r="A31" s="445" t="s">
        <v>398</v>
      </c>
      <c r="B31" s="80"/>
      <c r="C31" s="80"/>
      <c r="D31" s="80"/>
      <c r="E31" s="80"/>
      <c r="F31" s="80"/>
      <c r="G31" s="80"/>
      <c r="H31" s="80"/>
      <c r="I31" s="441"/>
      <c r="J31" s="441"/>
      <c r="K31" s="441"/>
      <c r="L31" s="441"/>
      <c r="M31" s="441"/>
      <c r="N31" s="441"/>
      <c r="O31" s="441"/>
    </row>
    <row r="32" spans="1:15" ht="9" customHeight="1">
      <c r="A32" s="446"/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</row>
    <row r="33" spans="1:19" ht="12.75">
      <c r="A33" s="513" t="s">
        <v>399</v>
      </c>
      <c r="B33" s="514"/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420"/>
      <c r="Q33" s="420"/>
      <c r="R33" s="420"/>
      <c r="S33" s="420"/>
    </row>
    <row r="34" spans="1:19" ht="12.75">
      <c r="A34" s="512" t="s">
        <v>400</v>
      </c>
      <c r="B34" s="515"/>
      <c r="C34" s="515"/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515"/>
      <c r="O34" s="515"/>
      <c r="P34" s="420"/>
      <c r="Q34" s="420"/>
      <c r="R34" s="420"/>
      <c r="S34" s="420"/>
    </row>
    <row r="35" spans="1:19" ht="12.75">
      <c r="A35" s="512" t="s">
        <v>421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420"/>
      <c r="Q35" s="420"/>
      <c r="R35" s="420"/>
      <c r="S35" s="420"/>
    </row>
    <row r="36" spans="1:19" ht="12.75">
      <c r="A36" s="512" t="s">
        <v>401</v>
      </c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420"/>
      <c r="Q36" s="420"/>
      <c r="R36" s="420"/>
      <c r="S36" s="420"/>
    </row>
    <row r="37" spans="1:19" ht="12.75">
      <c r="A37" s="432" t="s">
        <v>363</v>
      </c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20"/>
      <c r="Q37" s="420"/>
      <c r="R37" s="420"/>
      <c r="S37" s="420"/>
    </row>
    <row r="38" spans="1:19" ht="12.75">
      <c r="A38" s="432" t="s">
        <v>364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20"/>
      <c r="Q38" s="420"/>
      <c r="R38" s="420"/>
      <c r="S38" s="420"/>
    </row>
    <row r="39" spans="1:19" ht="12.75">
      <c r="A39" s="432" t="s">
        <v>402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20"/>
      <c r="Q39" s="420"/>
      <c r="R39" s="420"/>
      <c r="S39" s="420"/>
    </row>
    <row r="40" spans="1:19" ht="12.75">
      <c r="A40" s="432" t="s">
        <v>403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20"/>
      <c r="Q40" s="420"/>
      <c r="R40" s="420"/>
      <c r="S40" s="420"/>
    </row>
    <row r="41" spans="2:19" ht="9" customHeight="1"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20"/>
      <c r="Q41" s="420"/>
      <c r="R41" s="420"/>
      <c r="S41" s="420"/>
    </row>
    <row r="42" spans="1:15" ht="12.75">
      <c r="A42" s="434" t="s">
        <v>404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188"/>
      <c r="M42" s="188"/>
      <c r="N42" s="188"/>
      <c r="O42" s="188"/>
    </row>
    <row r="43" spans="1:15" ht="12.75">
      <c r="A43" s="429" t="s">
        <v>405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188"/>
      <c r="M43" s="188"/>
      <c r="N43" s="188"/>
      <c r="O43" s="188"/>
    </row>
    <row r="44" spans="1:15" ht="9" customHeight="1">
      <c r="A44" s="429"/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188"/>
      <c r="M44" s="188"/>
      <c r="N44" s="188"/>
      <c r="O44" s="188"/>
    </row>
    <row r="45" spans="1:15" ht="12.75">
      <c r="A45" s="434" t="s">
        <v>406</v>
      </c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188"/>
      <c r="M45" s="188"/>
      <c r="N45" s="188"/>
      <c r="O45" s="188"/>
    </row>
    <row r="46" spans="1:15" ht="12.75">
      <c r="A46" s="429" t="s">
        <v>407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188"/>
      <c r="M46" s="188"/>
      <c r="N46" s="188"/>
      <c r="O46" s="188"/>
    </row>
    <row r="47" spans="1:15" ht="9" customHeight="1">
      <c r="A47" s="429"/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188"/>
      <c r="M47" s="188"/>
      <c r="N47" s="188"/>
      <c r="O47" s="188"/>
    </row>
    <row r="48" spans="1:15" ht="12.75">
      <c r="A48" s="434" t="s">
        <v>408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188"/>
      <c r="M48" s="188"/>
      <c r="N48" s="188"/>
      <c r="O48" s="188"/>
    </row>
    <row r="49" spans="1:15" ht="12.75">
      <c r="A49" s="429" t="s">
        <v>409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188"/>
      <c r="M49" s="188"/>
      <c r="N49" s="188"/>
      <c r="O49" s="188"/>
    </row>
    <row r="50" spans="1:15" ht="9" customHeight="1">
      <c r="A50" s="429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188"/>
      <c r="M50" s="188"/>
      <c r="N50" s="188"/>
      <c r="O50" s="188"/>
    </row>
    <row r="51" spans="1:15" ht="12.75">
      <c r="A51" s="434" t="s">
        <v>410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188"/>
      <c r="M51" s="188"/>
      <c r="N51" s="188"/>
      <c r="O51" s="188"/>
    </row>
    <row r="52" spans="1:15" ht="12.75">
      <c r="A52" s="429" t="s">
        <v>407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188"/>
      <c r="M52" s="188"/>
      <c r="N52" s="188"/>
      <c r="O52" s="188"/>
    </row>
    <row r="53" spans="1:15" ht="9" customHeight="1">
      <c r="A53" s="434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188"/>
      <c r="M53" s="188"/>
      <c r="N53" s="188"/>
      <c r="O53" s="188"/>
    </row>
    <row r="54" spans="1:15" ht="12.75">
      <c r="A54" s="429" t="s">
        <v>411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188"/>
      <c r="M54" s="188"/>
      <c r="N54" s="188"/>
      <c r="O54" s="188"/>
    </row>
    <row r="55" spans="1:15" ht="9" customHeight="1">
      <c r="A55" s="42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188"/>
      <c r="M55" s="188"/>
      <c r="N55" s="188"/>
      <c r="O55" s="188"/>
    </row>
    <row r="56" spans="1:15" ht="12.75" customHeight="1">
      <c r="A56" s="434" t="s">
        <v>412</v>
      </c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188"/>
      <c r="M56" s="188"/>
      <c r="N56" s="188"/>
      <c r="O56" s="188"/>
    </row>
    <row r="57" spans="1:15" ht="9" customHeight="1">
      <c r="A57" s="429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188"/>
      <c r="M57" s="188"/>
      <c r="N57" s="188"/>
      <c r="O57" s="188"/>
    </row>
    <row r="58" spans="1:15" ht="12.75">
      <c r="A58" s="429" t="s">
        <v>413</v>
      </c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188"/>
      <c r="M58" s="188"/>
      <c r="N58" s="188"/>
      <c r="O58" s="188"/>
    </row>
    <row r="59" spans="1:15" ht="12.75">
      <c r="A59" s="429" t="s">
        <v>414</v>
      </c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188"/>
      <c r="M59" s="188"/>
      <c r="N59" s="188"/>
      <c r="O59" s="188"/>
    </row>
    <row r="60" spans="1:15" ht="12.75">
      <c r="A60" s="429" t="s">
        <v>415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188"/>
      <c r="M60" s="188"/>
      <c r="N60" s="188"/>
      <c r="O60" s="188"/>
    </row>
    <row r="61" spans="1:15" ht="12.75">
      <c r="A61" s="429" t="s">
        <v>373</v>
      </c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188"/>
      <c r="M61" s="188"/>
      <c r="N61" s="188"/>
      <c r="O61" s="188"/>
    </row>
    <row r="62" spans="1:15" ht="9" customHeight="1">
      <c r="A62" s="429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188"/>
      <c r="M62" s="188"/>
      <c r="N62" s="188"/>
      <c r="O62" s="188"/>
    </row>
    <row r="63" spans="1:15" ht="12.75">
      <c r="A63" s="429" t="s">
        <v>416</v>
      </c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188"/>
      <c r="M63" s="188"/>
      <c r="N63" s="188"/>
      <c r="O63" s="188"/>
    </row>
    <row r="64" spans="1:15" ht="12.75">
      <c r="A64" s="429" t="s">
        <v>417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188"/>
      <c r="M64" s="188"/>
      <c r="N64" s="188"/>
      <c r="O64" s="188"/>
    </row>
    <row r="65" spans="1:15" ht="12.75">
      <c r="A65" s="429" t="s">
        <v>375</v>
      </c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188"/>
      <c r="M65" s="188"/>
      <c r="N65" s="188"/>
      <c r="O65" s="188"/>
    </row>
    <row r="66" spans="1:15" ht="3.75" customHeight="1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188"/>
      <c r="M66" s="188"/>
      <c r="N66" s="188"/>
      <c r="O66" s="188"/>
    </row>
    <row r="67" spans="1:15" ht="12.75">
      <c r="A67" s="429" t="s">
        <v>374</v>
      </c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188"/>
      <c r="M67" s="188"/>
      <c r="N67" s="188"/>
      <c r="O67" s="188"/>
    </row>
    <row r="68" spans="1:15" ht="12.75">
      <c r="A68" s="429" t="s">
        <v>376</v>
      </c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188"/>
      <c r="M68" s="188"/>
      <c r="N68" s="188"/>
      <c r="O68" s="188"/>
    </row>
    <row r="69" spans="1:15" ht="3.75" customHeight="1">
      <c r="A69" s="429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188"/>
      <c r="M69" s="188"/>
      <c r="N69" s="188"/>
      <c r="O69" s="188"/>
    </row>
    <row r="70" spans="1:15" ht="12.75">
      <c r="A70" s="429" t="s">
        <v>418</v>
      </c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188"/>
      <c r="M70" s="188"/>
      <c r="N70" s="188"/>
      <c r="O70" s="188"/>
    </row>
    <row r="71" spans="1:15" ht="12.75">
      <c r="A71" s="429" t="s">
        <v>419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188"/>
      <c r="M71" s="188"/>
      <c r="N71" s="188"/>
      <c r="O71" s="188"/>
    </row>
    <row r="72" spans="1:15" ht="12.75">
      <c r="A72" s="429" t="s">
        <v>420</v>
      </c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188"/>
      <c r="M72" s="188"/>
      <c r="N72" s="188"/>
      <c r="O72" s="188"/>
    </row>
    <row r="73" spans="1:15" ht="9" customHeight="1">
      <c r="A73" s="429"/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188"/>
      <c r="M73" s="188"/>
      <c r="N73" s="188"/>
      <c r="O73" s="188"/>
    </row>
    <row r="74" spans="1:15" ht="12.75" customHeight="1">
      <c r="A74" s="512" t="s">
        <v>450</v>
      </c>
      <c r="B74" s="512"/>
      <c r="C74" s="512"/>
      <c r="D74" s="512"/>
      <c r="E74" s="512"/>
      <c r="F74" s="512"/>
      <c r="G74" s="512"/>
      <c r="H74" s="512"/>
      <c r="I74" s="512"/>
      <c r="J74" s="512"/>
      <c r="K74" s="512"/>
      <c r="L74" s="512"/>
      <c r="M74" s="512"/>
      <c r="N74" s="512"/>
      <c r="O74" s="512"/>
    </row>
    <row r="75" spans="1:15" ht="12.75">
      <c r="A75" s="429" t="s">
        <v>365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188"/>
      <c r="M75" s="188"/>
      <c r="N75" s="188"/>
      <c r="O75" s="188"/>
    </row>
    <row r="76" spans="1:15" ht="12.75">
      <c r="A76" s="188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188"/>
      <c r="M76" s="188"/>
      <c r="N76" s="188"/>
      <c r="O76" s="188"/>
    </row>
    <row r="77" spans="1:15" ht="12.75">
      <c r="A77" s="188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188"/>
      <c r="M77" s="188"/>
      <c r="N77" s="188"/>
      <c r="O77" s="188"/>
    </row>
    <row r="78" spans="1:17" ht="12.75">
      <c r="A78" s="188"/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188"/>
      <c r="O78" s="188"/>
      <c r="P78" s="188"/>
      <c r="Q78" s="188"/>
    </row>
    <row r="79" spans="1:17" ht="12.75">
      <c r="A79" s="188"/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188"/>
      <c r="O79" s="188"/>
      <c r="P79" s="188"/>
      <c r="Q79" s="188"/>
    </row>
    <row r="80" spans="1:17" ht="12.75">
      <c r="A80" s="188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188"/>
      <c r="O80" s="188"/>
      <c r="P80" s="188"/>
      <c r="Q80" s="188"/>
    </row>
    <row r="81" spans="1:17" ht="12.75">
      <c r="A81" s="429"/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188"/>
      <c r="O81" s="188"/>
      <c r="P81" s="188"/>
      <c r="Q81" s="188"/>
    </row>
    <row r="82" spans="1:17" ht="12.75">
      <c r="A82" s="188"/>
      <c r="B82" s="188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188"/>
      <c r="O82" s="188"/>
      <c r="P82" s="188"/>
      <c r="Q82" s="188"/>
    </row>
    <row r="83" spans="1:17" ht="12.75">
      <c r="A83" s="188"/>
      <c r="B83" s="188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188"/>
      <c r="O83" s="188"/>
      <c r="P83" s="188"/>
      <c r="Q83" s="188"/>
    </row>
    <row r="84" spans="1:17" ht="12.75">
      <c r="A84" s="429"/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188"/>
      <c r="O84" s="188"/>
      <c r="P84" s="188"/>
      <c r="Q84" s="188"/>
    </row>
    <row r="85" spans="1:17" ht="12.75">
      <c r="A85" s="188"/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188"/>
      <c r="O85" s="188"/>
      <c r="P85" s="188"/>
      <c r="Q85" s="188"/>
    </row>
    <row r="86" spans="1:17" ht="12.75">
      <c r="A86" s="188"/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188"/>
      <c r="O86" s="188"/>
      <c r="P86" s="188"/>
      <c r="Q86" s="188"/>
    </row>
    <row r="87" spans="1:17" ht="12.75">
      <c r="A87" s="188"/>
      <c r="B87" s="188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188"/>
      <c r="O87" s="188"/>
      <c r="P87" s="188"/>
      <c r="Q87" s="188"/>
    </row>
    <row r="88" spans="1:17" ht="12.75">
      <c r="A88" s="188"/>
      <c r="B88" s="188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188"/>
      <c r="O88" s="188"/>
      <c r="P88" s="188"/>
      <c r="Q88" s="188"/>
    </row>
    <row r="89" spans="1:17" ht="12.75">
      <c r="A89" s="188"/>
      <c r="B89" s="188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188"/>
      <c r="O89" s="188"/>
      <c r="P89" s="188"/>
      <c r="Q89" s="188"/>
    </row>
    <row r="90" spans="1:17" ht="12.75">
      <c r="A90" s="188"/>
      <c r="B90" s="188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  <c r="N90" s="188"/>
      <c r="O90" s="188"/>
      <c r="P90" s="188"/>
      <c r="Q90" s="188"/>
    </row>
    <row r="91" spans="1:17" ht="12.75">
      <c r="A91" s="188"/>
      <c r="B91" s="188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188"/>
      <c r="O91" s="188"/>
      <c r="P91" s="188"/>
      <c r="Q91" s="188"/>
    </row>
    <row r="92" spans="1:17" ht="12.75">
      <c r="A92" s="188"/>
      <c r="B92" s="188"/>
      <c r="C92" s="512"/>
      <c r="D92" s="512"/>
      <c r="E92" s="512"/>
      <c r="F92" s="512"/>
      <c r="G92" s="512"/>
      <c r="H92" s="512"/>
      <c r="I92" s="512"/>
      <c r="J92" s="512"/>
      <c r="K92" s="512"/>
      <c r="L92" s="512"/>
      <c r="M92" s="512"/>
      <c r="N92" s="512"/>
      <c r="O92" s="512"/>
      <c r="P92" s="512"/>
      <c r="Q92" s="512"/>
    </row>
    <row r="93" spans="1:17" ht="12.75">
      <c r="A93" s="188"/>
      <c r="B93" s="188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101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101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101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6692913385826772" bottom="0.2362204724409449" header="0.15748031496062992" footer="0"/>
  <pageSetup fitToHeight="1" fitToWidth="1" horizontalDpi="600" verticalDpi="600" orientation="portrait" scale="10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Florence Thiessen</cp:lastModifiedBy>
  <cp:lastPrinted>2010-08-24T19:25:57Z</cp:lastPrinted>
  <dcterms:created xsi:type="dcterms:W3CDTF">2001-11-07T16:15:53Z</dcterms:created>
  <dcterms:modified xsi:type="dcterms:W3CDTF">2012-06-18T15:03:22Z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