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11760" activeTab="0"/>
  </bookViews>
  <sheets>
    <sheet name="App 12 - Continuity Schedule" sheetId="1" r:id="rId1"/>
    <sheet name="App 32 - Mar02 to Feb04 Revenue" sheetId="2" state="hidden" r:id="rId2"/>
    <sheet name="App 33 - Mar04 to Feb05 Revenue" sheetId="3" state="hidden" r:id="rId3"/>
    <sheet name="App 34 - Mar05 to Apr06 Revenue" sheetId="4" state="hidden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'App 12 - Continuity Schedule'!$A$1:$L$208</definedName>
    <definedName name="_xlnm.Print_Titles" localSheetId="0">'App 12 - Continuity Schedule'!$1:$2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IMBSI</author>
    <author>Ian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5" authorId="1">
      <text>
        <r>
          <rPr>
            <b/>
            <sz val="9"/>
            <rFont val="Tahoma"/>
            <family val="2"/>
          </rPr>
          <t>Ian:</t>
        </r>
        <r>
          <rPr>
            <sz val="9"/>
            <rFont val="Tahoma"/>
            <family val="2"/>
          </rPr>
          <t xml:space="preserve">
2002 PILS as per 2002 RAM until rates set for April 2004</t>
        </r>
      </text>
    </comment>
    <comment ref="B73" authorId="1">
      <text>
        <r>
          <rPr>
            <b/>
            <sz val="9"/>
            <rFont val="Tahoma"/>
            <family val="2"/>
          </rPr>
          <t>Ian:</t>
        </r>
        <r>
          <rPr>
            <sz val="9"/>
            <rFont val="Tahoma"/>
            <family val="2"/>
          </rPr>
          <t xml:space="preserve">
2005 PILS as approved in 2005 RAM, in effect for 13 months until April 30, 2006
</t>
        </r>
      </text>
    </comment>
  </commentList>
</comments>
</file>

<file path=xl/sharedStrings.xml><?xml version="1.0" encoding="utf-8"?>
<sst xmlns="http://schemas.openxmlformats.org/spreadsheetml/2006/main" count="542" uniqueCount="117">
  <si>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</si>
  <si>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</si>
  <si>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</si>
  <si>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</si>
  <si>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</si>
  <si>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</si>
  <si>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</si>
  <si>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</si>
  <si>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</si>
  <si>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</si>
  <si>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</si>
  <si>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</si>
  <si>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</si>
  <si>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</si>
  <si>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</si>
  <si>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</si>
  <si>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</si>
  <si>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</si>
  <si>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</si>
  <si>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</si>
  <si>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</si>
  <si>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</si>
  <si>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</si>
  <si>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</si>
  <si>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</si>
  <si>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</si>
  <si>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</si>
  <si>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</si>
  <si>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</si>
  <si>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</si>
  <si>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</si>
  <si>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</si>
  <si>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</si>
  <si>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</si>
  <si>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</si>
  <si>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</si>
  <si>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</si>
  <si>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</si>
  <si>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</si>
  <si>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</si>
  <si>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</si>
  <si>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</si>
  <si>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</si>
  <si>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</si>
  <si>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</si>
  <si>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</si>
  <si>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</si>
  <si>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</si>
  <si>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</si>
  <si>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</si>
  <si>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</si>
  <si>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</si>
  <si>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</si>
  <si>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</si>
  <si>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</si>
  <si>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</si>
  <si>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</si>
  <si>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</si>
  <si>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</si>
  <si>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</si>
  <si>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</si>
  <si>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</si>
  <si>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</si>
  <si>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</si>
  <si>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</si>
  <si>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</si>
  <si>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</si>
  <si>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</si>
  <si>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</si>
  <si>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</si>
  <si>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</si>
  <si>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</si>
  <si>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</si>
  <si>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</si>
  <si>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</si>
  <si>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</si>
  <si>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</si>
  <si>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</si>
  <si>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</si>
  <si>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</si>
  <si>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</si>
  <si>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</si>
  <si>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</si>
  <si>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</si>
  <si>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</si>
  <si>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</si>
  <si>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</si>
  <si>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</si>
  <si>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</si>
  <si>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</si>
  <si>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</si>
  <si>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</si>
  <si>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</si>
  <si>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</si>
  <si>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</si>
  <si>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</si>
  <si>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</si>
  <si>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</si>
  <si>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1562 Deferred PILS - Continuity Schedule</t>
  </si>
  <si>
    <t>Mar</t>
  </si>
  <si>
    <t>Unmetered Loads</t>
  </si>
  <si>
    <t>Street Lights</t>
  </si>
  <si>
    <t>Apr. 1, 2004</t>
  </si>
  <si>
    <t>Mar. 31, 2004</t>
  </si>
  <si>
    <t>Sentinel Lights</t>
  </si>
  <si>
    <t>Unmetered Scattered Load</t>
  </si>
  <si>
    <t>Feb. 29, 2004</t>
  </si>
  <si>
    <t>General Service 50 to 2,999 kW</t>
  </si>
  <si>
    <t>General Service 3,000 to 4,999 kW</t>
  </si>
  <si>
    <t>Sentinel</t>
  </si>
  <si>
    <t>Wellington North Power Inc.</t>
  </si>
  <si>
    <t>General Service &gt; 50 kW - TOU</t>
  </si>
  <si>
    <t>Note: WNP did not have any LCT included in approved PILS entitlement, therefore no adjustment to revenue required.</t>
  </si>
  <si>
    <t>2012 Proposed DRR</t>
  </si>
  <si>
    <t>2012 Proposed    Billing Determinant (kWh / kW)</t>
  </si>
  <si>
    <t>Mar. 31, 2005</t>
  </si>
  <si>
    <t>Apr. 1,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</si>
</sst>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000_-;\-&quot;$&quot;* #,##0.0000_-;_-&quot;$&quot;* &quot;-&quot;??_-;_-@_-"/>
    <numFmt numFmtId="173" formatCode="_-* #,##0_-;\-* #,##0_-;_-* &quot;-&quot;??_-;_-@_-"/>
    <numFmt numFmtId="174" formatCode="#,##0;[Red]\(#,##0\)"/>
    <numFmt numFmtId="175" formatCode="_-&quot;$&quot;* #,##0_-;\-&quot;$&quot;* #,##0_-;_-&quot;$&quot;* &quot;-&quot;??_-;_-@_-"/>
    <numFmt numFmtId="176" formatCode="#,##0.00;[Red]\(#,##0.00\)"/>
    <numFmt numFmtId="177" formatCode="_-&quot;$&quot;* #,##0.000000_-;\-&quot;$&quot;* #,##0.000000_-;_-&quot;$&quot;* &quot;-&quot;??_-;_-@_-"/>
    <numFmt numFmtId="178" formatCode="#,##0.00000;[Red]\(#,##0.00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44" fillId="0" borderId="0" xfId="0" applyFont="1" applyAlignment="1">
      <alignment/>
    </xf>
    <xf numFmtId="170" fontId="0" fillId="33" borderId="0" xfId="45" applyFont="1" applyFill="1" applyAlignment="1">
      <alignment/>
    </xf>
    <xf numFmtId="170" fontId="0" fillId="33" borderId="10" xfId="45" applyFont="1" applyFill="1" applyBorder="1" applyAlignment="1">
      <alignment/>
    </xf>
    <xf numFmtId="170" fontId="0" fillId="0" borderId="0" xfId="45" applyFont="1" applyAlignment="1">
      <alignment/>
    </xf>
    <xf numFmtId="170" fontId="44" fillId="0" borderId="0" xfId="45" applyFont="1" applyAlignment="1">
      <alignment/>
    </xf>
    <xf numFmtId="170" fontId="42" fillId="0" borderId="0" xfId="45" applyFont="1" applyAlignment="1">
      <alignment horizontal="center"/>
    </xf>
    <xf numFmtId="170" fontId="42" fillId="0" borderId="0" xfId="45" applyFont="1" applyAlignment="1">
      <alignment horizontal="center" wrapText="1"/>
    </xf>
    <xf numFmtId="170" fontId="0" fillId="0" borderId="0" xfId="45" applyFont="1" applyFill="1" applyAlignment="1">
      <alignment/>
    </xf>
    <xf numFmtId="170" fontId="0" fillId="0" borderId="10" xfId="45" applyFont="1" applyFill="1" applyBorder="1" applyAlignment="1">
      <alignment/>
    </xf>
    <xf numFmtId="170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2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44" fillId="0" borderId="0" xfId="45" applyNumberFormat="1" applyFont="1" applyAlignment="1">
      <alignment horizontal="left"/>
    </xf>
    <xf numFmtId="170" fontId="0" fillId="0" borderId="0" xfId="45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172" fontId="0" fillId="0" borderId="0" xfId="45" applyNumberFormat="1" applyFont="1" applyAlignment="1">
      <alignment/>
    </xf>
    <xf numFmtId="0" fontId="4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" fillId="0" borderId="0" xfId="56">
      <alignment/>
      <protection/>
    </xf>
    <xf numFmtId="174" fontId="4" fillId="0" borderId="0" xfId="56" applyNumberFormat="1">
      <alignment/>
      <protection/>
    </xf>
    <xf numFmtId="0" fontId="4" fillId="0" borderId="0" xfId="56" applyAlignment="1">
      <alignment horizontal="center"/>
      <protection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173" fontId="4" fillId="0" borderId="0" xfId="56" applyNumberFormat="1">
      <alignment/>
      <protection/>
    </xf>
    <xf numFmtId="0" fontId="46" fillId="0" borderId="0" xfId="0" applyFont="1" applyAlignment="1">
      <alignment/>
    </xf>
    <xf numFmtId="0" fontId="0" fillId="0" borderId="0" xfId="0" applyAlignment="1" quotePrefix="1">
      <alignment horizontal="left"/>
    </xf>
    <xf numFmtId="0" fontId="4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175" fontId="42" fillId="0" borderId="0" xfId="45" applyNumberFormat="1" applyFont="1" applyAlignment="1">
      <alignment/>
    </xf>
    <xf numFmtId="10" fontId="4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42" fillId="0" borderId="0" xfId="0" applyNumberFormat="1" applyFont="1" applyAlignment="1">
      <alignment/>
    </xf>
    <xf numFmtId="177" fontId="0" fillId="0" borderId="0" xfId="45" applyNumberFormat="1" applyFont="1" applyAlignment="1">
      <alignment/>
    </xf>
    <xf numFmtId="177" fontId="0" fillId="0" borderId="0" xfId="45" applyNumberFormat="1" applyFont="1" applyAlignment="1">
      <alignment/>
    </xf>
    <xf numFmtId="170" fontId="0" fillId="0" borderId="0" xfId="45" applyFont="1" applyAlignment="1">
      <alignment/>
    </xf>
    <xf numFmtId="0" fontId="31" fillId="34" borderId="0" xfId="0" applyFont="1" applyFill="1" applyAlignment="1">
      <alignment horizontal="center" wrapText="1"/>
    </xf>
    <xf numFmtId="0" fontId="31" fillId="34" borderId="0" xfId="0" applyFont="1" applyFill="1" applyAlignment="1">
      <alignment horizontal="center"/>
    </xf>
    <xf numFmtId="170" fontId="0" fillId="0" borderId="0" xfId="45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173" fontId="0" fillId="0" borderId="0" xfId="0" applyNumberFormat="1" applyBorder="1" applyAlignment="1">
      <alignment/>
    </xf>
    <xf numFmtId="175" fontId="0" fillId="0" borderId="0" xfId="45" applyNumberFormat="1" applyFont="1" applyFill="1" applyAlignment="1">
      <alignment/>
    </xf>
    <xf numFmtId="175" fontId="0" fillId="0" borderId="10" xfId="45" applyNumberFormat="1" applyFont="1" applyFill="1" applyBorder="1" applyAlignment="1">
      <alignment/>
    </xf>
    <xf numFmtId="37" fontId="4" fillId="0" borderId="0" xfId="56" applyNumberFormat="1" applyFill="1">
      <alignment/>
      <protection/>
    </xf>
    <xf numFmtId="172" fontId="0" fillId="0" borderId="0" xfId="45" applyNumberFormat="1" applyFont="1" applyAlignment="1">
      <alignment/>
    </xf>
    <xf numFmtId="170" fontId="42" fillId="0" borderId="0" xfId="45" applyFont="1" applyAlignment="1">
      <alignment horizontal="center"/>
    </xf>
    <xf numFmtId="170" fontId="42" fillId="0" borderId="0" xfId="45" applyFont="1" applyAlignment="1">
      <alignment horizontal="center" wrapText="1"/>
    </xf>
    <xf numFmtId="0" fontId="48" fillId="0" borderId="0" xfId="0" applyFont="1" applyAlignment="1">
      <alignment horizontal="center"/>
    </xf>
    <xf numFmtId="0" fontId="44" fillId="35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9" fillId="36" borderId="0" xfId="0" applyFont="1" applyFill="1" applyAlignment="1">
      <alignment horizontal="center"/>
    </xf>
    <xf numFmtId="0" fontId="27" fillId="37" borderId="0" xfId="0" applyFont="1" applyFill="1" applyAlignment="1">
      <alignment horizontal="center"/>
    </xf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  <sheetName val="17.BeforeAfter Rate Compare"/>
    </sheetNames>
    <sheetDataSet>
      <sheetData sheetId="5">
        <row r="54">
          <cell r="B54">
            <v>0.00016997869662143227</v>
          </cell>
        </row>
        <row r="58">
          <cell r="C58">
            <v>0.14445820410896754</v>
          </cell>
        </row>
        <row r="78">
          <cell r="B78">
            <v>0.0001091025185441162</v>
          </cell>
        </row>
        <row r="82">
          <cell r="C82">
            <v>0.22748566977619541</v>
          </cell>
        </row>
        <row r="102">
          <cell r="B102">
            <v>0.014529187054540978</v>
          </cell>
        </row>
        <row r="106">
          <cell r="C106">
            <v>1.7798812956699412</v>
          </cell>
        </row>
        <row r="151">
          <cell r="B151">
            <v>0.020419920912957232</v>
          </cell>
        </row>
        <row r="155">
          <cell r="C155">
            <v>27.661139021321294</v>
          </cell>
        </row>
        <row r="201">
          <cell r="B201">
            <v>0.07690694548006621</v>
          </cell>
        </row>
        <row r="205">
          <cell r="C205">
            <v>0.00520954050898267</v>
          </cell>
        </row>
        <row r="226">
          <cell r="B226">
            <v>0.042418458534173246</v>
          </cell>
        </row>
        <row r="230">
          <cell r="C230">
            <v>0.012040518975228056</v>
          </cell>
        </row>
      </sheetData>
      <sheetData sheetId="7">
        <row r="54">
          <cell r="B54">
            <v>0.0004966347745968766</v>
          </cell>
        </row>
        <row r="58">
          <cell r="C58">
            <v>0.4220703480043085</v>
          </cell>
        </row>
        <row r="78">
          <cell r="B78">
            <v>0.00031876997401494807</v>
          </cell>
        </row>
        <row r="82">
          <cell r="C82">
            <v>0.6646556102553104</v>
          </cell>
        </row>
        <row r="102">
          <cell r="B102">
            <v>0.042450611054973844</v>
          </cell>
        </row>
        <row r="106">
          <cell r="C106">
            <v>5.200363125815276</v>
          </cell>
        </row>
        <row r="151">
          <cell r="B151">
            <v>0.05966184599284587</v>
          </cell>
        </row>
        <row r="155">
          <cell r="C155">
            <v>80.81885445646276</v>
          </cell>
        </row>
        <row r="201">
          <cell r="B201">
            <v>0.22470264975905857</v>
          </cell>
        </row>
        <row r="205">
          <cell r="C205">
            <v>0.01522096020181912</v>
          </cell>
        </row>
        <row r="226">
          <cell r="B226">
            <v>0.16111681413653586</v>
          </cell>
        </row>
        <row r="230">
          <cell r="C230">
            <v>0.028143481723993072</v>
          </cell>
        </row>
      </sheetData>
      <sheetData sheetId="15">
        <row r="19">
          <cell r="F19">
            <v>9.234072369676865</v>
          </cell>
        </row>
        <row r="20">
          <cell r="F20">
            <v>0.011192782089904976</v>
          </cell>
        </row>
        <row r="37">
          <cell r="F37">
            <v>15.886754130877971</v>
          </cell>
        </row>
        <row r="38">
          <cell r="F38">
            <v>0.006561974697631583</v>
          </cell>
        </row>
        <row r="57">
          <cell r="F57">
            <v>142.0796967847512</v>
          </cell>
        </row>
        <row r="58">
          <cell r="F58">
            <v>0.7395920752184248</v>
          </cell>
        </row>
        <row r="79">
          <cell r="F79">
            <v>1595.5336476834796</v>
          </cell>
        </row>
        <row r="80">
          <cell r="F80">
            <v>1.4568604271571362</v>
          </cell>
        </row>
        <row r="110">
          <cell r="F110">
            <v>0.4704662507008563</v>
          </cell>
        </row>
        <row r="111">
          <cell r="F111">
            <v>2.744971522308649</v>
          </cell>
        </row>
        <row r="125">
          <cell r="F125">
            <v>0.2717906975794916</v>
          </cell>
        </row>
        <row r="126">
          <cell r="F126">
            <v>1.5750369335498784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48">
          <cell r="B48">
            <v>0.0009607344371083938</v>
          </cell>
        </row>
        <row r="66">
          <cell r="B66">
            <v>0.0005538324050421232</v>
          </cell>
        </row>
        <row r="84">
          <cell r="B84">
            <v>0.058274357195892114</v>
          </cell>
        </row>
        <row r="102">
          <cell r="B102">
            <v>0.11296799736348478</v>
          </cell>
        </row>
        <row r="156">
          <cell r="B156">
            <v>0.18261277624094396</v>
          </cell>
        </row>
        <row r="174">
          <cell r="B174">
            <v>0.12651940459029978</v>
          </cell>
        </row>
      </sheetData>
      <sheetData sheetId="9">
        <row r="10">
          <cell r="F10">
            <v>9.23</v>
          </cell>
        </row>
        <row r="11">
          <cell r="F11">
            <v>0.011824116907830619</v>
          </cell>
        </row>
        <row r="22">
          <cell r="F22">
            <v>15.89</v>
          </cell>
        </row>
        <row r="23">
          <cell r="F23">
            <v>0.007496557257971267</v>
          </cell>
        </row>
        <row r="28">
          <cell r="F28">
            <v>142.08</v>
          </cell>
        </row>
        <row r="29">
          <cell r="F29">
            <v>0.9879949413760585</v>
          </cell>
        </row>
        <row r="34">
          <cell r="F34">
            <v>1595.53</v>
          </cell>
        </row>
        <row r="35">
          <cell r="F35">
            <v>1.900136529946905</v>
          </cell>
        </row>
        <row r="63">
          <cell r="F63">
            <v>0.47</v>
          </cell>
        </row>
        <row r="64">
          <cell r="F64">
            <v>2.9960427866592196</v>
          </cell>
        </row>
        <row r="75">
          <cell r="F75">
            <v>0.27</v>
          </cell>
        </row>
        <row r="76">
          <cell r="F76">
            <v>1.5465295499393212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50">
          <cell r="B50">
            <v>0.0012266442693149374</v>
          </cell>
        </row>
        <row r="67">
          <cell r="B67">
            <v>0.0007059394543197659</v>
          </cell>
        </row>
        <row r="84">
          <cell r="B84">
            <v>0.11096324697920422</v>
          </cell>
        </row>
        <row r="101">
          <cell r="B101">
            <v>0.15619757527552108</v>
          </cell>
        </row>
        <row r="152">
          <cell r="B152">
            <v>0.7114515542283337</v>
          </cell>
        </row>
        <row r="169">
          <cell r="B169">
            <v>0.1625556016862401</v>
          </cell>
        </row>
      </sheetData>
      <sheetData sheetId="11">
        <row r="13">
          <cell r="F13">
            <v>9.180130018979511</v>
          </cell>
        </row>
        <row r="14">
          <cell r="F14">
            <v>0.014402879464452668</v>
          </cell>
        </row>
        <row r="25">
          <cell r="F25">
            <v>15.913465461646036</v>
          </cell>
        </row>
        <row r="26">
          <cell r="F26">
            <v>0.007981225989742454</v>
          </cell>
        </row>
        <row r="31">
          <cell r="F31">
            <v>143.65513768246583</v>
          </cell>
        </row>
        <row r="32">
          <cell r="F32">
            <v>0.8424755766625477</v>
          </cell>
        </row>
        <row r="37">
          <cell r="F37">
            <v>1572.5906814576265</v>
          </cell>
        </row>
        <row r="38">
          <cell r="F38">
            <v>1.5997881007080048</v>
          </cell>
        </row>
        <row r="56">
          <cell r="F56">
            <v>0.5287242671841296</v>
          </cell>
        </row>
        <row r="57">
          <cell r="F57">
            <v>4.073897275097544</v>
          </cell>
        </row>
        <row r="68">
          <cell r="F68">
            <v>0.2370611325329795</v>
          </cell>
        </row>
        <row r="69">
          <cell r="F69">
            <v>1.6553672826384858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 Fourth Qtr 2001"/>
      <sheetName val="TAXREC"/>
    </sheetNames>
    <sheetDataSet>
      <sheetData sheetId="1">
        <row r="87">
          <cell r="E87">
            <v>15155.652500496772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 2002"/>
      <sheetName val="TAXREC"/>
    </sheetNames>
    <sheetDataSet>
      <sheetData sheetId="1">
        <row r="87">
          <cell r="C87">
            <v>44281.528846286885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</sheetNames>
    <sheetDataSet>
      <sheetData sheetId="1">
        <row r="95">
          <cell r="C95">
            <v>55024.7003477513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="120" zoomScaleNormal="120" zoomScalePageLayoutView="40" workbookViewId="0" topLeftCell="D187">
      <selection activeCell="L199" sqref="L199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8515625" style="0" bestFit="1" customWidth="1"/>
    <col min="4" max="4" width="16.57421875" style="0" customWidth="1"/>
    <col min="5" max="5" width="13.00390625" style="0" customWidth="1"/>
    <col min="6" max="6" width="14.8515625" style="0" bestFit="1" customWidth="1"/>
    <col min="7" max="7" width="2.57421875" style="0" customWidth="1"/>
    <col min="8" max="8" width="13.00390625" style="15" customWidth="1"/>
    <col min="9" max="9" width="12.71093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  <col min="15" max="15" width="17.28125" style="0" customWidth="1"/>
    <col min="16" max="16" width="13.421875" style="0" customWidth="1"/>
  </cols>
  <sheetData>
    <row r="1" spans="1:12" ht="28.5">
      <c r="A1" s="64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8.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3" t="s">
        <v>66</v>
      </c>
      <c r="E5" s="62" t="s">
        <v>14</v>
      </c>
      <c r="F5" s="62"/>
      <c r="G5" s="10"/>
      <c r="H5" s="62" t="s">
        <v>15</v>
      </c>
      <c r="I5" s="62"/>
      <c r="J5" s="62"/>
      <c r="K5" s="10"/>
      <c r="L5" s="63" t="s">
        <v>5</v>
      </c>
      <c r="M5" s="3"/>
    </row>
    <row r="6" spans="2:13" ht="28.5" customHeight="1">
      <c r="B6" s="11" t="s">
        <v>2</v>
      </c>
      <c r="C6" s="11" t="s">
        <v>3</v>
      </c>
      <c r="D6" s="63"/>
      <c r="E6" s="10" t="s">
        <v>4</v>
      </c>
      <c r="F6" s="10" t="s">
        <v>65</v>
      </c>
      <c r="G6" s="10"/>
      <c r="H6" s="16" t="s">
        <v>6</v>
      </c>
      <c r="I6" s="10" t="s">
        <v>4</v>
      </c>
      <c r="J6" s="10" t="s">
        <v>65</v>
      </c>
      <c r="K6" s="10"/>
      <c r="L6" s="63"/>
      <c r="M6" s="3"/>
    </row>
    <row r="7" spans="1:12" ht="15">
      <c r="A7" t="s">
        <v>10</v>
      </c>
      <c r="B7" s="6">
        <f>'PILS Entitlement Summary'!H3</f>
        <v>5051.8841668322575</v>
      </c>
      <c r="C7" s="6">
        <v>0</v>
      </c>
      <c r="D7" s="8"/>
      <c r="E7" s="8">
        <f>B7-C7+D7</f>
        <v>5051.8841668322575</v>
      </c>
      <c r="F7" s="8">
        <f>E7</f>
        <v>5051.8841668322575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5051.8841668322575</v>
      </c>
    </row>
    <row r="8" spans="1:12" ht="15">
      <c r="A8" t="s">
        <v>11</v>
      </c>
      <c r="B8" s="12">
        <f>B7</f>
        <v>5051.8841668322575</v>
      </c>
      <c r="C8" s="6">
        <v>0</v>
      </c>
      <c r="D8" s="8"/>
      <c r="E8" s="8">
        <f>B8-C8+D8</f>
        <v>5051.8841668322575</v>
      </c>
      <c r="F8" s="8">
        <f>F7+E8</f>
        <v>10103.768333664515</v>
      </c>
      <c r="G8" s="8"/>
      <c r="H8" s="15">
        <f>H7</f>
        <v>0.0725</v>
      </c>
      <c r="I8" s="8">
        <f>F7*H8/12</f>
        <v>30.521800174611553</v>
      </c>
      <c r="J8" s="8">
        <f>I8+J7</f>
        <v>30.521800174611553</v>
      </c>
      <c r="K8" s="8"/>
      <c r="L8" s="8">
        <f>F8+J8</f>
        <v>10134.290133839126</v>
      </c>
    </row>
    <row r="9" spans="1:12" ht="15">
      <c r="A9" t="s">
        <v>12</v>
      </c>
      <c r="B9" s="13">
        <f>B8</f>
        <v>5051.8841668322575</v>
      </c>
      <c r="C9" s="7">
        <v>0</v>
      </c>
      <c r="D9" s="14"/>
      <c r="E9" s="14">
        <f>B9-C9+D9</f>
        <v>5051.8841668322575</v>
      </c>
      <c r="F9" s="14">
        <f>F8+E9</f>
        <v>15155.652500496773</v>
      </c>
      <c r="G9" s="14"/>
      <c r="H9" s="17">
        <f>H8</f>
        <v>0.0725</v>
      </c>
      <c r="I9" s="14">
        <f>F8*H9/12</f>
        <v>61.043600349223105</v>
      </c>
      <c r="J9" s="14">
        <f>I9+J8</f>
        <v>91.56540052383465</v>
      </c>
      <c r="K9" s="14"/>
      <c r="L9" s="14">
        <f>F9+J9</f>
        <v>15247.217901020607</v>
      </c>
    </row>
    <row r="10" spans="1:12" ht="15">
      <c r="A10" s="2" t="s">
        <v>13</v>
      </c>
      <c r="B10" s="8">
        <f>SUM(B7:B9)</f>
        <v>15155.652500496773</v>
      </c>
      <c r="C10" s="8">
        <f>SUM(C7:C9)</f>
        <v>0</v>
      </c>
      <c r="D10" s="8">
        <f>SUM(D7:D9)</f>
        <v>0</v>
      </c>
      <c r="E10" s="8">
        <f>SUM(E7:E9)</f>
        <v>15155.652500496773</v>
      </c>
      <c r="F10" s="8"/>
      <c r="G10" s="8"/>
      <c r="I10" s="8">
        <f>SUM(I7:I9)</f>
        <v>91.56540052383465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3" t="str">
        <f>$D$5</f>
        <v>SIMPILS True-Up Adjustments    (neg = CR)</v>
      </c>
      <c r="E14" s="62" t="s">
        <v>14</v>
      </c>
      <c r="F14" s="62"/>
      <c r="G14" s="10"/>
      <c r="H14" s="62" t="s">
        <v>15</v>
      </c>
      <c r="I14" s="62"/>
      <c r="J14" s="62"/>
      <c r="K14" s="10"/>
      <c r="L14" s="63" t="s">
        <v>5</v>
      </c>
    </row>
    <row r="15" spans="2:12" ht="45">
      <c r="B15" s="11" t="s">
        <v>2</v>
      </c>
      <c r="C15" s="11" t="s">
        <v>3</v>
      </c>
      <c r="D15" s="63"/>
      <c r="E15" s="10" t="s">
        <v>4</v>
      </c>
      <c r="F15" s="10" t="s">
        <v>65</v>
      </c>
      <c r="G15" s="10"/>
      <c r="H15" s="16" t="s">
        <v>6</v>
      </c>
      <c r="I15" s="10" t="s">
        <v>4</v>
      </c>
      <c r="J15" s="10" t="s">
        <v>65</v>
      </c>
      <c r="K15" s="10"/>
      <c r="L15" s="63"/>
    </row>
    <row r="16" spans="1:12" ht="15">
      <c r="A16" t="s">
        <v>7</v>
      </c>
      <c r="B16" s="6">
        <f>'PILS Entitlement Summary'!H4</f>
        <v>3690.1274038572406</v>
      </c>
      <c r="C16" s="6">
        <v>0</v>
      </c>
      <c r="D16" s="8"/>
      <c r="E16" s="8">
        <f aca="true" t="shared" si="0" ref="E16:E27">B16-C16+D16</f>
        <v>3690.1274038572406</v>
      </c>
      <c r="F16" s="8">
        <f>F9+E16</f>
        <v>18845.779904354014</v>
      </c>
      <c r="G16" s="8"/>
      <c r="H16" s="15">
        <f>H9</f>
        <v>0.0725</v>
      </c>
      <c r="I16" s="8">
        <f>H16*F9/12</f>
        <v>91.56540052383467</v>
      </c>
      <c r="J16" s="8">
        <f>J9+I16</f>
        <v>183.1308010476693</v>
      </c>
      <c r="K16" s="8"/>
      <c r="L16" s="8">
        <f aca="true" t="shared" si="1" ref="L16:L27">F16+J16</f>
        <v>19028.910705401682</v>
      </c>
    </row>
    <row r="17" spans="1:12" ht="15">
      <c r="A17" t="s">
        <v>8</v>
      </c>
      <c r="B17" s="12">
        <f>B16</f>
        <v>3690.1274038572406</v>
      </c>
      <c r="C17" s="6">
        <v>0</v>
      </c>
      <c r="D17" s="8"/>
      <c r="E17" s="8">
        <f t="shared" si="0"/>
        <v>3690.1274038572406</v>
      </c>
      <c r="F17" s="8">
        <f>F16+E17</f>
        <v>22535.907308211255</v>
      </c>
      <c r="G17" s="8"/>
      <c r="H17" s="15">
        <f>H16</f>
        <v>0.0725</v>
      </c>
      <c r="I17" s="8">
        <f>H17*F16/12</f>
        <v>113.85992025547216</v>
      </c>
      <c r="J17" s="8">
        <f>I17+J16</f>
        <v>296.99072130314147</v>
      </c>
      <c r="K17" s="8"/>
      <c r="L17" s="8">
        <f t="shared" si="1"/>
        <v>22832.898029514396</v>
      </c>
    </row>
    <row r="18" spans="1:12" ht="15">
      <c r="A18" t="s">
        <v>9</v>
      </c>
      <c r="B18" s="12">
        <f>B17</f>
        <v>3690.1274038572406</v>
      </c>
      <c r="C18" s="6">
        <f>'App 32 - Mar02 to Feb04 Revenue'!B$49</f>
        <v>2784.0710420933337</v>
      </c>
      <c r="D18" s="8"/>
      <c r="E18" s="8">
        <f t="shared" si="0"/>
        <v>906.0563617639068</v>
      </c>
      <c r="F18" s="8">
        <f aca="true" t="shared" si="2" ref="F18:F27">F17+E18</f>
        <v>23441.96366997516</v>
      </c>
      <c r="G18" s="8"/>
      <c r="H18" s="15">
        <f aca="true" t="shared" si="3" ref="H18:H27">H17</f>
        <v>0.0725</v>
      </c>
      <c r="I18" s="8">
        <f aca="true" t="shared" si="4" ref="I18:I27">H18*F17/12</f>
        <v>136.15443998710967</v>
      </c>
      <c r="J18" s="8">
        <f aca="true" t="shared" si="5" ref="J18:J27">I18+J17</f>
        <v>433.14516129025117</v>
      </c>
      <c r="K18" s="8"/>
      <c r="L18" s="8">
        <f t="shared" si="1"/>
        <v>23875.108831265414</v>
      </c>
    </row>
    <row r="19" spans="1:12" ht="15">
      <c r="A19" t="s">
        <v>16</v>
      </c>
      <c r="B19" s="12">
        <f aca="true" t="shared" si="6" ref="B19:B27">B18</f>
        <v>3690.1274038572406</v>
      </c>
      <c r="C19" s="6">
        <f>'App 32 - Mar02 to Feb04 Revenue'!C$49</f>
        <v>5544.461586279764</v>
      </c>
      <c r="D19" s="8"/>
      <c r="E19" s="8">
        <f t="shared" si="0"/>
        <v>-1854.334182422523</v>
      </c>
      <c r="F19" s="8">
        <f t="shared" si="2"/>
        <v>21587.629487552636</v>
      </c>
      <c r="G19" s="8"/>
      <c r="H19" s="15">
        <f t="shared" si="3"/>
        <v>0.0725</v>
      </c>
      <c r="I19" s="8">
        <f>H19*F18/12</f>
        <v>141.6285305060999</v>
      </c>
      <c r="J19" s="8">
        <f>I19+J18</f>
        <v>574.773691796351</v>
      </c>
      <c r="K19" s="8"/>
      <c r="L19" s="8">
        <f t="shared" si="1"/>
        <v>22162.40317934899</v>
      </c>
    </row>
    <row r="20" spans="1:12" ht="15">
      <c r="A20" t="s">
        <v>17</v>
      </c>
      <c r="B20" s="12">
        <f t="shared" si="6"/>
        <v>3690.1274038572406</v>
      </c>
      <c r="C20" s="6">
        <f>'App 32 - Mar02 to Feb04 Revenue'!D$49</f>
        <v>3695.812892857498</v>
      </c>
      <c r="D20" s="8"/>
      <c r="E20" s="8">
        <f t="shared" si="0"/>
        <v>-5.685489000257348</v>
      </c>
      <c r="F20" s="8">
        <f t="shared" si="2"/>
        <v>21581.94399855238</v>
      </c>
      <c r="G20" s="8"/>
      <c r="H20" s="15">
        <f t="shared" si="3"/>
        <v>0.0725</v>
      </c>
      <c r="I20" s="8">
        <f t="shared" si="4"/>
        <v>130.42526148729718</v>
      </c>
      <c r="J20" s="8">
        <f t="shared" si="5"/>
        <v>705.1989532836483</v>
      </c>
      <c r="K20" s="8"/>
      <c r="L20" s="8">
        <f t="shared" si="1"/>
        <v>22287.142951836027</v>
      </c>
    </row>
    <row r="21" spans="1:12" ht="15">
      <c r="A21" t="s">
        <v>18</v>
      </c>
      <c r="B21" s="12">
        <f t="shared" si="6"/>
        <v>3690.1274038572406</v>
      </c>
      <c r="C21" s="6">
        <f>'App 32 - Mar02 to Feb04 Revenue'!E$49</f>
        <v>5990.4901889617195</v>
      </c>
      <c r="D21" s="8"/>
      <c r="E21" s="8">
        <f t="shared" si="0"/>
        <v>-2300.362785104479</v>
      </c>
      <c r="F21" s="8">
        <f t="shared" si="2"/>
        <v>19281.5812134479</v>
      </c>
      <c r="G21" s="8"/>
      <c r="H21" s="15">
        <f t="shared" si="3"/>
        <v>0.0725</v>
      </c>
      <c r="I21" s="8">
        <f t="shared" si="4"/>
        <v>130.3909116579206</v>
      </c>
      <c r="J21" s="8">
        <f t="shared" si="5"/>
        <v>835.5898649415689</v>
      </c>
      <c r="K21" s="8"/>
      <c r="L21" s="8">
        <f t="shared" si="1"/>
        <v>20117.171078389467</v>
      </c>
    </row>
    <row r="22" spans="1:12" ht="15">
      <c r="A22" t="s">
        <v>19</v>
      </c>
      <c r="B22" s="12">
        <f t="shared" si="6"/>
        <v>3690.1274038572406</v>
      </c>
      <c r="C22" s="6">
        <f>'App 32 - Mar02 to Feb04 Revenue'!F$49</f>
        <v>5601.220027182965</v>
      </c>
      <c r="D22" s="6">
        <v>0</v>
      </c>
      <c r="E22" s="8">
        <f t="shared" si="0"/>
        <v>-1911.0926233257246</v>
      </c>
      <c r="F22" s="8">
        <f t="shared" si="2"/>
        <v>17370.488590122175</v>
      </c>
      <c r="G22" s="8"/>
      <c r="H22" s="15">
        <f t="shared" si="3"/>
        <v>0.0725</v>
      </c>
      <c r="I22" s="8">
        <f t="shared" si="4"/>
        <v>116.49288649791437</v>
      </c>
      <c r="J22" s="8">
        <f t="shared" si="5"/>
        <v>952.0827514394832</v>
      </c>
      <c r="K22" s="8"/>
      <c r="L22" s="8">
        <f t="shared" si="1"/>
        <v>18322.57134156166</v>
      </c>
    </row>
    <row r="23" spans="1:12" ht="15">
      <c r="A23" t="s">
        <v>20</v>
      </c>
      <c r="B23" s="12">
        <f t="shared" si="6"/>
        <v>3690.1274038572406</v>
      </c>
      <c r="C23" s="6">
        <f>'App 32 - Mar02 to Feb04 Revenue'!G$49</f>
        <v>4929.517599323869</v>
      </c>
      <c r="D23" s="8"/>
      <c r="E23" s="8">
        <f t="shared" si="0"/>
        <v>-1239.3901954666285</v>
      </c>
      <c r="F23" s="8">
        <f t="shared" si="2"/>
        <v>16131.098394655546</v>
      </c>
      <c r="G23" s="8"/>
      <c r="H23" s="15">
        <f t="shared" si="3"/>
        <v>0.0725</v>
      </c>
      <c r="I23" s="8">
        <f t="shared" si="4"/>
        <v>104.9467018986548</v>
      </c>
      <c r="J23" s="8">
        <f t="shared" si="5"/>
        <v>1057.029453338138</v>
      </c>
      <c r="K23" s="8"/>
      <c r="L23" s="8">
        <f t="shared" si="1"/>
        <v>17188.127847993685</v>
      </c>
    </row>
    <row r="24" spans="1:12" ht="15">
      <c r="A24" t="s">
        <v>21</v>
      </c>
      <c r="B24" s="12">
        <f t="shared" si="6"/>
        <v>3690.1274038572406</v>
      </c>
      <c r="C24" s="6">
        <f>'App 32 - Mar02 to Feb04 Revenue'!H$49</f>
        <v>5911.629289133981</v>
      </c>
      <c r="D24" s="8"/>
      <c r="E24" s="8">
        <f t="shared" si="0"/>
        <v>-2221.5018852767403</v>
      </c>
      <c r="F24" s="8">
        <f t="shared" si="2"/>
        <v>13909.596509378805</v>
      </c>
      <c r="G24" s="8"/>
      <c r="H24" s="15">
        <f t="shared" si="3"/>
        <v>0.0725</v>
      </c>
      <c r="I24" s="8">
        <f t="shared" si="4"/>
        <v>97.45871946771058</v>
      </c>
      <c r="J24" s="8">
        <f t="shared" si="5"/>
        <v>1154.4881728058485</v>
      </c>
      <c r="K24" s="8"/>
      <c r="L24" s="8">
        <f t="shared" si="1"/>
        <v>15064.084682184654</v>
      </c>
    </row>
    <row r="25" spans="1:12" ht="15">
      <c r="A25" t="s">
        <v>10</v>
      </c>
      <c r="B25" s="12">
        <f t="shared" si="6"/>
        <v>3690.1274038572406</v>
      </c>
      <c r="C25" s="6">
        <f>'App 32 - Mar02 to Feb04 Revenue'!I$49</f>
        <v>4983.901640634695</v>
      </c>
      <c r="D25" s="8"/>
      <c r="E25" s="8">
        <f t="shared" si="0"/>
        <v>-1293.774236777454</v>
      </c>
      <c r="F25" s="8">
        <f t="shared" si="2"/>
        <v>12615.822272601352</v>
      </c>
      <c r="G25" s="8"/>
      <c r="H25" s="15">
        <f t="shared" si="3"/>
        <v>0.0725</v>
      </c>
      <c r="I25" s="8">
        <f t="shared" si="4"/>
        <v>84.03714557749694</v>
      </c>
      <c r="J25" s="8">
        <f t="shared" si="5"/>
        <v>1238.5253183833454</v>
      </c>
      <c r="K25" s="8"/>
      <c r="L25" s="8">
        <f t="shared" si="1"/>
        <v>13854.347590984697</v>
      </c>
    </row>
    <row r="26" spans="1:12" ht="15">
      <c r="A26" t="s">
        <v>11</v>
      </c>
      <c r="B26" s="12">
        <f t="shared" si="6"/>
        <v>3690.1274038572406</v>
      </c>
      <c r="C26" s="6">
        <f>'App 32 - Mar02 to Feb04 Revenue'!J$49</f>
        <v>6462.352352124664</v>
      </c>
      <c r="D26" s="8"/>
      <c r="E26" s="8">
        <f t="shared" si="0"/>
        <v>-2772.2249482674238</v>
      </c>
      <c r="F26" s="8">
        <f t="shared" si="2"/>
        <v>9843.597324333929</v>
      </c>
      <c r="G26" s="8"/>
      <c r="H26" s="15">
        <f t="shared" si="3"/>
        <v>0.0725</v>
      </c>
      <c r="I26" s="8">
        <f t="shared" si="4"/>
        <v>76.2205928969665</v>
      </c>
      <c r="J26" s="8">
        <f t="shared" si="5"/>
        <v>1314.745911280312</v>
      </c>
      <c r="K26" s="8"/>
      <c r="L26" s="8">
        <f t="shared" si="1"/>
        <v>11158.34323561424</v>
      </c>
    </row>
    <row r="27" spans="1:12" ht="15">
      <c r="A27" t="s">
        <v>12</v>
      </c>
      <c r="B27" s="13">
        <f t="shared" si="6"/>
        <v>3690.1274038572406</v>
      </c>
      <c r="C27" s="7">
        <f>'App 32 - Mar02 to Feb04 Revenue'!K$49</f>
        <v>5809.546934311949</v>
      </c>
      <c r="D27" s="14"/>
      <c r="E27" s="14">
        <f t="shared" si="0"/>
        <v>-2119.419530454709</v>
      </c>
      <c r="F27" s="14">
        <f t="shared" si="2"/>
        <v>7724.17779387922</v>
      </c>
      <c r="G27" s="14"/>
      <c r="H27" s="17">
        <f t="shared" si="3"/>
        <v>0.0725</v>
      </c>
      <c r="I27" s="14">
        <f t="shared" si="4"/>
        <v>59.47173383451749</v>
      </c>
      <c r="J27" s="14">
        <f t="shared" si="5"/>
        <v>1374.2176451148293</v>
      </c>
      <c r="K27" s="14"/>
      <c r="L27" s="14">
        <f t="shared" si="1"/>
        <v>9098.39543899405</v>
      </c>
    </row>
    <row r="28" spans="1:12" ht="15">
      <c r="A28" s="2" t="s">
        <v>13</v>
      </c>
      <c r="B28" s="8">
        <f>SUM(B16:B27)</f>
        <v>44281.52884628688</v>
      </c>
      <c r="C28" s="8">
        <f>SUM(C16:C27)</f>
        <v>51713.00355290444</v>
      </c>
      <c r="D28" s="8">
        <f>SUM(D16:D27)</f>
        <v>0</v>
      </c>
      <c r="E28" s="8">
        <f>SUM(E16:E27)</f>
        <v>-7431.474706617551</v>
      </c>
      <c r="F28" s="8"/>
      <c r="G28" s="8"/>
      <c r="I28" s="8">
        <f>SUM(I16:I27)</f>
        <v>1282.6522445909945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3" t="str">
        <f>$D$5</f>
        <v>SIMPILS True-Up Adjustments    (neg = CR)</v>
      </c>
      <c r="E32" s="62" t="s">
        <v>14</v>
      </c>
      <c r="F32" s="62"/>
      <c r="G32" s="10"/>
      <c r="H32" s="62" t="s">
        <v>15</v>
      </c>
      <c r="I32" s="62"/>
      <c r="J32" s="62"/>
      <c r="K32" s="10"/>
      <c r="L32" s="63" t="s">
        <v>5</v>
      </c>
    </row>
    <row r="33" spans="2:12" ht="45">
      <c r="B33" s="11" t="s">
        <v>2</v>
      </c>
      <c r="C33" s="11" t="s">
        <v>3</v>
      </c>
      <c r="D33" s="63"/>
      <c r="E33" s="10" t="s">
        <v>4</v>
      </c>
      <c r="F33" s="10" t="s">
        <v>65</v>
      </c>
      <c r="G33" s="10"/>
      <c r="H33" s="16" t="s">
        <v>6</v>
      </c>
      <c r="I33" s="10" t="s">
        <v>4</v>
      </c>
      <c r="J33" s="10" t="s">
        <v>65</v>
      </c>
      <c r="K33" s="10"/>
      <c r="L33" s="63"/>
    </row>
    <row r="34" spans="1:12" ht="15">
      <c r="A34" t="s">
        <v>7</v>
      </c>
      <c r="B34" s="6">
        <f>'PILS Entitlement Summary'!H5</f>
        <v>4953.098445565304</v>
      </c>
      <c r="C34" s="6">
        <f>'App 32 - Mar02 to Feb04 Revenue'!L$49</f>
        <v>6535.142843460528</v>
      </c>
      <c r="D34" s="8"/>
      <c r="E34" s="8">
        <f aca="true" t="shared" si="7" ref="E34:E45">B34-C34+D34</f>
        <v>-1582.0443978952235</v>
      </c>
      <c r="F34" s="8">
        <f>F27+E34</f>
        <v>6142.133395983997</v>
      </c>
      <c r="G34" s="8"/>
      <c r="H34" s="15">
        <f>H27</f>
        <v>0.0725</v>
      </c>
      <c r="I34" s="8">
        <f>H34*F27/12</f>
        <v>46.666907504686954</v>
      </c>
      <c r="J34" s="8">
        <f>J27+I34</f>
        <v>1420.8845526195164</v>
      </c>
      <c r="K34" s="8"/>
      <c r="L34" s="8">
        <f aca="true" t="shared" si="8" ref="L34:L45">F34+J34</f>
        <v>7563.017948603513</v>
      </c>
    </row>
    <row r="35" spans="1:12" ht="15">
      <c r="A35" t="s">
        <v>8</v>
      </c>
      <c r="B35" s="12">
        <f>B34</f>
        <v>4953.098445565304</v>
      </c>
      <c r="C35" s="6">
        <f>'App 32 - Mar02 to Feb04 Revenue'!M$49</f>
        <v>5379.141236001758</v>
      </c>
      <c r="D35" s="8"/>
      <c r="E35" s="8">
        <f t="shared" si="7"/>
        <v>-426.0427904364542</v>
      </c>
      <c r="F35" s="8">
        <f>F34+E35</f>
        <v>5716.0906055475425</v>
      </c>
      <c r="G35" s="8"/>
      <c r="H35" s="15">
        <f>H34</f>
        <v>0.0725</v>
      </c>
      <c r="I35" s="8">
        <f>H35*F34/12</f>
        <v>37.10872260073665</v>
      </c>
      <c r="J35" s="8">
        <f>I35+J34</f>
        <v>1457.993275220253</v>
      </c>
      <c r="K35" s="8"/>
      <c r="L35" s="8">
        <f t="shared" si="8"/>
        <v>7174.083880767796</v>
      </c>
    </row>
    <row r="36" spans="1:12" ht="15">
      <c r="A36" t="s">
        <v>9</v>
      </c>
      <c r="B36" s="12">
        <f aca="true" t="shared" si="9" ref="B36:B45">B35</f>
        <v>4953.098445565304</v>
      </c>
      <c r="C36" s="6">
        <f>'App 32 - Mar02 to Feb04 Revenue'!N$49</f>
        <v>4986.855296435269</v>
      </c>
      <c r="D36" s="8"/>
      <c r="E36" s="8">
        <f t="shared" si="7"/>
        <v>-33.75685086996509</v>
      </c>
      <c r="F36" s="8">
        <f aca="true" t="shared" si="10" ref="F36:F45">F35+E36</f>
        <v>5682.333754677577</v>
      </c>
      <c r="G36" s="8"/>
      <c r="H36" s="15">
        <f aca="true" t="shared" si="11" ref="H36:H45">H35</f>
        <v>0.0725</v>
      </c>
      <c r="I36" s="8">
        <f>H36*F35/12</f>
        <v>34.53471407518307</v>
      </c>
      <c r="J36" s="8">
        <f>I36+J35</f>
        <v>1492.527989295436</v>
      </c>
      <c r="K36" s="8"/>
      <c r="L36" s="8">
        <f t="shared" si="8"/>
        <v>7174.861743973013</v>
      </c>
    </row>
    <row r="37" spans="1:12" ht="15">
      <c r="A37" t="s">
        <v>16</v>
      </c>
      <c r="B37" s="12">
        <f t="shared" si="9"/>
        <v>4953.098445565304</v>
      </c>
      <c r="C37" s="6">
        <f>'App 32 - Mar02 to Feb04 Revenue'!O$49</f>
        <v>5442.418684753505</v>
      </c>
      <c r="D37" s="8"/>
      <c r="E37" s="8">
        <f t="shared" si="7"/>
        <v>-489.3202391882005</v>
      </c>
      <c r="F37" s="8">
        <f t="shared" si="10"/>
        <v>5193.013515489377</v>
      </c>
      <c r="G37" s="8"/>
      <c r="H37" s="15">
        <f t="shared" si="11"/>
        <v>0.0725</v>
      </c>
      <c r="I37" s="8">
        <f>H37*F36/12</f>
        <v>34.33076643451036</v>
      </c>
      <c r="J37" s="8">
        <f>I37+J36</f>
        <v>1526.8587557299466</v>
      </c>
      <c r="K37" s="8"/>
      <c r="L37" s="8">
        <f t="shared" si="8"/>
        <v>6719.872271219323</v>
      </c>
    </row>
    <row r="38" spans="1:12" ht="15">
      <c r="A38" t="s">
        <v>17</v>
      </c>
      <c r="B38" s="12">
        <f t="shared" si="9"/>
        <v>4953.098445565304</v>
      </c>
      <c r="C38" s="6">
        <f>'App 32 - Mar02 to Feb04 Revenue'!P$49</f>
        <v>6320.193495298565</v>
      </c>
      <c r="D38" s="8"/>
      <c r="E38" s="8">
        <f t="shared" si="7"/>
        <v>-1367.0950497332606</v>
      </c>
      <c r="F38" s="8">
        <f t="shared" si="10"/>
        <v>3825.9184657561163</v>
      </c>
      <c r="G38" s="8"/>
      <c r="H38" s="15">
        <f t="shared" si="11"/>
        <v>0.0725</v>
      </c>
      <c r="I38" s="8">
        <f aca="true" t="shared" si="12" ref="I38:I45">H38*F37/12</f>
        <v>31.374456656081648</v>
      </c>
      <c r="J38" s="8">
        <f aca="true" t="shared" si="13" ref="J38:J45">I38+J37</f>
        <v>1558.2332123860283</v>
      </c>
      <c r="K38" s="8"/>
      <c r="L38" s="8">
        <f t="shared" si="8"/>
        <v>5384.151678142145</v>
      </c>
    </row>
    <row r="39" spans="1:12" ht="15">
      <c r="A39" t="s">
        <v>18</v>
      </c>
      <c r="B39" s="12">
        <f t="shared" si="9"/>
        <v>4953.098445565304</v>
      </c>
      <c r="C39" s="6">
        <f>'App 32 - Mar02 to Feb04 Revenue'!Q$49</f>
        <v>5334.806988174357</v>
      </c>
      <c r="D39" s="8"/>
      <c r="E39" s="8">
        <f t="shared" si="7"/>
        <v>-381.70854260905253</v>
      </c>
      <c r="F39" s="8">
        <f t="shared" si="10"/>
        <v>3444.209923147064</v>
      </c>
      <c r="G39" s="8"/>
      <c r="H39" s="15">
        <f t="shared" si="11"/>
        <v>0.0725</v>
      </c>
      <c r="I39" s="8">
        <f t="shared" si="12"/>
        <v>23.114924063943203</v>
      </c>
      <c r="J39" s="8">
        <f t="shared" si="13"/>
        <v>1581.3481364499714</v>
      </c>
      <c r="K39" s="8"/>
      <c r="L39" s="8">
        <f t="shared" si="8"/>
        <v>5025.558059597035</v>
      </c>
    </row>
    <row r="40" spans="1:12" ht="15">
      <c r="A40" t="s">
        <v>19</v>
      </c>
      <c r="B40" s="12">
        <f t="shared" si="9"/>
        <v>4953.098445565304</v>
      </c>
      <c r="C40" s="6">
        <f>'App 32 - Mar02 to Feb04 Revenue'!R$49</f>
        <v>5794.536380055957</v>
      </c>
      <c r="D40" s="6">
        <v>5702</v>
      </c>
      <c r="E40" s="8">
        <f t="shared" si="7"/>
        <v>4860.562065509347</v>
      </c>
      <c r="F40" s="8">
        <f t="shared" si="10"/>
        <v>8304.771988656412</v>
      </c>
      <c r="G40" s="8"/>
      <c r="H40" s="15">
        <f t="shared" si="11"/>
        <v>0.0725</v>
      </c>
      <c r="I40" s="8">
        <f t="shared" si="12"/>
        <v>20.808768285680177</v>
      </c>
      <c r="J40" s="8">
        <f t="shared" si="13"/>
        <v>1602.1569047356516</v>
      </c>
      <c r="K40" s="8"/>
      <c r="L40" s="8">
        <f t="shared" si="8"/>
        <v>9906.928893392063</v>
      </c>
    </row>
    <row r="41" spans="1:12" ht="15">
      <c r="A41" t="s">
        <v>20</v>
      </c>
      <c r="B41" s="12">
        <f t="shared" si="9"/>
        <v>4953.098445565304</v>
      </c>
      <c r="C41" s="6">
        <f>'App 32 - Mar02 to Feb04 Revenue'!S$49</f>
        <v>5103.701846596281</v>
      </c>
      <c r="D41" s="8"/>
      <c r="E41" s="8">
        <f t="shared" si="7"/>
        <v>-150.60340103097678</v>
      </c>
      <c r="F41" s="8">
        <f t="shared" si="10"/>
        <v>8154.168587625435</v>
      </c>
      <c r="G41" s="8"/>
      <c r="H41" s="15">
        <f t="shared" si="11"/>
        <v>0.0725</v>
      </c>
      <c r="I41" s="8">
        <f t="shared" si="12"/>
        <v>50.17466409813249</v>
      </c>
      <c r="J41" s="8">
        <f t="shared" si="13"/>
        <v>1652.331568833784</v>
      </c>
      <c r="K41" s="8"/>
      <c r="L41" s="8">
        <f t="shared" si="8"/>
        <v>9806.500156459218</v>
      </c>
    </row>
    <row r="42" spans="1:12" ht="15">
      <c r="A42" t="s">
        <v>21</v>
      </c>
      <c r="B42" s="12">
        <f t="shared" si="9"/>
        <v>4953.098445565304</v>
      </c>
      <c r="C42" s="6">
        <f>'App 32 - Mar02 to Feb04 Revenue'!T$49</f>
        <v>5552.489089348208</v>
      </c>
      <c r="D42" s="8"/>
      <c r="E42" s="8">
        <f t="shared" si="7"/>
        <v>-599.3906437829037</v>
      </c>
      <c r="F42" s="8">
        <f t="shared" si="10"/>
        <v>7554.777943842531</v>
      </c>
      <c r="G42" s="8"/>
      <c r="H42" s="15">
        <f t="shared" si="11"/>
        <v>0.0725</v>
      </c>
      <c r="I42" s="8">
        <f t="shared" si="12"/>
        <v>49.264768550237</v>
      </c>
      <c r="J42" s="8">
        <f t="shared" si="13"/>
        <v>1701.5963373840211</v>
      </c>
      <c r="K42" s="8"/>
      <c r="L42" s="8">
        <f t="shared" si="8"/>
        <v>9256.374281226552</v>
      </c>
    </row>
    <row r="43" spans="1:12" ht="15">
      <c r="A43" t="s">
        <v>10</v>
      </c>
      <c r="B43" s="12">
        <f t="shared" si="9"/>
        <v>4953.098445565304</v>
      </c>
      <c r="C43" s="6">
        <f>'App 32 - Mar02 to Feb04 Revenue'!U$49</f>
        <v>5514.841072088463</v>
      </c>
      <c r="D43" s="8"/>
      <c r="E43" s="8">
        <f t="shared" si="7"/>
        <v>-561.7426265231588</v>
      </c>
      <c r="F43" s="8">
        <f t="shared" si="10"/>
        <v>6993.035317319373</v>
      </c>
      <c r="G43" s="8"/>
      <c r="H43" s="15">
        <f t="shared" si="11"/>
        <v>0.0725</v>
      </c>
      <c r="I43" s="8">
        <f t="shared" si="12"/>
        <v>45.643450077381964</v>
      </c>
      <c r="J43" s="8">
        <f t="shared" si="13"/>
        <v>1747.239787461403</v>
      </c>
      <c r="K43" s="8"/>
      <c r="L43" s="8">
        <f t="shared" si="8"/>
        <v>8740.275104780776</v>
      </c>
    </row>
    <row r="44" spans="1:12" ht="15">
      <c r="A44" t="s">
        <v>11</v>
      </c>
      <c r="B44" s="12">
        <f t="shared" si="9"/>
        <v>4953.098445565304</v>
      </c>
      <c r="C44" s="6">
        <f>'App 32 - Mar02 to Feb04 Revenue'!V$49</f>
        <v>5578.262070562258</v>
      </c>
      <c r="D44" s="8"/>
      <c r="E44" s="8">
        <f t="shared" si="7"/>
        <v>-625.1636249969533</v>
      </c>
      <c r="F44" s="8">
        <f t="shared" si="10"/>
        <v>6367.871692322419</v>
      </c>
      <c r="G44" s="8"/>
      <c r="H44" s="15">
        <f t="shared" si="11"/>
        <v>0.0725</v>
      </c>
      <c r="I44" s="8">
        <f t="shared" si="12"/>
        <v>42.249588375471205</v>
      </c>
      <c r="J44" s="8">
        <f t="shared" si="13"/>
        <v>1789.4893758368742</v>
      </c>
      <c r="K44" s="8"/>
      <c r="L44" s="8">
        <f t="shared" si="8"/>
        <v>8157.361068159294</v>
      </c>
    </row>
    <row r="45" spans="1:12" ht="15">
      <c r="A45" t="s">
        <v>12</v>
      </c>
      <c r="B45" s="13">
        <f t="shared" si="9"/>
        <v>4953.098445565304</v>
      </c>
      <c r="C45" s="7">
        <f>'App 32 - Mar02 to Feb04 Revenue'!W$49</f>
        <v>5750.895889032142</v>
      </c>
      <c r="D45" s="14"/>
      <c r="E45" s="14">
        <f t="shared" si="7"/>
        <v>-797.7974434668376</v>
      </c>
      <c r="F45" s="14">
        <f t="shared" si="10"/>
        <v>5570.074248855582</v>
      </c>
      <c r="G45" s="14"/>
      <c r="H45" s="17">
        <f t="shared" si="11"/>
        <v>0.0725</v>
      </c>
      <c r="I45" s="14">
        <f t="shared" si="12"/>
        <v>38.47255814111461</v>
      </c>
      <c r="J45" s="14">
        <f t="shared" si="13"/>
        <v>1827.9619339779888</v>
      </c>
      <c r="K45" s="14"/>
      <c r="L45" s="14">
        <f t="shared" si="8"/>
        <v>7398.03618283357</v>
      </c>
    </row>
    <row r="46" spans="1:12" ht="15">
      <c r="A46" s="2" t="s">
        <v>13</v>
      </c>
      <c r="B46" s="8">
        <f>SUM(B34:B45)</f>
        <v>59437.18134678364</v>
      </c>
      <c r="C46" s="8">
        <f>SUM(C34:C45)</f>
        <v>67293.28489180729</v>
      </c>
      <c r="D46" s="8">
        <f>SUM(D34:D45)</f>
        <v>5702</v>
      </c>
      <c r="E46" s="8">
        <f>SUM(E34:E45)</f>
        <v>-2154.1035450236395</v>
      </c>
      <c r="F46" s="8"/>
      <c r="G46" s="8"/>
      <c r="I46" s="8">
        <f>SUM(I34:I45)</f>
        <v>453.74428886315934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3" t="str">
        <f>$D$5</f>
        <v>SIMPILS True-Up Adjustments    (neg = CR)</v>
      </c>
      <c r="E50" s="62" t="s">
        <v>14</v>
      </c>
      <c r="F50" s="62"/>
      <c r="G50" s="10"/>
      <c r="H50" s="62" t="s">
        <v>15</v>
      </c>
      <c r="I50" s="62"/>
      <c r="J50" s="62"/>
      <c r="K50" s="10"/>
      <c r="L50" s="63" t="s">
        <v>5</v>
      </c>
    </row>
    <row r="51" spans="2:12" ht="45">
      <c r="B51" s="11" t="s">
        <v>2</v>
      </c>
      <c r="C51" s="11" t="s">
        <v>3</v>
      </c>
      <c r="D51" s="63"/>
      <c r="E51" s="10" t="s">
        <v>4</v>
      </c>
      <c r="F51" s="10" t="s">
        <v>65</v>
      </c>
      <c r="G51" s="10"/>
      <c r="H51" s="16" t="s">
        <v>6</v>
      </c>
      <c r="I51" s="10" t="s">
        <v>4</v>
      </c>
      <c r="J51" s="10" t="s">
        <v>65</v>
      </c>
      <c r="K51" s="10"/>
      <c r="L51" s="63"/>
    </row>
    <row r="52" spans="1:12" ht="15">
      <c r="A52" t="s">
        <v>7</v>
      </c>
      <c r="B52" s="6">
        <f>'PILS Entitlement Summary'!H6</f>
        <v>4953.098445565304</v>
      </c>
      <c r="C52" s="6">
        <f>'App 32 - Mar02 to Feb04 Revenue'!X$49</f>
        <v>6331.948167649725</v>
      </c>
      <c r="D52" s="8"/>
      <c r="E52" s="8">
        <f aca="true" t="shared" si="14" ref="E52:E63">B52-C52+D52</f>
        <v>-1378.849722084421</v>
      </c>
      <c r="F52" s="8">
        <f>F45+E52</f>
        <v>4191.2245267711605</v>
      </c>
      <c r="G52" s="8"/>
      <c r="H52" s="15">
        <f>H45</f>
        <v>0.0725</v>
      </c>
      <c r="I52" s="8">
        <f>H52*F45/12</f>
        <v>33.65253192016913</v>
      </c>
      <c r="J52" s="8">
        <f>J45+I52</f>
        <v>1861.614465898158</v>
      </c>
      <c r="K52" s="8"/>
      <c r="L52" s="8">
        <f aca="true" t="shared" si="15" ref="L52:L63">F52+J52</f>
        <v>6052.838992669318</v>
      </c>
    </row>
    <row r="53" spans="1:12" ht="15">
      <c r="A53" t="s">
        <v>8</v>
      </c>
      <c r="B53" s="12">
        <f>B52</f>
        <v>4953.098445565304</v>
      </c>
      <c r="C53" s="6">
        <f>'App 32 - Mar02 to Feb04 Revenue'!Y$49</f>
        <v>6605.39256178743</v>
      </c>
      <c r="D53" s="8"/>
      <c r="E53" s="8">
        <f t="shared" si="14"/>
        <v>-1652.294116222126</v>
      </c>
      <c r="F53" s="8">
        <f>F52+E53</f>
        <v>2538.9304105490346</v>
      </c>
      <c r="G53" s="8"/>
      <c r="H53" s="15">
        <f>H52</f>
        <v>0.0725</v>
      </c>
      <c r="I53" s="8">
        <f>H53*F52/12</f>
        <v>25.32198151590909</v>
      </c>
      <c r="J53" s="8">
        <f>I53+J52</f>
        <v>1886.936447414067</v>
      </c>
      <c r="K53" s="8"/>
      <c r="L53" s="8">
        <f t="shared" si="15"/>
        <v>4425.866857963101</v>
      </c>
    </row>
    <row r="54" spans="1:14" ht="15">
      <c r="A54" t="s">
        <v>9</v>
      </c>
      <c r="B54" s="12">
        <f>B53</f>
        <v>4953.098445565304</v>
      </c>
      <c r="C54" s="6">
        <f>'App 32 - Mar02 to Feb04 Revenue'!Z49+'App 33 - Mar04 to Feb05 Revenue'!B38</f>
        <v>5024.542165874634</v>
      </c>
      <c r="D54" s="8"/>
      <c r="E54" s="8">
        <f t="shared" si="14"/>
        <v>-71.44372030932936</v>
      </c>
      <c r="F54" s="8">
        <f aca="true" t="shared" si="16" ref="F54:F63">F53+E54</f>
        <v>2467.4866902397052</v>
      </c>
      <c r="G54" s="8"/>
      <c r="H54" s="15">
        <f aca="true" t="shared" si="17" ref="H54:H63">H53</f>
        <v>0.0725</v>
      </c>
      <c r="I54" s="8">
        <f>H54*F53/12</f>
        <v>15.339371230400417</v>
      </c>
      <c r="J54" s="8">
        <f>I54+J53</f>
        <v>1902.2758186444676</v>
      </c>
      <c r="K54" s="8"/>
      <c r="L54" s="8">
        <f t="shared" si="15"/>
        <v>4369.762508884172</v>
      </c>
      <c r="N54" s="21"/>
    </row>
    <row r="55" spans="1:12" ht="15">
      <c r="A55" t="s">
        <v>16</v>
      </c>
      <c r="B55" s="6">
        <f>'PILS Entitlement Summary'!H7</f>
        <v>3690.1274038572406</v>
      </c>
      <c r="C55" s="6">
        <f>'App 33 - Mar04 to Feb05 Revenue'!C$38</f>
        <v>4046.6995496246745</v>
      </c>
      <c r="D55" s="8"/>
      <c r="E55" s="8">
        <f t="shared" si="14"/>
        <v>-356.572145767434</v>
      </c>
      <c r="F55" s="8">
        <f t="shared" si="16"/>
        <v>2110.9145444722712</v>
      </c>
      <c r="G55" s="8"/>
      <c r="H55" s="15">
        <f t="shared" si="17"/>
        <v>0.0725</v>
      </c>
      <c r="I55" s="8">
        <f>H55*F54/12</f>
        <v>14.907732086864884</v>
      </c>
      <c r="J55" s="8">
        <f>I55+J54</f>
        <v>1917.1835507313324</v>
      </c>
      <c r="K55" s="8"/>
      <c r="L55" s="8">
        <f t="shared" si="15"/>
        <v>4028.0980952036034</v>
      </c>
    </row>
    <row r="56" spans="1:12" ht="15">
      <c r="A56" t="s">
        <v>17</v>
      </c>
      <c r="B56" s="20">
        <f>B55</f>
        <v>3690.1274038572406</v>
      </c>
      <c r="C56" s="6">
        <f>'App 33 - Mar04 to Feb05 Revenue'!D$38</f>
        <v>3554.5981649757523</v>
      </c>
      <c r="D56" s="8"/>
      <c r="E56" s="8">
        <f t="shared" si="14"/>
        <v>135.52923888148825</v>
      </c>
      <c r="F56" s="8">
        <f t="shared" si="16"/>
        <v>2246.4437833537595</v>
      </c>
      <c r="G56" s="8"/>
      <c r="H56" s="15">
        <f t="shared" si="17"/>
        <v>0.0725</v>
      </c>
      <c r="I56" s="8">
        <f aca="true" t="shared" si="18" ref="I56:I63">H56*F55/12</f>
        <v>12.753442039519973</v>
      </c>
      <c r="J56" s="8">
        <f aca="true" t="shared" si="19" ref="J56:J63">I56+J55</f>
        <v>1929.9369927708524</v>
      </c>
      <c r="K56" s="8"/>
      <c r="L56" s="8">
        <f t="shared" si="15"/>
        <v>4176.380776124612</v>
      </c>
    </row>
    <row r="57" spans="1:12" ht="15">
      <c r="A57" t="s">
        <v>18</v>
      </c>
      <c r="B57" s="20">
        <f aca="true" t="shared" si="20" ref="B57:B63">B56</f>
        <v>3690.1274038572406</v>
      </c>
      <c r="C57" s="6">
        <f>'App 33 - Mar04 to Feb05 Revenue'!E$38</f>
        <v>3265.8897794585364</v>
      </c>
      <c r="D57" s="8"/>
      <c r="E57" s="8">
        <f t="shared" si="14"/>
        <v>424.23762439870416</v>
      </c>
      <c r="F57" s="8">
        <f t="shared" si="16"/>
        <v>2670.6814077524637</v>
      </c>
      <c r="G57" s="8"/>
      <c r="H57" s="15">
        <f t="shared" si="17"/>
        <v>0.0725</v>
      </c>
      <c r="I57" s="8">
        <f t="shared" si="18"/>
        <v>13.572264524428961</v>
      </c>
      <c r="J57" s="8">
        <f t="shared" si="19"/>
        <v>1943.5092572952813</v>
      </c>
      <c r="K57" s="8"/>
      <c r="L57" s="8">
        <f t="shared" si="15"/>
        <v>4614.190665047745</v>
      </c>
    </row>
    <row r="58" spans="1:12" ht="15">
      <c r="A58" t="s">
        <v>19</v>
      </c>
      <c r="B58" s="20">
        <f t="shared" si="20"/>
        <v>3690.1274038572406</v>
      </c>
      <c r="C58" s="6">
        <f>'App 33 - Mar04 to Feb05 Revenue'!F$38</f>
        <v>3106.0550554172332</v>
      </c>
      <c r="D58" s="6">
        <v>4384</v>
      </c>
      <c r="E58" s="8">
        <f t="shared" si="14"/>
        <v>4968.072348440008</v>
      </c>
      <c r="F58" s="8">
        <f t="shared" si="16"/>
        <v>7638.753756192471</v>
      </c>
      <c r="G58" s="8"/>
      <c r="H58" s="15">
        <f t="shared" si="17"/>
        <v>0.0725</v>
      </c>
      <c r="I58" s="8">
        <f t="shared" si="18"/>
        <v>16.135366838504467</v>
      </c>
      <c r="J58" s="8">
        <f t="shared" si="19"/>
        <v>1959.6446241337858</v>
      </c>
      <c r="K58" s="8"/>
      <c r="L58" s="8">
        <f t="shared" si="15"/>
        <v>9598.398380326256</v>
      </c>
    </row>
    <row r="59" spans="1:12" ht="15">
      <c r="A59" t="s">
        <v>20</v>
      </c>
      <c r="B59" s="20">
        <f t="shared" si="20"/>
        <v>3690.1274038572406</v>
      </c>
      <c r="C59" s="6">
        <f>'App 33 - Mar04 to Feb05 Revenue'!G$38</f>
        <v>2951.790561684029</v>
      </c>
      <c r="D59" s="8"/>
      <c r="E59" s="8">
        <f t="shared" si="14"/>
        <v>738.3368421732116</v>
      </c>
      <c r="F59" s="8">
        <f t="shared" si="16"/>
        <v>8377.090598365683</v>
      </c>
      <c r="G59" s="8"/>
      <c r="H59" s="15">
        <f t="shared" si="17"/>
        <v>0.0725</v>
      </c>
      <c r="I59" s="8">
        <f t="shared" si="18"/>
        <v>46.150803943662844</v>
      </c>
      <c r="J59" s="8">
        <f t="shared" si="19"/>
        <v>2005.7954280774486</v>
      </c>
      <c r="K59" s="8"/>
      <c r="L59" s="8">
        <f t="shared" si="15"/>
        <v>10382.886026443131</v>
      </c>
    </row>
    <row r="60" spans="1:12" ht="15">
      <c r="A60" t="s">
        <v>21</v>
      </c>
      <c r="B60" s="20">
        <f t="shared" si="20"/>
        <v>3690.1274038572406</v>
      </c>
      <c r="C60" s="6">
        <f>'App 33 - Mar04 to Feb05 Revenue'!H$38</f>
        <v>3223.0970338492534</v>
      </c>
      <c r="D60" s="8"/>
      <c r="E60" s="8">
        <f t="shared" si="14"/>
        <v>467.03037000798713</v>
      </c>
      <c r="F60" s="8">
        <f t="shared" si="16"/>
        <v>8844.12096837367</v>
      </c>
      <c r="G60" s="8"/>
      <c r="H60" s="15">
        <f t="shared" si="17"/>
        <v>0.0725</v>
      </c>
      <c r="I60" s="8">
        <f t="shared" si="18"/>
        <v>50.61158903179267</v>
      </c>
      <c r="J60" s="8">
        <f t="shared" si="19"/>
        <v>2056.407017109241</v>
      </c>
      <c r="K60" s="8"/>
      <c r="L60" s="8">
        <f t="shared" si="15"/>
        <v>10900.527985482911</v>
      </c>
    </row>
    <row r="61" spans="1:12" ht="15">
      <c r="A61" t="s">
        <v>10</v>
      </c>
      <c r="B61" s="20">
        <f t="shared" si="20"/>
        <v>3690.1274038572406</v>
      </c>
      <c r="C61" s="6">
        <f>'App 33 - Mar04 to Feb05 Revenue'!I$38</f>
        <v>3109.072562896315</v>
      </c>
      <c r="D61" s="8"/>
      <c r="E61" s="8">
        <f t="shared" si="14"/>
        <v>581.0548409609255</v>
      </c>
      <c r="F61" s="8">
        <f t="shared" si="16"/>
        <v>9425.175809334596</v>
      </c>
      <c r="G61" s="8"/>
      <c r="H61" s="15">
        <f t="shared" si="17"/>
        <v>0.0725</v>
      </c>
      <c r="I61" s="8">
        <f t="shared" si="18"/>
        <v>53.433230850590924</v>
      </c>
      <c r="J61" s="8">
        <f t="shared" si="19"/>
        <v>2109.840247959832</v>
      </c>
      <c r="K61" s="8"/>
      <c r="L61" s="8">
        <f t="shared" si="15"/>
        <v>11535.016057294428</v>
      </c>
    </row>
    <row r="62" spans="1:12" ht="15">
      <c r="A62" t="s">
        <v>11</v>
      </c>
      <c r="B62" s="20">
        <f t="shared" si="20"/>
        <v>3690.1274038572406</v>
      </c>
      <c r="C62" s="6">
        <f>'App 33 - Mar04 to Feb05 Revenue'!J$38</f>
        <v>2934.5365052125007</v>
      </c>
      <c r="D62" s="8"/>
      <c r="E62" s="8">
        <f t="shared" si="14"/>
        <v>755.5908986447398</v>
      </c>
      <c r="F62" s="8">
        <f t="shared" si="16"/>
        <v>10180.766707979335</v>
      </c>
      <c r="G62" s="8"/>
      <c r="H62" s="15">
        <f t="shared" si="17"/>
        <v>0.0725</v>
      </c>
      <c r="I62" s="8">
        <f t="shared" si="18"/>
        <v>56.94377051472984</v>
      </c>
      <c r="J62" s="8">
        <f t="shared" si="19"/>
        <v>2166.784018474562</v>
      </c>
      <c r="K62" s="8"/>
      <c r="L62" s="8">
        <f t="shared" si="15"/>
        <v>12347.550726453897</v>
      </c>
    </row>
    <row r="63" spans="1:12" ht="15">
      <c r="A63" t="s">
        <v>12</v>
      </c>
      <c r="B63" s="13">
        <f t="shared" si="20"/>
        <v>3690.1274038572406</v>
      </c>
      <c r="C63" s="7">
        <f>'App 33 - Mar04 to Feb05 Revenue'!K$38</f>
        <v>3407.8551030192107</v>
      </c>
      <c r="D63" s="14"/>
      <c r="E63" s="14">
        <f t="shared" si="14"/>
        <v>282.2723008380299</v>
      </c>
      <c r="F63" s="14">
        <f t="shared" si="16"/>
        <v>10463.039008817366</v>
      </c>
      <c r="G63" s="14"/>
      <c r="H63" s="17">
        <f t="shared" si="17"/>
        <v>0.0725</v>
      </c>
      <c r="I63" s="14">
        <f t="shared" si="18"/>
        <v>61.50879886070848</v>
      </c>
      <c r="J63" s="14">
        <f t="shared" si="19"/>
        <v>2228.2928173352702</v>
      </c>
      <c r="K63" s="14"/>
      <c r="L63" s="14">
        <f t="shared" si="15"/>
        <v>12691.331826152636</v>
      </c>
    </row>
    <row r="64" spans="1:12" ht="15">
      <c r="A64" s="2" t="s">
        <v>13</v>
      </c>
      <c r="B64" s="8">
        <f>SUM(B52:B63)</f>
        <v>48070.44197141106</v>
      </c>
      <c r="C64" s="8">
        <f>SUM(C52:C63)</f>
        <v>47561.47721144929</v>
      </c>
      <c r="D64" s="8">
        <f>SUM(D52:D63)</f>
        <v>4384</v>
      </c>
      <c r="E64" s="8">
        <f>SUM(E52:E63)</f>
        <v>4892.964759961784</v>
      </c>
      <c r="F64" s="8"/>
      <c r="G64" s="8"/>
      <c r="I64" s="8">
        <f>SUM(I52:I63)</f>
        <v>400.3308833572818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3" t="str">
        <f>$D$5</f>
        <v>SIMPILS True-Up Adjustments    (neg = CR)</v>
      </c>
      <c r="E68" s="62" t="s">
        <v>14</v>
      </c>
      <c r="F68" s="62"/>
      <c r="G68" s="10"/>
      <c r="H68" s="62" t="s">
        <v>15</v>
      </c>
      <c r="I68" s="62"/>
      <c r="J68" s="62"/>
      <c r="K68" s="10"/>
      <c r="L68" s="63" t="s">
        <v>5</v>
      </c>
    </row>
    <row r="69" spans="2:12" ht="45">
      <c r="B69" s="11" t="s">
        <v>2</v>
      </c>
      <c r="C69" s="11" t="s">
        <v>3</v>
      </c>
      <c r="D69" s="63"/>
      <c r="E69" s="10" t="s">
        <v>4</v>
      </c>
      <c r="F69" s="10" t="s">
        <v>65</v>
      </c>
      <c r="G69" s="10"/>
      <c r="H69" s="16" t="s">
        <v>6</v>
      </c>
      <c r="I69" s="10" t="s">
        <v>4</v>
      </c>
      <c r="J69" s="10" t="s">
        <v>65</v>
      </c>
      <c r="K69" s="10"/>
      <c r="L69" s="63"/>
    </row>
    <row r="70" spans="1:12" ht="15">
      <c r="A70" t="s">
        <v>7</v>
      </c>
      <c r="B70" s="12">
        <f>B63</f>
        <v>3690.1274038572406</v>
      </c>
      <c r="C70" s="6">
        <f>'App 33 - Mar04 to Feb05 Revenue'!L$38</f>
        <v>4373.280822602767</v>
      </c>
      <c r="D70" s="8"/>
      <c r="E70" s="8">
        <f aca="true" t="shared" si="21" ref="E70:E81">B70-C70+D70</f>
        <v>-683.1534187455268</v>
      </c>
      <c r="F70" s="8">
        <f>F63+E70</f>
        <v>9779.885590071839</v>
      </c>
      <c r="G70" s="8"/>
      <c r="H70" s="15">
        <f>H63</f>
        <v>0.0725</v>
      </c>
      <c r="I70" s="8">
        <f>H70*F63/12</f>
        <v>63.21419401160492</v>
      </c>
      <c r="J70" s="8">
        <f>J63+I70</f>
        <v>2291.507011346875</v>
      </c>
      <c r="K70" s="8"/>
      <c r="L70" s="8">
        <f aca="true" t="shared" si="22" ref="L70:L81">F70+J70</f>
        <v>12071.392601418715</v>
      </c>
    </row>
    <row r="71" spans="1:14" ht="15">
      <c r="A71" t="s">
        <v>8</v>
      </c>
      <c r="B71" s="12">
        <f>B63</f>
        <v>3690.1274038572406</v>
      </c>
      <c r="C71" s="6">
        <f>'App 33 - Mar04 to Feb05 Revenue'!M$38</f>
        <v>4464.328932259275</v>
      </c>
      <c r="D71" s="8"/>
      <c r="E71" s="8">
        <f t="shared" si="21"/>
        <v>-774.201528402034</v>
      </c>
      <c r="F71" s="8">
        <f>F70+E71</f>
        <v>9005.684061669805</v>
      </c>
      <c r="G71" s="8"/>
      <c r="H71" s="15">
        <f>H70</f>
        <v>0.0725</v>
      </c>
      <c r="I71" s="8">
        <f>H71*F70/12</f>
        <v>59.08680877335069</v>
      </c>
      <c r="J71" s="8">
        <f>I71+J70</f>
        <v>2350.5938201202257</v>
      </c>
      <c r="K71" s="8"/>
      <c r="L71" s="8">
        <f t="shared" si="22"/>
        <v>11356.27788179003</v>
      </c>
      <c r="N71" s="21"/>
    </row>
    <row r="72" spans="1:12" ht="15">
      <c r="A72" t="s">
        <v>9</v>
      </c>
      <c r="B72" s="12">
        <f>B71</f>
        <v>3690.1274038572406</v>
      </c>
      <c r="C72" s="6">
        <f>'App 34 - Mar05 to Apr06 Revenue'!B38+'App 33 - Mar04 to Feb05 Revenue'!N38</f>
        <v>5060.9432742671015</v>
      </c>
      <c r="D72" s="8"/>
      <c r="E72" s="8">
        <f t="shared" si="21"/>
        <v>-1370.815870409861</v>
      </c>
      <c r="F72" s="8">
        <f aca="true" t="shared" si="23" ref="F72:F81">F71+E72</f>
        <v>7634.868191259944</v>
      </c>
      <c r="G72" s="8"/>
      <c r="H72" s="15">
        <f aca="true" t="shared" si="24" ref="H72:H81">H71</f>
        <v>0.0725</v>
      </c>
      <c r="I72" s="8">
        <f>H72*F71/12</f>
        <v>54.40934120592173</v>
      </c>
      <c r="J72" s="8">
        <f>I72+J71</f>
        <v>2405.0031613261476</v>
      </c>
      <c r="K72" s="8"/>
      <c r="L72" s="8">
        <f t="shared" si="22"/>
        <v>10039.871352586091</v>
      </c>
    </row>
    <row r="73" spans="1:12" ht="15">
      <c r="A73" t="s">
        <v>16</v>
      </c>
      <c r="B73" s="6">
        <f>'PILS Entitlement Summary'!H8</f>
        <v>4585.391695645942</v>
      </c>
      <c r="C73" s="6">
        <f>'App 34 - Mar05 to Apr06 Revenue'!C$38</f>
        <v>5227.768114611676</v>
      </c>
      <c r="D73" s="8"/>
      <c r="E73" s="8">
        <f t="shared" si="21"/>
        <v>-642.376418965734</v>
      </c>
      <c r="F73" s="8">
        <f t="shared" si="23"/>
        <v>6992.49177229421</v>
      </c>
      <c r="G73" s="8"/>
      <c r="H73" s="15">
        <f t="shared" si="24"/>
        <v>0.0725</v>
      </c>
      <c r="I73" s="8">
        <f>H73*F72/12</f>
        <v>46.12732865552883</v>
      </c>
      <c r="J73" s="8">
        <f>I73+J72</f>
        <v>2451.1304899816764</v>
      </c>
      <c r="K73" s="8"/>
      <c r="L73" s="8">
        <f t="shared" si="22"/>
        <v>9443.622262275887</v>
      </c>
    </row>
    <row r="74" spans="1:12" ht="15">
      <c r="A74" t="s">
        <v>17</v>
      </c>
      <c r="B74" s="12">
        <f>B73</f>
        <v>4585.391695645942</v>
      </c>
      <c r="C74" s="6">
        <f>'App 34 - Mar05 to Apr06 Revenue'!D$38</f>
        <v>4330.4674967072915</v>
      </c>
      <c r="D74" s="8"/>
      <c r="E74" s="8">
        <f t="shared" si="21"/>
        <v>254.92419893865008</v>
      </c>
      <c r="F74" s="8">
        <f t="shared" si="23"/>
        <v>7247.41597123286</v>
      </c>
      <c r="G74" s="8"/>
      <c r="H74" s="15">
        <f t="shared" si="24"/>
        <v>0.0725</v>
      </c>
      <c r="I74" s="8">
        <f aca="true" t="shared" si="25" ref="I74:I81">H74*F73/12</f>
        <v>42.24630445761085</v>
      </c>
      <c r="J74" s="8">
        <f aca="true" t="shared" si="26" ref="J74:J81">I74+J73</f>
        <v>2493.376794439287</v>
      </c>
      <c r="K74" s="8"/>
      <c r="L74" s="8">
        <f t="shared" si="22"/>
        <v>9740.792765672148</v>
      </c>
    </row>
    <row r="75" spans="1:12" ht="15">
      <c r="A75" t="s">
        <v>18</v>
      </c>
      <c r="B75" s="12">
        <f aca="true" t="shared" si="27" ref="B75:B81">B74</f>
        <v>4585.391695645942</v>
      </c>
      <c r="C75" s="6">
        <f>'App 34 - Mar05 to Apr06 Revenue'!E$38</f>
        <v>4413.716609027664</v>
      </c>
      <c r="D75" s="8"/>
      <c r="E75" s="8">
        <f t="shared" si="21"/>
        <v>171.67508661827742</v>
      </c>
      <c r="F75" s="8">
        <f t="shared" si="23"/>
        <v>7419.0910578511375</v>
      </c>
      <c r="G75" s="8"/>
      <c r="H75" s="15">
        <f t="shared" si="24"/>
        <v>0.0725</v>
      </c>
      <c r="I75" s="8">
        <f t="shared" si="25"/>
        <v>43.78647149286519</v>
      </c>
      <c r="J75" s="8">
        <f t="shared" si="26"/>
        <v>2537.163265932152</v>
      </c>
      <c r="K75" s="8"/>
      <c r="L75" s="8">
        <f t="shared" si="22"/>
        <v>9956.25432378329</v>
      </c>
    </row>
    <row r="76" spans="1:12" ht="15">
      <c r="A76" t="s">
        <v>19</v>
      </c>
      <c r="B76" s="12">
        <f t="shared" si="27"/>
        <v>4585.391695645942</v>
      </c>
      <c r="C76" s="6">
        <f>'App 34 - Mar05 to Apr06 Revenue'!F$38</f>
        <v>4711.348774955265</v>
      </c>
      <c r="D76" s="6">
        <v>4384</v>
      </c>
      <c r="E76" s="8">
        <f t="shared" si="21"/>
        <v>4258.0429206906765</v>
      </c>
      <c r="F76" s="8">
        <f t="shared" si="23"/>
        <v>11677.133978541813</v>
      </c>
      <c r="G76" s="8"/>
      <c r="H76" s="15">
        <f t="shared" si="24"/>
        <v>0.0725</v>
      </c>
      <c r="I76" s="8">
        <f t="shared" si="25"/>
        <v>44.82367514118395</v>
      </c>
      <c r="J76" s="8">
        <f t="shared" si="26"/>
        <v>2581.9869410733363</v>
      </c>
      <c r="K76" s="8"/>
      <c r="L76" s="8">
        <f t="shared" si="22"/>
        <v>14259.12091961515</v>
      </c>
    </row>
    <row r="77" spans="1:12" ht="15">
      <c r="A77" t="s">
        <v>20</v>
      </c>
      <c r="B77" s="12">
        <f t="shared" si="27"/>
        <v>4585.391695645942</v>
      </c>
      <c r="C77" s="6">
        <f>'App 34 - Mar05 to Apr06 Revenue'!G$38</f>
        <v>4401.10159774332</v>
      </c>
      <c r="D77" s="8"/>
      <c r="E77" s="8">
        <f t="shared" si="21"/>
        <v>184.2900979026217</v>
      </c>
      <c r="F77" s="8">
        <f t="shared" si="23"/>
        <v>11861.424076444435</v>
      </c>
      <c r="G77" s="8"/>
      <c r="H77" s="15">
        <f t="shared" si="24"/>
        <v>0.0725</v>
      </c>
      <c r="I77" s="8">
        <f t="shared" si="25"/>
        <v>70.54935112035677</v>
      </c>
      <c r="J77" s="8">
        <f t="shared" si="26"/>
        <v>2652.536292193693</v>
      </c>
      <c r="K77" s="8"/>
      <c r="L77" s="8">
        <f t="shared" si="22"/>
        <v>14513.960368638127</v>
      </c>
    </row>
    <row r="78" spans="1:12" ht="15">
      <c r="A78" t="s">
        <v>21</v>
      </c>
      <c r="B78" s="12">
        <f t="shared" si="27"/>
        <v>4585.391695645942</v>
      </c>
      <c r="C78" s="6">
        <f>'App 34 - Mar05 to Apr06 Revenue'!H$38</f>
        <v>4724.233861595405</v>
      </c>
      <c r="D78" s="8"/>
      <c r="E78" s="8">
        <f t="shared" si="21"/>
        <v>-138.84216594946338</v>
      </c>
      <c r="F78" s="8">
        <f t="shared" si="23"/>
        <v>11722.581910494971</v>
      </c>
      <c r="G78" s="8"/>
      <c r="H78" s="15">
        <f t="shared" si="24"/>
        <v>0.0725</v>
      </c>
      <c r="I78" s="8">
        <f t="shared" si="25"/>
        <v>71.66277046185179</v>
      </c>
      <c r="J78" s="8">
        <f t="shared" si="26"/>
        <v>2724.199062655545</v>
      </c>
      <c r="K78" s="8"/>
      <c r="L78" s="8">
        <f t="shared" si="22"/>
        <v>14446.780973150517</v>
      </c>
    </row>
    <row r="79" spans="1:12" ht="15">
      <c r="A79" t="s">
        <v>10</v>
      </c>
      <c r="B79" s="12">
        <f t="shared" si="27"/>
        <v>4585.391695645942</v>
      </c>
      <c r="C79" s="6">
        <f>'App 34 - Mar05 to Apr06 Revenue'!I$38</f>
        <v>4258.495603470103</v>
      </c>
      <c r="D79" s="8"/>
      <c r="E79" s="8">
        <f t="shared" si="21"/>
        <v>326.89609217583893</v>
      </c>
      <c r="F79" s="8">
        <f t="shared" si="23"/>
        <v>12049.47800267081</v>
      </c>
      <c r="G79" s="8"/>
      <c r="H79" s="15">
        <f t="shared" si="24"/>
        <v>0.0725</v>
      </c>
      <c r="I79" s="8">
        <f t="shared" si="25"/>
        <v>70.82393237590712</v>
      </c>
      <c r="J79" s="8">
        <f t="shared" si="26"/>
        <v>2795.022995031452</v>
      </c>
      <c r="K79" s="8"/>
      <c r="L79" s="8">
        <f t="shared" si="22"/>
        <v>14844.500997702262</v>
      </c>
    </row>
    <row r="80" spans="1:12" ht="15">
      <c r="A80" t="s">
        <v>11</v>
      </c>
      <c r="B80" s="12">
        <f t="shared" si="27"/>
        <v>4585.391695645942</v>
      </c>
      <c r="C80" s="6">
        <f>'App 34 - Mar05 to Apr06 Revenue'!J$38</f>
        <v>5063.665146710298</v>
      </c>
      <c r="D80" s="8"/>
      <c r="E80" s="8">
        <f t="shared" si="21"/>
        <v>-478.2734510643568</v>
      </c>
      <c r="F80" s="8">
        <f t="shared" si="23"/>
        <v>11571.204551606454</v>
      </c>
      <c r="G80" s="8"/>
      <c r="H80" s="15">
        <f t="shared" si="24"/>
        <v>0.0725</v>
      </c>
      <c r="I80" s="8">
        <f t="shared" si="25"/>
        <v>72.79892959946947</v>
      </c>
      <c r="J80" s="8">
        <f t="shared" si="26"/>
        <v>2867.8219246309213</v>
      </c>
      <c r="K80" s="8"/>
      <c r="L80" s="8">
        <f t="shared" si="22"/>
        <v>14439.026476237375</v>
      </c>
    </row>
    <row r="81" spans="1:12" ht="15">
      <c r="A81" t="s">
        <v>12</v>
      </c>
      <c r="B81" s="13">
        <f t="shared" si="27"/>
        <v>4585.391695645942</v>
      </c>
      <c r="C81" s="7">
        <f>'App 34 - Mar05 to Apr06 Revenue'!K$38</f>
        <v>3726.6393757490127</v>
      </c>
      <c r="D81" s="14"/>
      <c r="E81" s="14">
        <f t="shared" si="21"/>
        <v>858.7523198969288</v>
      </c>
      <c r="F81" s="14">
        <f t="shared" si="23"/>
        <v>12429.956871503382</v>
      </c>
      <c r="G81" s="14"/>
      <c r="H81" s="17">
        <f t="shared" si="24"/>
        <v>0.0725</v>
      </c>
      <c r="I81" s="14">
        <f t="shared" si="25"/>
        <v>69.90936083262231</v>
      </c>
      <c r="J81" s="14">
        <f t="shared" si="26"/>
        <v>2937.731285463544</v>
      </c>
      <c r="K81" s="14"/>
      <c r="L81" s="14">
        <f t="shared" si="22"/>
        <v>15367.688156966926</v>
      </c>
    </row>
    <row r="82" spans="1:12" ht="15">
      <c r="A82" s="2" t="s">
        <v>13</v>
      </c>
      <c r="B82" s="8">
        <f>SUM(B70:B81)</f>
        <v>52338.90747238521</v>
      </c>
      <c r="C82" s="8">
        <f>SUM(C70:C81)</f>
        <v>54755.98960969919</v>
      </c>
      <c r="D82" s="8">
        <f>SUM(D70:D81)</f>
        <v>4384</v>
      </c>
      <c r="E82" s="8">
        <f>SUM(E70:E81)</f>
        <v>1966.9178626860175</v>
      </c>
      <c r="F82" s="8"/>
      <c r="G82" s="8"/>
      <c r="I82" s="8">
        <f>SUM(I70:I81)</f>
        <v>709.4384681282736</v>
      </c>
      <c r="J82" s="8"/>
      <c r="K82" s="8"/>
      <c r="L82" s="8"/>
    </row>
    <row r="83" spans="2:12" ht="1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.75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5">
      <c r="B86" s="10"/>
      <c r="C86" s="10"/>
      <c r="D86" s="63" t="str">
        <f>$D$5</f>
        <v>SIMPILS True-Up Adjustments    (neg = CR)</v>
      </c>
      <c r="E86" s="62" t="s">
        <v>14</v>
      </c>
      <c r="F86" s="62"/>
      <c r="G86" s="10"/>
      <c r="H86" s="62" t="s">
        <v>15</v>
      </c>
      <c r="I86" s="62"/>
      <c r="J86" s="62"/>
      <c r="K86" s="10"/>
      <c r="L86" s="63" t="s">
        <v>5</v>
      </c>
    </row>
    <row r="87" spans="2:12" ht="30">
      <c r="B87" s="11" t="s">
        <v>2</v>
      </c>
      <c r="C87" s="11" t="s">
        <v>3</v>
      </c>
      <c r="D87" s="63"/>
      <c r="E87" s="10" t="s">
        <v>4</v>
      </c>
      <c r="F87" s="10" t="s">
        <v>65</v>
      </c>
      <c r="G87" s="10"/>
      <c r="H87" s="16" t="s">
        <v>6</v>
      </c>
      <c r="I87" s="10" t="s">
        <v>4</v>
      </c>
      <c r="J87" s="10" t="s">
        <v>65</v>
      </c>
      <c r="K87" s="10"/>
      <c r="L87" s="63"/>
    </row>
    <row r="88" spans="1:12" ht="15">
      <c r="A88" t="s">
        <v>7</v>
      </c>
      <c r="B88" s="12">
        <f>B81</f>
        <v>4585.391695645942</v>
      </c>
      <c r="C88" s="6">
        <f>'App 34 - Mar05 to Apr06 Revenue'!L$38</f>
        <v>5851.893519791815</v>
      </c>
      <c r="D88" s="8"/>
      <c r="E88" s="8">
        <f aca="true" t="shared" si="28" ref="E88:E99">B88-C88+D88</f>
        <v>-1266.5018241458738</v>
      </c>
      <c r="F88" s="8">
        <f>F81+E88</f>
        <v>11163.455047357507</v>
      </c>
      <c r="G88" s="8"/>
      <c r="H88" s="15">
        <f>H81</f>
        <v>0.0725</v>
      </c>
      <c r="I88" s="8">
        <f>H88*F81/12</f>
        <v>75.09765609866626</v>
      </c>
      <c r="J88" s="8">
        <f>J81+I88</f>
        <v>3012.8289415622103</v>
      </c>
      <c r="K88" s="8"/>
      <c r="L88" s="8">
        <f aca="true" t="shared" si="29" ref="L88:L99">F88+J88</f>
        <v>14176.283988919717</v>
      </c>
    </row>
    <row r="89" spans="1:12" ht="15">
      <c r="A89" t="s">
        <v>8</v>
      </c>
      <c r="B89" s="12">
        <f>B88</f>
        <v>4585.391695645942</v>
      </c>
      <c r="C89" s="6">
        <f>'App 34 - Mar05 to Apr06 Revenue'!M$38</f>
        <v>5663.426433863245</v>
      </c>
      <c r="D89" s="8"/>
      <c r="E89" s="8">
        <f t="shared" si="28"/>
        <v>-1078.0347382173031</v>
      </c>
      <c r="F89" s="8">
        <f>F88+E89</f>
        <v>10085.420309140205</v>
      </c>
      <c r="G89" s="8"/>
      <c r="H89" s="15">
        <f>H88</f>
        <v>0.0725</v>
      </c>
      <c r="I89" s="8">
        <f>H89*F88/12</f>
        <v>67.4458742444516</v>
      </c>
      <c r="J89" s="8">
        <f>I89+J88</f>
        <v>3080.274815806662</v>
      </c>
      <c r="K89" s="8"/>
      <c r="L89" s="8">
        <f t="shared" si="29"/>
        <v>13165.695124946868</v>
      </c>
    </row>
    <row r="90" spans="1:12" ht="15">
      <c r="A90" t="s">
        <v>9</v>
      </c>
      <c r="B90" s="12">
        <f>B89</f>
        <v>4585.391695645942</v>
      </c>
      <c r="C90" s="6">
        <f>'App 34 - Mar05 to Apr06 Revenue'!N$38</f>
        <v>6360.560057457155</v>
      </c>
      <c r="D90" s="8"/>
      <c r="E90" s="8">
        <f t="shared" si="28"/>
        <v>-1775.1683618112138</v>
      </c>
      <c r="F90" s="8">
        <f aca="true" t="shared" si="30" ref="F90:F99">F89+E90</f>
        <v>8310.25194732899</v>
      </c>
      <c r="G90" s="8"/>
      <c r="H90" s="15">
        <f aca="true" t="shared" si="31" ref="H90:H99">H89</f>
        <v>0.0725</v>
      </c>
      <c r="I90" s="8">
        <f>H90*F89/12</f>
        <v>60.932747701055405</v>
      </c>
      <c r="J90" s="8">
        <f>I90+J89</f>
        <v>3141.207563507717</v>
      </c>
      <c r="K90" s="8"/>
      <c r="L90" s="8">
        <f t="shared" si="29"/>
        <v>11451.459510836707</v>
      </c>
    </row>
    <row r="91" spans="1:12" ht="15">
      <c r="A91" t="s">
        <v>16</v>
      </c>
      <c r="B91" s="12">
        <f>B90</f>
        <v>4585.391695645942</v>
      </c>
      <c r="C91" s="6">
        <f>'App 34 - Mar05 to Apr06 Revenue'!O$38</f>
        <v>4394.70306179157</v>
      </c>
      <c r="D91" s="8"/>
      <c r="E91" s="8">
        <f t="shared" si="28"/>
        <v>190.6886338543718</v>
      </c>
      <c r="F91" s="8">
        <f t="shared" si="30"/>
        <v>8500.940581183362</v>
      </c>
      <c r="G91" s="8"/>
      <c r="H91" s="18">
        <f>H90</f>
        <v>0.0725</v>
      </c>
      <c r="I91" s="8">
        <f>H91*F90/12</f>
        <v>50.20777218177931</v>
      </c>
      <c r="J91" s="8">
        <f>I91+J90</f>
        <v>3191.4153356894963</v>
      </c>
      <c r="K91" s="8"/>
      <c r="L91" s="8">
        <f t="shared" si="29"/>
        <v>11692.355916872859</v>
      </c>
    </row>
    <row r="92" spans="1:12" ht="15">
      <c r="A92" t="s">
        <v>17</v>
      </c>
      <c r="B92" s="12"/>
      <c r="C92" s="6">
        <f>'App 34 - Mar05 to Apr06 Revenue'!P$38</f>
        <v>2371.351278778534</v>
      </c>
      <c r="D92" s="8"/>
      <c r="E92" s="8">
        <f t="shared" si="28"/>
        <v>-2371.351278778534</v>
      </c>
      <c r="F92" s="8">
        <f t="shared" si="30"/>
        <v>6129.589302404828</v>
      </c>
      <c r="G92" s="8"/>
      <c r="H92" s="4">
        <v>0.0414</v>
      </c>
      <c r="I92" s="8">
        <f aca="true" t="shared" si="32" ref="I92:I99">H92*F91/12</f>
        <v>29.328245005082596</v>
      </c>
      <c r="J92" s="8">
        <f aca="true" t="shared" si="33" ref="J92:J99">I92+J91</f>
        <v>3220.7435806945787</v>
      </c>
      <c r="K92" s="8"/>
      <c r="L92" s="8">
        <f t="shared" si="29"/>
        <v>9350.332883099407</v>
      </c>
    </row>
    <row r="93" spans="1:12" ht="1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6129.589302404828</v>
      </c>
      <c r="G93" s="8"/>
      <c r="H93" s="15">
        <f t="shared" si="31"/>
        <v>0.0414</v>
      </c>
      <c r="I93" s="8">
        <f t="shared" si="32"/>
        <v>21.147083093296658</v>
      </c>
      <c r="J93" s="8">
        <f t="shared" si="33"/>
        <v>3241.8906637878754</v>
      </c>
      <c r="K93" s="8"/>
      <c r="L93" s="8">
        <f t="shared" si="29"/>
        <v>9371.479966192703</v>
      </c>
    </row>
    <row r="94" spans="1:15" ht="15">
      <c r="A94" t="s">
        <v>19</v>
      </c>
      <c r="B94" s="12"/>
      <c r="C94" s="12"/>
      <c r="D94" s="6">
        <v>0</v>
      </c>
      <c r="E94" s="8">
        <f t="shared" si="28"/>
        <v>0</v>
      </c>
      <c r="F94" s="8">
        <f t="shared" si="30"/>
        <v>6129.589302404828</v>
      </c>
      <c r="G94" s="8"/>
      <c r="H94" s="4">
        <v>0.0459</v>
      </c>
      <c r="I94" s="8">
        <f t="shared" si="32"/>
        <v>23.44567908169847</v>
      </c>
      <c r="J94" s="8">
        <f t="shared" si="33"/>
        <v>3265.336342869574</v>
      </c>
      <c r="K94" s="8"/>
      <c r="L94" s="8">
        <f t="shared" si="29"/>
        <v>9394.925645274401</v>
      </c>
      <c r="O94" s="21"/>
    </row>
    <row r="95" spans="1:15" ht="1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6129.589302404828</v>
      </c>
      <c r="G95" s="8"/>
      <c r="H95" s="15">
        <f t="shared" si="31"/>
        <v>0.0459</v>
      </c>
      <c r="I95" s="8">
        <f t="shared" si="32"/>
        <v>23.44567908169847</v>
      </c>
      <c r="J95" s="8">
        <f t="shared" si="33"/>
        <v>3288.7820219512723</v>
      </c>
      <c r="K95" s="8"/>
      <c r="L95" s="8">
        <f t="shared" si="29"/>
        <v>9418.3713243561</v>
      </c>
      <c r="O95" s="21"/>
    </row>
    <row r="96" spans="1:12" ht="1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6129.589302404828</v>
      </c>
      <c r="G96" s="8"/>
      <c r="H96" s="15">
        <f t="shared" si="31"/>
        <v>0.0459</v>
      </c>
      <c r="I96" s="8">
        <f t="shared" si="32"/>
        <v>23.44567908169847</v>
      </c>
      <c r="J96" s="8">
        <f t="shared" si="33"/>
        <v>3312.227701032971</v>
      </c>
      <c r="K96" s="8"/>
      <c r="L96" s="8">
        <f t="shared" si="29"/>
        <v>9441.817003437798</v>
      </c>
    </row>
    <row r="97" spans="1:12" ht="1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6129.589302404828</v>
      </c>
      <c r="G97" s="8"/>
      <c r="H97" s="18">
        <f t="shared" si="31"/>
        <v>0.0459</v>
      </c>
      <c r="I97" s="8">
        <f t="shared" si="32"/>
        <v>23.44567908169847</v>
      </c>
      <c r="J97" s="8">
        <f t="shared" si="33"/>
        <v>3335.6733801146693</v>
      </c>
      <c r="K97" s="8"/>
      <c r="L97" s="8">
        <f t="shared" si="29"/>
        <v>9465.262682519497</v>
      </c>
    </row>
    <row r="98" spans="1:12" ht="1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6129.589302404828</v>
      </c>
      <c r="G98" s="8"/>
      <c r="H98" s="15">
        <f t="shared" si="31"/>
        <v>0.0459</v>
      </c>
      <c r="I98" s="8">
        <f t="shared" si="32"/>
        <v>23.44567908169847</v>
      </c>
      <c r="J98" s="8">
        <f t="shared" si="33"/>
        <v>3359.1190591963677</v>
      </c>
      <c r="K98" s="8"/>
      <c r="L98" s="8">
        <f t="shared" si="29"/>
        <v>9488.708361601195</v>
      </c>
    </row>
    <row r="99" spans="1:12" ht="1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6129.589302404828</v>
      </c>
      <c r="G99" s="14"/>
      <c r="H99" s="17">
        <f t="shared" si="31"/>
        <v>0.0459</v>
      </c>
      <c r="I99" s="14">
        <f t="shared" si="32"/>
        <v>23.44567908169847</v>
      </c>
      <c r="J99" s="14">
        <f t="shared" si="33"/>
        <v>3382.564738278066</v>
      </c>
      <c r="K99" s="14"/>
      <c r="L99" s="14">
        <f t="shared" si="29"/>
        <v>9512.154040682894</v>
      </c>
    </row>
    <row r="100" spans="1:14" ht="15">
      <c r="A100" s="2" t="s">
        <v>13</v>
      </c>
      <c r="B100" s="8">
        <f>SUM(B88:B99)</f>
        <v>18341.566782583766</v>
      </c>
      <c r="C100" s="8">
        <f>SUM(C88:C99)</f>
        <v>24641.934351682317</v>
      </c>
      <c r="D100" s="8">
        <f>SUM(D88:D99)</f>
        <v>0</v>
      </c>
      <c r="E100" s="8">
        <f>SUM(E88:E99)</f>
        <v>-6300.367569098553</v>
      </c>
      <c r="F100" s="8"/>
      <c r="G100" s="8"/>
      <c r="I100" s="8">
        <f>SUM(I88:I99)</f>
        <v>444.8334528145227</v>
      </c>
      <c r="J100" s="8"/>
      <c r="K100" s="8"/>
      <c r="L100" s="8"/>
      <c r="N100" s="21"/>
    </row>
    <row r="101" spans="1:12" ht="30" customHeight="1">
      <c r="A101" s="36" t="s">
        <v>112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.75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5">
      <c r="B104" s="10"/>
      <c r="C104" s="10"/>
      <c r="D104" s="63" t="str">
        <f>$D$5</f>
        <v>SIMPILS True-Up Adjustments    (neg = CR)</v>
      </c>
      <c r="E104" s="62" t="s">
        <v>14</v>
      </c>
      <c r="F104" s="62"/>
      <c r="G104" s="10"/>
      <c r="H104" s="62" t="s">
        <v>15</v>
      </c>
      <c r="I104" s="62"/>
      <c r="J104" s="62"/>
      <c r="K104" s="10"/>
      <c r="L104" s="63" t="s">
        <v>5</v>
      </c>
    </row>
    <row r="105" spans="2:12" ht="30">
      <c r="B105" s="11" t="s">
        <v>2</v>
      </c>
      <c r="C105" s="11" t="s">
        <v>3</v>
      </c>
      <c r="D105" s="63"/>
      <c r="E105" s="10" t="s">
        <v>4</v>
      </c>
      <c r="F105" s="10" t="s">
        <v>65</v>
      </c>
      <c r="G105" s="10"/>
      <c r="H105" s="16" t="s">
        <v>6</v>
      </c>
      <c r="I105" s="10" t="s">
        <v>4</v>
      </c>
      <c r="J105" s="10" t="s">
        <v>65</v>
      </c>
      <c r="K105" s="10"/>
      <c r="L105" s="63"/>
    </row>
    <row r="106" spans="1:12" ht="1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6129.589302404828</v>
      </c>
      <c r="G106" s="8"/>
      <c r="H106" s="15">
        <f>H99</f>
        <v>0.0459</v>
      </c>
      <c r="I106" s="8">
        <f>H106*F99/12</f>
        <v>23.44567908169847</v>
      </c>
      <c r="J106" s="8">
        <f>J99+I106</f>
        <v>3406.0104173597647</v>
      </c>
      <c r="K106" s="8"/>
      <c r="L106" s="8">
        <f aca="true" t="shared" si="35" ref="L106:L117">F106+J106</f>
        <v>9535.599719764592</v>
      </c>
    </row>
    <row r="107" spans="1:12" ht="1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6129.589302404828</v>
      </c>
      <c r="G107" s="8"/>
      <c r="H107" s="15">
        <f>H106</f>
        <v>0.0459</v>
      </c>
      <c r="I107" s="8">
        <f>H107*F106/12</f>
        <v>23.44567908169847</v>
      </c>
      <c r="J107" s="8">
        <f>I107+J106</f>
        <v>3429.456096441463</v>
      </c>
      <c r="K107" s="8"/>
      <c r="L107" s="8">
        <f t="shared" si="35"/>
        <v>9559.04539884629</v>
      </c>
    </row>
    <row r="108" spans="1:12" ht="1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6129.589302404828</v>
      </c>
      <c r="G108" s="8"/>
      <c r="H108" s="15">
        <f aca="true" t="shared" si="37" ref="H108:H117">H107</f>
        <v>0.0459</v>
      </c>
      <c r="I108" s="8">
        <f>H108*F107/12</f>
        <v>23.44567908169847</v>
      </c>
      <c r="J108" s="8">
        <f>I108+J107</f>
        <v>3452.9017755231616</v>
      </c>
      <c r="K108" s="8"/>
      <c r="L108" s="8">
        <f t="shared" si="35"/>
        <v>9582.491077927989</v>
      </c>
    </row>
    <row r="109" spans="1:12" ht="1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6129.589302404828</v>
      </c>
      <c r="G109" s="8"/>
      <c r="H109" s="15">
        <f t="shared" si="37"/>
        <v>0.0459</v>
      </c>
      <c r="I109" s="8">
        <f>H109*F108/12</f>
        <v>23.44567908169847</v>
      </c>
      <c r="J109" s="8">
        <f>I109+J108</f>
        <v>3476.34745460486</v>
      </c>
      <c r="K109" s="8"/>
      <c r="L109" s="8">
        <f t="shared" si="35"/>
        <v>9605.936757009687</v>
      </c>
    </row>
    <row r="110" spans="1:12" ht="1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6129.589302404828</v>
      </c>
      <c r="G110" s="8"/>
      <c r="H110" s="15">
        <f t="shared" si="37"/>
        <v>0.0459</v>
      </c>
      <c r="I110" s="8">
        <f aca="true" t="shared" si="38" ref="I110:I117">H110*F109/12</f>
        <v>23.44567908169847</v>
      </c>
      <c r="J110" s="8">
        <f aca="true" t="shared" si="39" ref="J110:J117">I110+J109</f>
        <v>3499.7931336865586</v>
      </c>
      <c r="K110" s="8"/>
      <c r="L110" s="8">
        <f t="shared" si="35"/>
        <v>9629.382436091386</v>
      </c>
    </row>
    <row r="111" spans="1:12" ht="1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6129.589302404828</v>
      </c>
      <c r="G111" s="8"/>
      <c r="H111" s="15">
        <f t="shared" si="37"/>
        <v>0.0459</v>
      </c>
      <c r="I111" s="8">
        <f t="shared" si="38"/>
        <v>23.44567908169847</v>
      </c>
      <c r="J111" s="8">
        <f t="shared" si="39"/>
        <v>3523.238812768257</v>
      </c>
      <c r="K111" s="8"/>
      <c r="L111" s="8">
        <f t="shared" si="35"/>
        <v>9652.828115173084</v>
      </c>
    </row>
    <row r="112" spans="1:12" ht="1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6129.589302404828</v>
      </c>
      <c r="G112" s="8"/>
      <c r="H112" s="15">
        <f t="shared" si="37"/>
        <v>0.0459</v>
      </c>
      <c r="I112" s="8">
        <f t="shared" si="38"/>
        <v>23.44567908169847</v>
      </c>
      <c r="J112" s="8">
        <f t="shared" si="39"/>
        <v>3546.6844918499555</v>
      </c>
      <c r="K112" s="8"/>
      <c r="L112" s="8">
        <f t="shared" si="35"/>
        <v>9676.273794254783</v>
      </c>
    </row>
    <row r="113" spans="1:12" ht="1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6129.589302404828</v>
      </c>
      <c r="G113" s="8"/>
      <c r="H113" s="15">
        <f t="shared" si="37"/>
        <v>0.0459</v>
      </c>
      <c r="I113" s="8">
        <f t="shared" si="38"/>
        <v>23.44567908169847</v>
      </c>
      <c r="J113" s="8">
        <f t="shared" si="39"/>
        <v>3570.130170931654</v>
      </c>
      <c r="K113" s="8"/>
      <c r="L113" s="8">
        <f t="shared" si="35"/>
        <v>9699.719473336481</v>
      </c>
    </row>
    <row r="114" spans="1:12" ht="1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6129.589302404828</v>
      </c>
      <c r="G114" s="8"/>
      <c r="H114" s="15">
        <f t="shared" si="37"/>
        <v>0.0459</v>
      </c>
      <c r="I114" s="8">
        <f t="shared" si="38"/>
        <v>23.44567908169847</v>
      </c>
      <c r="J114" s="8">
        <f t="shared" si="39"/>
        <v>3593.5758500133525</v>
      </c>
      <c r="K114" s="8"/>
      <c r="L114" s="8">
        <f t="shared" si="35"/>
        <v>9723.16515241818</v>
      </c>
    </row>
    <row r="115" spans="1:12" ht="1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6129.589302404828</v>
      </c>
      <c r="G115" s="8"/>
      <c r="H115" s="4">
        <v>0.0514</v>
      </c>
      <c r="I115" s="8">
        <f t="shared" si="38"/>
        <v>26.255074178634015</v>
      </c>
      <c r="J115" s="8">
        <f t="shared" si="39"/>
        <v>3619.8309241919865</v>
      </c>
      <c r="K115" s="8"/>
      <c r="L115" s="8">
        <f t="shared" si="35"/>
        <v>9749.420226596814</v>
      </c>
    </row>
    <row r="116" spans="1:12" ht="1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6129.589302404828</v>
      </c>
      <c r="G116" s="8"/>
      <c r="H116" s="15">
        <f t="shared" si="37"/>
        <v>0.0514</v>
      </c>
      <c r="I116" s="8">
        <f t="shared" si="38"/>
        <v>26.255074178634015</v>
      </c>
      <c r="J116" s="8">
        <f t="shared" si="39"/>
        <v>3646.0859983706205</v>
      </c>
      <c r="K116" s="8"/>
      <c r="L116" s="8">
        <f t="shared" si="35"/>
        <v>9775.675300775449</v>
      </c>
    </row>
    <row r="117" spans="1:12" ht="1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6129.589302404828</v>
      </c>
      <c r="G117" s="14"/>
      <c r="H117" s="17">
        <f t="shared" si="37"/>
        <v>0.0514</v>
      </c>
      <c r="I117" s="14">
        <f t="shared" si="38"/>
        <v>26.255074178634015</v>
      </c>
      <c r="J117" s="14">
        <f t="shared" si="39"/>
        <v>3672.3410725492545</v>
      </c>
      <c r="K117" s="14"/>
      <c r="L117" s="14">
        <f t="shared" si="35"/>
        <v>9801.930374954083</v>
      </c>
    </row>
    <row r="118" spans="1:12" ht="1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289.77633427118826</v>
      </c>
      <c r="J118" s="8"/>
      <c r="K118" s="8"/>
      <c r="L118" s="8"/>
    </row>
    <row r="119" spans="2:12" ht="1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.75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5">
      <c r="B122" s="10"/>
      <c r="C122" s="10"/>
      <c r="D122" s="63" t="str">
        <f>$D$5</f>
        <v>SIMPILS True-Up Adjustments    (neg = CR)</v>
      </c>
      <c r="E122" s="62" t="s">
        <v>14</v>
      </c>
      <c r="F122" s="62"/>
      <c r="G122" s="10"/>
      <c r="H122" s="62" t="s">
        <v>15</v>
      </c>
      <c r="I122" s="62"/>
      <c r="J122" s="62"/>
      <c r="K122" s="10"/>
      <c r="L122" s="63" t="s">
        <v>5</v>
      </c>
    </row>
    <row r="123" spans="2:12" ht="30">
      <c r="B123" s="11" t="s">
        <v>2</v>
      </c>
      <c r="C123" s="11" t="s">
        <v>3</v>
      </c>
      <c r="D123" s="63"/>
      <c r="E123" s="10" t="s">
        <v>4</v>
      </c>
      <c r="F123" s="10" t="s">
        <v>65</v>
      </c>
      <c r="G123" s="10"/>
      <c r="H123" s="16" t="s">
        <v>6</v>
      </c>
      <c r="I123" s="10" t="s">
        <v>4</v>
      </c>
      <c r="J123" s="10" t="s">
        <v>65</v>
      </c>
      <c r="K123" s="10"/>
      <c r="L123" s="63"/>
    </row>
    <row r="124" spans="1:12" ht="1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6129.589302404828</v>
      </c>
      <c r="G124" s="8"/>
      <c r="H124" s="15">
        <f>H117</f>
        <v>0.0514</v>
      </c>
      <c r="I124" s="8">
        <f>H124*F117/12</f>
        <v>26.255074178634015</v>
      </c>
      <c r="J124" s="8">
        <f>J117+I124</f>
        <v>3698.5961467278885</v>
      </c>
      <c r="K124" s="8"/>
      <c r="L124" s="8">
        <f aca="true" t="shared" si="41" ref="L124:L135">F124+J124</f>
        <v>9828.185449132718</v>
      </c>
    </row>
    <row r="125" spans="1:12" ht="1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6129.589302404828</v>
      </c>
      <c r="G125" s="8"/>
      <c r="H125" s="15">
        <f>H124</f>
        <v>0.0514</v>
      </c>
      <c r="I125" s="8">
        <f>H125*F124/12</f>
        <v>26.255074178634015</v>
      </c>
      <c r="J125" s="8">
        <f>I125+J124</f>
        <v>3724.8512209065225</v>
      </c>
      <c r="K125" s="8"/>
      <c r="L125" s="8">
        <f t="shared" si="41"/>
        <v>9854.44052331135</v>
      </c>
    </row>
    <row r="126" spans="1:12" ht="1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6129.589302404828</v>
      </c>
      <c r="G126" s="8"/>
      <c r="H126" s="15">
        <f aca="true" t="shared" si="43" ref="H126:H135">H125</f>
        <v>0.0514</v>
      </c>
      <c r="I126" s="8">
        <f>H126*F125/12</f>
        <v>26.255074178634015</v>
      </c>
      <c r="J126" s="8">
        <f>I126+J125</f>
        <v>3751.1062950851565</v>
      </c>
      <c r="K126" s="8"/>
      <c r="L126" s="8">
        <f t="shared" si="41"/>
        <v>9880.695597489985</v>
      </c>
    </row>
    <row r="127" spans="1:12" ht="1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6129.589302404828</v>
      </c>
      <c r="G127" s="8"/>
      <c r="H127" s="4">
        <v>0.0408</v>
      </c>
      <c r="I127" s="8">
        <f>H127*F126/12</f>
        <v>20.840603628176417</v>
      </c>
      <c r="J127" s="8">
        <f>I127+J126</f>
        <v>3771.9468987133328</v>
      </c>
      <c r="K127" s="8"/>
      <c r="L127" s="8">
        <f t="shared" si="41"/>
        <v>9901.53620111816</v>
      </c>
    </row>
    <row r="128" spans="1:12" ht="1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6129.589302404828</v>
      </c>
      <c r="G128" s="8"/>
      <c r="H128" s="15">
        <f t="shared" si="43"/>
        <v>0.0408</v>
      </c>
      <c r="I128" s="8">
        <f aca="true" t="shared" si="44" ref="I128:I135">H128*F127/12</f>
        <v>20.840603628176417</v>
      </c>
      <c r="J128" s="8">
        <f aca="true" t="shared" si="45" ref="J128:J135">I128+J127</f>
        <v>3792.787502341509</v>
      </c>
      <c r="K128" s="8"/>
      <c r="L128" s="8">
        <f t="shared" si="41"/>
        <v>9922.376804746338</v>
      </c>
    </row>
    <row r="129" spans="1:12" ht="1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6129.589302404828</v>
      </c>
      <c r="G129" s="8"/>
      <c r="H129" s="15">
        <f t="shared" si="43"/>
        <v>0.0408</v>
      </c>
      <c r="I129" s="8">
        <f t="shared" si="44"/>
        <v>20.840603628176417</v>
      </c>
      <c r="J129" s="8">
        <f t="shared" si="45"/>
        <v>3813.6281059696853</v>
      </c>
      <c r="K129" s="8"/>
      <c r="L129" s="8">
        <f t="shared" si="41"/>
        <v>9943.217408374514</v>
      </c>
    </row>
    <row r="130" spans="1:12" ht="1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6129.589302404828</v>
      </c>
      <c r="G130" s="8"/>
      <c r="H130" s="4">
        <v>0.0335</v>
      </c>
      <c r="I130" s="8">
        <f t="shared" si="44"/>
        <v>17.111770135880146</v>
      </c>
      <c r="J130" s="8">
        <f t="shared" si="45"/>
        <v>3830.7398761055656</v>
      </c>
      <c r="K130" s="8"/>
      <c r="L130" s="8">
        <f t="shared" si="41"/>
        <v>9960.329178510394</v>
      </c>
    </row>
    <row r="131" spans="1:12" ht="1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6129.589302404828</v>
      </c>
      <c r="G131" s="8"/>
      <c r="H131" s="15">
        <f t="shared" si="43"/>
        <v>0.0335</v>
      </c>
      <c r="I131" s="8">
        <f t="shared" si="44"/>
        <v>17.111770135880146</v>
      </c>
      <c r="J131" s="8">
        <f t="shared" si="45"/>
        <v>3847.851646241446</v>
      </c>
      <c r="K131" s="8"/>
      <c r="L131" s="8">
        <f t="shared" si="41"/>
        <v>9977.440948646274</v>
      </c>
    </row>
    <row r="132" spans="1:12" ht="1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6129.589302404828</v>
      </c>
      <c r="G132" s="8"/>
      <c r="H132" s="15">
        <f t="shared" si="43"/>
        <v>0.0335</v>
      </c>
      <c r="I132" s="8">
        <f t="shared" si="44"/>
        <v>17.111770135880146</v>
      </c>
      <c r="J132" s="8">
        <f t="shared" si="45"/>
        <v>3864.963416377326</v>
      </c>
      <c r="K132" s="8"/>
      <c r="L132" s="8">
        <f t="shared" si="41"/>
        <v>9994.552718782154</v>
      </c>
    </row>
    <row r="133" spans="1:12" ht="1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6129.589302404828</v>
      </c>
      <c r="G133" s="8"/>
      <c r="H133" s="18">
        <f>H132</f>
        <v>0.0335</v>
      </c>
      <c r="I133" s="8">
        <f t="shared" si="44"/>
        <v>17.111770135880146</v>
      </c>
      <c r="J133" s="8">
        <f t="shared" si="45"/>
        <v>3882.0751865132065</v>
      </c>
      <c r="K133" s="8"/>
      <c r="L133" s="8">
        <f t="shared" si="41"/>
        <v>10011.664488918035</v>
      </c>
    </row>
    <row r="134" spans="1:12" ht="1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6129.589302404828</v>
      </c>
      <c r="G134" s="8"/>
      <c r="H134" s="15">
        <f t="shared" si="43"/>
        <v>0.0335</v>
      </c>
      <c r="I134" s="8">
        <f t="shared" si="44"/>
        <v>17.111770135880146</v>
      </c>
      <c r="J134" s="8">
        <f t="shared" si="45"/>
        <v>3899.186956649087</v>
      </c>
      <c r="K134" s="8"/>
      <c r="L134" s="8">
        <f t="shared" si="41"/>
        <v>10028.776259053915</v>
      </c>
    </row>
    <row r="135" spans="1:12" ht="1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6129.589302404828</v>
      </c>
      <c r="G135" s="14"/>
      <c r="H135" s="17">
        <f t="shared" si="43"/>
        <v>0.0335</v>
      </c>
      <c r="I135" s="14">
        <f t="shared" si="44"/>
        <v>17.111770135880146</v>
      </c>
      <c r="J135" s="14">
        <f t="shared" si="45"/>
        <v>3916.298726784967</v>
      </c>
      <c r="K135" s="14"/>
      <c r="L135" s="14">
        <f t="shared" si="41"/>
        <v>10045.888029189795</v>
      </c>
    </row>
    <row r="136" spans="1:12" ht="1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243.95765423571208</v>
      </c>
      <c r="J136" s="8"/>
      <c r="K136" s="8"/>
      <c r="L136" s="8"/>
    </row>
    <row r="137" spans="2:12" ht="1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.75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5">
      <c r="B140" s="10"/>
      <c r="C140" s="10"/>
      <c r="D140" s="63" t="str">
        <f>$D$5</f>
        <v>SIMPILS True-Up Adjustments    (neg = CR)</v>
      </c>
      <c r="E140" s="62" t="s">
        <v>14</v>
      </c>
      <c r="F140" s="62"/>
      <c r="G140" s="10"/>
      <c r="H140" s="62" t="s">
        <v>15</v>
      </c>
      <c r="I140" s="62"/>
      <c r="J140" s="62"/>
      <c r="K140" s="10"/>
      <c r="L140" s="63" t="s">
        <v>5</v>
      </c>
    </row>
    <row r="141" spans="2:12" ht="30">
      <c r="B141" s="11" t="s">
        <v>2</v>
      </c>
      <c r="C141" s="11" t="s">
        <v>3</v>
      </c>
      <c r="D141" s="63"/>
      <c r="E141" s="10" t="s">
        <v>4</v>
      </c>
      <c r="F141" s="10" t="s">
        <v>65</v>
      </c>
      <c r="G141" s="10"/>
      <c r="H141" s="16" t="s">
        <v>6</v>
      </c>
      <c r="I141" s="10" t="s">
        <v>4</v>
      </c>
      <c r="J141" s="10" t="s">
        <v>65</v>
      </c>
      <c r="K141" s="10"/>
      <c r="L141" s="63"/>
    </row>
    <row r="142" spans="1:12" ht="1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6129.589302404828</v>
      </c>
      <c r="G142" s="8"/>
      <c r="H142" s="4">
        <v>0.0245</v>
      </c>
      <c r="I142" s="8">
        <f>H142*F135/12</f>
        <v>12.514578159076526</v>
      </c>
      <c r="J142" s="8">
        <f>J135+I142</f>
        <v>3928.8133049440435</v>
      </c>
      <c r="K142" s="8"/>
      <c r="L142" s="8">
        <f aca="true" t="shared" si="47" ref="L142:L153">F142+J142</f>
        <v>10058.402607348871</v>
      </c>
    </row>
    <row r="143" spans="1:12" ht="1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6129.589302404828</v>
      </c>
      <c r="G143" s="8"/>
      <c r="H143" s="15">
        <f>H142</f>
        <v>0.0245</v>
      </c>
      <c r="I143" s="8">
        <f>H143*F142/12</f>
        <v>12.514578159076526</v>
      </c>
      <c r="J143" s="8">
        <f>I143+J142</f>
        <v>3941.32788310312</v>
      </c>
      <c r="K143" s="8"/>
      <c r="L143" s="8">
        <f t="shared" si="47"/>
        <v>10070.917185507948</v>
      </c>
    </row>
    <row r="144" spans="1:12" ht="1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6129.589302404828</v>
      </c>
      <c r="G144" s="8"/>
      <c r="H144" s="15">
        <f aca="true" t="shared" si="49" ref="H144:H153">H143</f>
        <v>0.0245</v>
      </c>
      <c r="I144" s="8">
        <f>H144*F143/12</f>
        <v>12.514578159076526</v>
      </c>
      <c r="J144" s="8">
        <f>I144+J143</f>
        <v>3953.842461262196</v>
      </c>
      <c r="K144" s="8"/>
      <c r="L144" s="8">
        <f t="shared" si="47"/>
        <v>10083.431763667024</v>
      </c>
    </row>
    <row r="145" spans="1:12" ht="1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6129.589302404828</v>
      </c>
      <c r="G145" s="8"/>
      <c r="H145" s="4">
        <v>0.01</v>
      </c>
      <c r="I145" s="8">
        <f>H145*F144/12</f>
        <v>5.107991085337357</v>
      </c>
      <c r="J145" s="8">
        <f>I145+J144</f>
        <v>3958.9504523475334</v>
      </c>
      <c r="K145" s="8"/>
      <c r="L145" s="8">
        <f t="shared" si="47"/>
        <v>10088.53975475236</v>
      </c>
    </row>
    <row r="146" spans="1:12" ht="1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6129.589302404828</v>
      </c>
      <c r="G146" s="8"/>
      <c r="H146" s="15">
        <f t="shared" si="49"/>
        <v>0.01</v>
      </c>
      <c r="I146" s="8">
        <f aca="true" t="shared" si="50" ref="I146:I153">H146*F145/12</f>
        <v>5.107991085337357</v>
      </c>
      <c r="J146" s="8">
        <f aca="true" t="shared" si="51" ref="J146:J153">I146+J145</f>
        <v>3964.0584434328707</v>
      </c>
      <c r="K146" s="8"/>
      <c r="L146" s="8">
        <f t="shared" si="47"/>
        <v>10093.6477458377</v>
      </c>
    </row>
    <row r="147" spans="1:12" ht="1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6129.589302404828</v>
      </c>
      <c r="G147" s="8"/>
      <c r="H147" s="15">
        <f t="shared" si="49"/>
        <v>0.01</v>
      </c>
      <c r="I147" s="8">
        <f t="shared" si="50"/>
        <v>5.107991085337357</v>
      </c>
      <c r="J147" s="8">
        <f t="shared" si="51"/>
        <v>3969.166434518208</v>
      </c>
      <c r="K147" s="8"/>
      <c r="L147" s="8">
        <f t="shared" si="47"/>
        <v>10098.755736923036</v>
      </c>
    </row>
    <row r="148" spans="1:12" ht="1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6129.589302404828</v>
      </c>
      <c r="G148" s="8"/>
      <c r="H148" s="4">
        <v>0.0055</v>
      </c>
      <c r="I148" s="8">
        <f t="shared" si="50"/>
        <v>2.809395096935546</v>
      </c>
      <c r="J148" s="8">
        <f t="shared" si="51"/>
        <v>3971.9758296151435</v>
      </c>
      <c r="K148" s="8"/>
      <c r="L148" s="8">
        <f t="shared" si="47"/>
        <v>10101.565132019972</v>
      </c>
    </row>
    <row r="149" spans="1:12" ht="1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6129.589302404828</v>
      </c>
      <c r="G149" s="8"/>
      <c r="H149" s="15">
        <f t="shared" si="49"/>
        <v>0.0055</v>
      </c>
      <c r="I149" s="8">
        <f t="shared" si="50"/>
        <v>2.809395096935546</v>
      </c>
      <c r="J149" s="8">
        <f t="shared" si="51"/>
        <v>3974.785224712079</v>
      </c>
      <c r="K149" s="8"/>
      <c r="L149" s="8">
        <f t="shared" si="47"/>
        <v>10104.374527116906</v>
      </c>
    </row>
    <row r="150" spans="1:12" ht="1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6129.589302404828</v>
      </c>
      <c r="G150" s="8"/>
      <c r="H150" s="15">
        <f t="shared" si="49"/>
        <v>0.0055</v>
      </c>
      <c r="I150" s="8">
        <f t="shared" si="50"/>
        <v>2.809395096935546</v>
      </c>
      <c r="J150" s="8">
        <f t="shared" si="51"/>
        <v>3977.5946198090146</v>
      </c>
      <c r="K150" s="8"/>
      <c r="L150" s="8">
        <f t="shared" si="47"/>
        <v>10107.183922213842</v>
      </c>
    </row>
    <row r="151" spans="1:12" ht="1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6129.589302404828</v>
      </c>
      <c r="G151" s="8"/>
      <c r="H151" s="15">
        <f t="shared" si="49"/>
        <v>0.0055</v>
      </c>
      <c r="I151" s="8">
        <f t="shared" si="50"/>
        <v>2.809395096935546</v>
      </c>
      <c r="J151" s="8">
        <f t="shared" si="51"/>
        <v>3980.40401490595</v>
      </c>
      <c r="K151" s="8"/>
      <c r="L151" s="8">
        <f t="shared" si="47"/>
        <v>10109.993317310778</v>
      </c>
    </row>
    <row r="152" spans="1:12" ht="1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6129.589302404828</v>
      </c>
      <c r="G152" s="8"/>
      <c r="H152" s="15">
        <f t="shared" si="49"/>
        <v>0.0055</v>
      </c>
      <c r="I152" s="8">
        <f t="shared" si="50"/>
        <v>2.809395096935546</v>
      </c>
      <c r="J152" s="8">
        <f t="shared" si="51"/>
        <v>3983.2134100028857</v>
      </c>
      <c r="K152" s="8"/>
      <c r="L152" s="8">
        <f t="shared" si="47"/>
        <v>10112.802712407714</v>
      </c>
    </row>
    <row r="153" spans="1:12" ht="1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6129.589302404828</v>
      </c>
      <c r="G153" s="14"/>
      <c r="H153" s="17">
        <f t="shared" si="49"/>
        <v>0.0055</v>
      </c>
      <c r="I153" s="14">
        <f t="shared" si="50"/>
        <v>2.809395096935546</v>
      </c>
      <c r="J153" s="14">
        <f t="shared" si="51"/>
        <v>3986.022805099821</v>
      </c>
      <c r="K153" s="14"/>
      <c r="L153" s="14">
        <f t="shared" si="47"/>
        <v>10115.61210750465</v>
      </c>
    </row>
    <row r="154" spans="1:12" ht="1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69.72407831485494</v>
      </c>
      <c r="J154" s="8"/>
      <c r="K154" s="8"/>
      <c r="L154" s="8"/>
    </row>
    <row r="155" spans="2:12" ht="1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.75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5">
      <c r="B158" s="10"/>
      <c r="C158" s="10"/>
      <c r="D158" s="63" t="str">
        <f>$D$5</f>
        <v>SIMPILS True-Up Adjustments    (neg = CR)</v>
      </c>
      <c r="E158" s="62" t="s">
        <v>14</v>
      </c>
      <c r="F158" s="62"/>
      <c r="G158" s="10"/>
      <c r="H158" s="62" t="s">
        <v>15</v>
      </c>
      <c r="I158" s="62"/>
      <c r="J158" s="62"/>
      <c r="K158" s="10"/>
      <c r="L158" s="63" t="s">
        <v>5</v>
      </c>
    </row>
    <row r="159" spans="2:12" ht="30">
      <c r="B159" s="11" t="s">
        <v>2</v>
      </c>
      <c r="C159" s="11" t="s">
        <v>3</v>
      </c>
      <c r="D159" s="63"/>
      <c r="E159" s="10" t="s">
        <v>4</v>
      </c>
      <c r="F159" s="10" t="s">
        <v>65</v>
      </c>
      <c r="G159" s="10"/>
      <c r="H159" s="16" t="s">
        <v>6</v>
      </c>
      <c r="I159" s="10" t="s">
        <v>4</v>
      </c>
      <c r="J159" s="10" t="s">
        <v>65</v>
      </c>
      <c r="K159" s="10"/>
      <c r="L159" s="63"/>
    </row>
    <row r="160" spans="1:12" ht="1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6129.589302404828</v>
      </c>
      <c r="G160" s="8"/>
      <c r="H160" s="15">
        <f>H153</f>
        <v>0.0055</v>
      </c>
      <c r="I160" s="8">
        <f>H160*F153/12</f>
        <v>2.809395096935546</v>
      </c>
      <c r="J160" s="8">
        <f>J153+I160</f>
        <v>3988.8322001967567</v>
      </c>
      <c r="K160" s="8"/>
      <c r="L160" s="8">
        <f aca="true" t="shared" si="53" ref="L160:L171">F160+J160</f>
        <v>10118.421502601585</v>
      </c>
    </row>
    <row r="161" spans="1:12" ht="1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6129.589302404828</v>
      </c>
      <c r="G161" s="8"/>
      <c r="H161" s="15">
        <f>H160</f>
        <v>0.0055</v>
      </c>
      <c r="I161" s="8">
        <f>H161*F160/12</f>
        <v>2.809395096935546</v>
      </c>
      <c r="J161" s="8">
        <f>I161+J160</f>
        <v>3991.6415952936923</v>
      </c>
      <c r="K161" s="8"/>
      <c r="L161" s="8">
        <f t="shared" si="53"/>
        <v>10121.23089769852</v>
      </c>
    </row>
    <row r="162" spans="1:12" ht="1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6129.589302404828</v>
      </c>
      <c r="G162" s="8"/>
      <c r="H162" s="15">
        <f aca="true" t="shared" si="55" ref="H162:H171">H161</f>
        <v>0.0055</v>
      </c>
      <c r="I162" s="8">
        <f>H162*F161/12</f>
        <v>2.809395096935546</v>
      </c>
      <c r="J162" s="8">
        <f>I162+J161</f>
        <v>3994.450990390628</v>
      </c>
      <c r="K162" s="8"/>
      <c r="L162" s="8">
        <f t="shared" si="53"/>
        <v>10124.040292795456</v>
      </c>
    </row>
    <row r="163" spans="1:12" ht="1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6129.589302404828</v>
      </c>
      <c r="G163" s="8"/>
      <c r="H163" s="15">
        <f t="shared" si="55"/>
        <v>0.0055</v>
      </c>
      <c r="I163" s="8">
        <f>H163*F162/12</f>
        <v>2.809395096935546</v>
      </c>
      <c r="J163" s="8">
        <f>I163+J162</f>
        <v>3997.2603854875633</v>
      </c>
      <c r="K163" s="8"/>
      <c r="L163" s="8">
        <f t="shared" si="53"/>
        <v>10126.84968789239</v>
      </c>
    </row>
    <row r="164" spans="1:12" ht="1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6129.589302404828</v>
      </c>
      <c r="G164" s="8"/>
      <c r="H164" s="15">
        <f t="shared" si="55"/>
        <v>0.0055</v>
      </c>
      <c r="I164" s="8">
        <f aca="true" t="shared" si="56" ref="I164:I171">H164*F163/12</f>
        <v>2.809395096935546</v>
      </c>
      <c r="J164" s="8">
        <f aca="true" t="shared" si="57" ref="J164:J171">I164+J163</f>
        <v>4000.069780584499</v>
      </c>
      <c r="K164" s="8"/>
      <c r="L164" s="8">
        <f t="shared" si="53"/>
        <v>10129.659082989327</v>
      </c>
    </row>
    <row r="165" spans="1:12" ht="1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6129.589302404828</v>
      </c>
      <c r="G165" s="8"/>
      <c r="H165" s="15">
        <f t="shared" si="55"/>
        <v>0.0055</v>
      </c>
      <c r="I165" s="8">
        <f t="shared" si="56"/>
        <v>2.809395096935546</v>
      </c>
      <c r="J165" s="8">
        <f t="shared" si="57"/>
        <v>4002.8791756814344</v>
      </c>
      <c r="K165" s="8"/>
      <c r="L165" s="8">
        <f t="shared" si="53"/>
        <v>10132.468478086263</v>
      </c>
    </row>
    <row r="166" spans="1:12" ht="1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6129.589302404828</v>
      </c>
      <c r="G166" s="8"/>
      <c r="H166" s="4">
        <v>0.0089</v>
      </c>
      <c r="I166" s="8">
        <f t="shared" si="56"/>
        <v>4.546112065950248</v>
      </c>
      <c r="J166" s="8">
        <f t="shared" si="57"/>
        <v>4007.4252877473846</v>
      </c>
      <c r="K166" s="8"/>
      <c r="L166" s="8">
        <f t="shared" si="53"/>
        <v>10137.014590152212</v>
      </c>
    </row>
    <row r="167" spans="1:12" ht="1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6129.589302404828</v>
      </c>
      <c r="G167" s="8"/>
      <c r="H167" s="15">
        <f t="shared" si="55"/>
        <v>0.0089</v>
      </c>
      <c r="I167" s="8">
        <f t="shared" si="56"/>
        <v>4.546112065950248</v>
      </c>
      <c r="J167" s="8">
        <f t="shared" si="57"/>
        <v>4011.9713998133348</v>
      </c>
      <c r="K167" s="8"/>
      <c r="L167" s="8">
        <f t="shared" si="53"/>
        <v>10141.560702218163</v>
      </c>
    </row>
    <row r="168" spans="1:12" ht="1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6129.589302404828</v>
      </c>
      <c r="G168" s="8"/>
      <c r="H168" s="15">
        <f t="shared" si="55"/>
        <v>0.0089</v>
      </c>
      <c r="I168" s="8">
        <f t="shared" si="56"/>
        <v>4.546112065950248</v>
      </c>
      <c r="J168" s="8">
        <f t="shared" si="57"/>
        <v>4016.517511879285</v>
      </c>
      <c r="K168" s="8"/>
      <c r="L168" s="8">
        <f t="shared" si="53"/>
        <v>10146.106814284114</v>
      </c>
    </row>
    <row r="169" spans="1:12" ht="1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6129.589302404828</v>
      </c>
      <c r="G169" s="8"/>
      <c r="H169" s="4">
        <v>0.012</v>
      </c>
      <c r="I169" s="8">
        <f t="shared" si="56"/>
        <v>6.1295893024048285</v>
      </c>
      <c r="J169" s="8">
        <f t="shared" si="57"/>
        <v>4022.64710118169</v>
      </c>
      <c r="K169" s="8"/>
      <c r="L169" s="8">
        <f t="shared" si="53"/>
        <v>10152.236403586518</v>
      </c>
    </row>
    <row r="170" spans="1:12" ht="1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6129.589302404828</v>
      </c>
      <c r="G170" s="8"/>
      <c r="H170" s="15">
        <f t="shared" si="55"/>
        <v>0.012</v>
      </c>
      <c r="I170" s="8">
        <f t="shared" si="56"/>
        <v>6.1295893024048285</v>
      </c>
      <c r="J170" s="8">
        <f t="shared" si="57"/>
        <v>4028.7766904840946</v>
      </c>
      <c r="K170" s="8"/>
      <c r="L170" s="8">
        <f t="shared" si="53"/>
        <v>10158.365992888923</v>
      </c>
    </row>
    <row r="171" spans="1:12" ht="1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6129.589302404828</v>
      </c>
      <c r="G171" s="14"/>
      <c r="H171" s="17">
        <f t="shared" si="55"/>
        <v>0.012</v>
      </c>
      <c r="I171" s="14">
        <f t="shared" si="56"/>
        <v>6.1295893024048285</v>
      </c>
      <c r="J171" s="14">
        <f t="shared" si="57"/>
        <v>4034.9062797864995</v>
      </c>
      <c r="K171" s="14"/>
      <c r="L171" s="14">
        <f t="shared" si="53"/>
        <v>10164.495582191328</v>
      </c>
    </row>
    <row r="172" spans="1:14" ht="1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48.88347468667851</v>
      </c>
      <c r="J172" s="8"/>
      <c r="K172" s="8"/>
      <c r="L172" s="8"/>
      <c r="N172" s="21"/>
    </row>
    <row r="173" spans="2:14" ht="1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.75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5">
      <c r="B176" s="10"/>
      <c r="C176" s="10"/>
      <c r="D176" s="63" t="str">
        <f>$D$5</f>
        <v>SIMPILS True-Up Adjustments    (neg = CR)</v>
      </c>
      <c r="E176" s="62" t="s">
        <v>14</v>
      </c>
      <c r="F176" s="62"/>
      <c r="G176" s="10"/>
      <c r="H176" s="62" t="s">
        <v>15</v>
      </c>
      <c r="I176" s="62"/>
      <c r="J176" s="62"/>
      <c r="K176" s="10"/>
      <c r="L176" s="63" t="s">
        <v>5</v>
      </c>
    </row>
    <row r="177" spans="2:12" ht="30">
      <c r="B177" s="11" t="s">
        <v>2</v>
      </c>
      <c r="C177" s="11" t="s">
        <v>3</v>
      </c>
      <c r="D177" s="63"/>
      <c r="E177" s="10" t="s">
        <v>4</v>
      </c>
      <c r="F177" s="10" t="s">
        <v>65</v>
      </c>
      <c r="G177" s="10"/>
      <c r="H177" s="16" t="s">
        <v>6</v>
      </c>
      <c r="I177" s="10" t="s">
        <v>4</v>
      </c>
      <c r="J177" s="10" t="s">
        <v>65</v>
      </c>
      <c r="K177" s="10"/>
      <c r="L177" s="63"/>
    </row>
    <row r="178" spans="1:12" ht="1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6129.589302404828</v>
      </c>
      <c r="G178" s="8"/>
      <c r="H178" s="4">
        <v>0.0147</v>
      </c>
      <c r="I178" s="8">
        <f>H178*F171/12</f>
        <v>7.508746895445914</v>
      </c>
      <c r="J178" s="8">
        <f>J171+I178</f>
        <v>4042.415026681945</v>
      </c>
      <c r="K178" s="8"/>
      <c r="L178" s="8">
        <f aca="true" t="shared" si="59" ref="L178:L189">F178+J178</f>
        <v>10172.004329086772</v>
      </c>
    </row>
    <row r="179" spans="1:12" ht="1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6129.589302404828</v>
      </c>
      <c r="G179" s="8"/>
      <c r="H179" s="15">
        <f>H178</f>
        <v>0.0147</v>
      </c>
      <c r="I179" s="8">
        <f>H179*F178/12</f>
        <v>7.508746895445914</v>
      </c>
      <c r="J179" s="8">
        <f>I179+J178</f>
        <v>4049.923773577391</v>
      </c>
      <c r="K179" s="8"/>
      <c r="L179" s="8">
        <f t="shared" si="59"/>
        <v>10179.513075982219</v>
      </c>
    </row>
    <row r="180" spans="1:12" ht="1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6129.589302404828</v>
      </c>
      <c r="G180" s="8"/>
      <c r="H180" s="15">
        <f aca="true" t="shared" si="61" ref="H180:H189">H179</f>
        <v>0.0147</v>
      </c>
      <c r="I180" s="8">
        <f>H180*F179/12</f>
        <v>7.508746895445914</v>
      </c>
      <c r="J180" s="8">
        <f>I180+J179</f>
        <v>4057.4325204728366</v>
      </c>
      <c r="K180" s="8"/>
      <c r="L180" s="8">
        <f t="shared" si="59"/>
        <v>10187.021822877665</v>
      </c>
    </row>
    <row r="181" spans="1:12" ht="1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6129.589302404828</v>
      </c>
      <c r="G181" s="8"/>
      <c r="H181" s="15">
        <f t="shared" si="61"/>
        <v>0.0147</v>
      </c>
      <c r="I181" s="8">
        <f>H181*F180/12</f>
        <v>7.508746895445914</v>
      </c>
      <c r="J181" s="8">
        <f>I181+J180</f>
        <v>4064.9412673682823</v>
      </c>
      <c r="K181" s="8"/>
      <c r="L181" s="8">
        <f t="shared" si="59"/>
        <v>10194.530569773111</v>
      </c>
    </row>
    <row r="182" spans="1:12" ht="1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6129.589302404828</v>
      </c>
      <c r="G182" s="8"/>
      <c r="H182" s="15">
        <f t="shared" si="61"/>
        <v>0.0147</v>
      </c>
      <c r="I182" s="8">
        <f aca="true" t="shared" si="62" ref="I182:I189">H182*F181/12</f>
        <v>7.508746895445914</v>
      </c>
      <c r="J182" s="8">
        <f aca="true" t="shared" si="63" ref="J182:J189">I182+J181</f>
        <v>4072.450014263728</v>
      </c>
      <c r="K182" s="8"/>
      <c r="L182" s="8">
        <f t="shared" si="59"/>
        <v>10202.039316668557</v>
      </c>
    </row>
    <row r="183" spans="1:12" ht="1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6129.589302404828</v>
      </c>
      <c r="G183" s="8"/>
      <c r="H183" s="15">
        <f t="shared" si="61"/>
        <v>0.0147</v>
      </c>
      <c r="I183" s="8">
        <f t="shared" si="62"/>
        <v>7.508746895445914</v>
      </c>
      <c r="J183" s="8">
        <f t="shared" si="63"/>
        <v>4079.9587611591737</v>
      </c>
      <c r="K183" s="8"/>
      <c r="L183" s="8">
        <f t="shared" si="59"/>
        <v>10209.548063564001</v>
      </c>
    </row>
    <row r="184" spans="1:12" ht="1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6129.589302404828</v>
      </c>
      <c r="G184" s="8"/>
      <c r="H184" s="15">
        <f t="shared" si="61"/>
        <v>0.0147</v>
      </c>
      <c r="I184" s="8">
        <f t="shared" si="62"/>
        <v>7.508746895445914</v>
      </c>
      <c r="J184" s="8">
        <f t="shared" si="63"/>
        <v>4087.4675080546194</v>
      </c>
      <c r="K184" s="8"/>
      <c r="L184" s="8">
        <f t="shared" si="59"/>
        <v>10217.056810459448</v>
      </c>
    </row>
    <row r="185" spans="1:12" ht="1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6129.589302404828</v>
      </c>
      <c r="G185" s="8"/>
      <c r="H185" s="15">
        <f t="shared" si="61"/>
        <v>0.0147</v>
      </c>
      <c r="I185" s="8">
        <f t="shared" si="62"/>
        <v>7.508746895445914</v>
      </c>
      <c r="J185" s="8">
        <f t="shared" si="63"/>
        <v>4094.976254950065</v>
      </c>
      <c r="K185" s="8"/>
      <c r="L185" s="8">
        <f t="shared" si="59"/>
        <v>10224.565557354894</v>
      </c>
    </row>
    <row r="186" spans="1:12" ht="1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6129.589302404828</v>
      </c>
      <c r="G186" s="8"/>
      <c r="H186" s="15">
        <f t="shared" si="61"/>
        <v>0.0147</v>
      </c>
      <c r="I186" s="8">
        <f t="shared" si="62"/>
        <v>7.508746895445914</v>
      </c>
      <c r="J186" s="8">
        <f t="shared" si="63"/>
        <v>4102.485001845511</v>
      </c>
      <c r="K186" s="8"/>
      <c r="L186" s="8">
        <f t="shared" si="59"/>
        <v>10232.074304250338</v>
      </c>
    </row>
    <row r="187" spans="1:12" ht="1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6129.589302404828</v>
      </c>
      <c r="G187" s="8"/>
      <c r="H187" s="15">
        <f t="shared" si="61"/>
        <v>0.0147</v>
      </c>
      <c r="I187" s="8">
        <f t="shared" si="62"/>
        <v>7.508746895445914</v>
      </c>
      <c r="J187" s="8">
        <f t="shared" si="63"/>
        <v>4109.993748740957</v>
      </c>
      <c r="K187" s="8"/>
      <c r="L187" s="8">
        <f t="shared" si="59"/>
        <v>10239.583051145786</v>
      </c>
    </row>
    <row r="188" spans="1:12" ht="1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6129.589302404828</v>
      </c>
      <c r="G188" s="8"/>
      <c r="H188" s="15">
        <f t="shared" si="61"/>
        <v>0.0147</v>
      </c>
      <c r="I188" s="8">
        <f t="shared" si="62"/>
        <v>7.508746895445914</v>
      </c>
      <c r="J188" s="8">
        <f t="shared" si="63"/>
        <v>4117.502495636403</v>
      </c>
      <c r="K188" s="8"/>
      <c r="L188" s="8">
        <f t="shared" si="59"/>
        <v>10247.09179804123</v>
      </c>
    </row>
    <row r="189" spans="1:12" ht="1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6129.589302404828</v>
      </c>
      <c r="G189" s="14"/>
      <c r="H189" s="17">
        <f t="shared" si="61"/>
        <v>0.0147</v>
      </c>
      <c r="I189" s="14">
        <f t="shared" si="62"/>
        <v>7.508746895445914</v>
      </c>
      <c r="J189" s="14">
        <f t="shared" si="63"/>
        <v>4125.011242531849</v>
      </c>
      <c r="K189" s="14"/>
      <c r="L189" s="14">
        <f t="shared" si="59"/>
        <v>10254.600544936678</v>
      </c>
    </row>
    <row r="190" spans="1:12" ht="1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90.10496274535096</v>
      </c>
      <c r="J190" s="8"/>
      <c r="K190" s="8"/>
      <c r="L190" s="8"/>
    </row>
    <row r="191" spans="2:13" ht="1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.75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5">
      <c r="B194" s="10"/>
      <c r="C194" s="10"/>
      <c r="D194" s="63" t="str">
        <f>$D$5</f>
        <v>SIMPILS True-Up Adjustments    (neg = CR)</v>
      </c>
      <c r="E194" s="62" t="s">
        <v>14</v>
      </c>
      <c r="F194" s="62"/>
      <c r="G194" s="10"/>
      <c r="H194" s="62" t="s">
        <v>15</v>
      </c>
      <c r="I194" s="62"/>
      <c r="J194" s="62"/>
      <c r="K194" s="10"/>
      <c r="L194" s="63" t="s">
        <v>5</v>
      </c>
    </row>
    <row r="195" spans="2:12" ht="30">
      <c r="B195" s="11" t="s">
        <v>2</v>
      </c>
      <c r="C195" s="11" t="s">
        <v>3</v>
      </c>
      <c r="D195" s="63"/>
      <c r="E195" s="10" t="s">
        <v>4</v>
      </c>
      <c r="F195" s="10" t="s">
        <v>65</v>
      </c>
      <c r="G195" s="10"/>
      <c r="H195" s="16" t="s">
        <v>6</v>
      </c>
      <c r="I195" s="10" t="s">
        <v>4</v>
      </c>
      <c r="J195" s="10" t="s">
        <v>65</v>
      </c>
      <c r="K195" s="10"/>
      <c r="L195" s="63"/>
    </row>
    <row r="196" spans="1:12" ht="1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6129.589302404828</v>
      </c>
      <c r="G196" s="8"/>
      <c r="H196" s="15">
        <f>H189</f>
        <v>0.0147</v>
      </c>
      <c r="I196" s="8">
        <f>H196*F189/12</f>
        <v>7.508746895445914</v>
      </c>
      <c r="J196" s="8">
        <f>J189+I196</f>
        <v>4132.5199894272955</v>
      </c>
      <c r="K196" s="8"/>
      <c r="L196" s="8">
        <f aca="true" t="shared" si="65" ref="L196:L207">F196+J196</f>
        <v>10262.109291832123</v>
      </c>
    </row>
    <row r="197" spans="1:12" ht="1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6129.589302404828</v>
      </c>
      <c r="G197" s="8"/>
      <c r="H197" s="15">
        <f>H196</f>
        <v>0.0147</v>
      </c>
      <c r="I197" s="8">
        <f>H197*F196/12</f>
        <v>7.508746895445914</v>
      </c>
      <c r="J197" s="8">
        <f>I197+J196</f>
        <v>4140.028736322742</v>
      </c>
      <c r="K197" s="8"/>
      <c r="L197" s="8">
        <f t="shared" si="65"/>
        <v>10269.61803872757</v>
      </c>
    </row>
    <row r="198" spans="1:12" ht="1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6129.589302404828</v>
      </c>
      <c r="G198" s="8"/>
      <c r="H198" s="15">
        <f aca="true" t="shared" si="67" ref="H198:H207">H197</f>
        <v>0.0147</v>
      </c>
      <c r="I198" s="8">
        <f>H198*F197/12</f>
        <v>7.508746895445914</v>
      </c>
      <c r="J198" s="8">
        <f>I198+J197</f>
        <v>4147.537483218188</v>
      </c>
      <c r="K198" s="8"/>
      <c r="L198" s="8">
        <f t="shared" si="65"/>
        <v>10277.126785623015</v>
      </c>
    </row>
    <row r="199" spans="1:12" ht="15">
      <c r="A199" s="40" t="s">
        <v>16</v>
      </c>
      <c r="B199" s="13"/>
      <c r="C199" s="13"/>
      <c r="D199" s="14"/>
      <c r="E199" s="14">
        <f t="shared" si="64"/>
        <v>0</v>
      </c>
      <c r="F199" s="14">
        <f t="shared" si="66"/>
        <v>6129.589302404828</v>
      </c>
      <c r="G199" s="14"/>
      <c r="H199" s="17">
        <f t="shared" si="67"/>
        <v>0.0147</v>
      </c>
      <c r="I199" s="14">
        <f>H199*F198/12</f>
        <v>7.508746895445914</v>
      </c>
      <c r="J199" s="14">
        <f>I199+J198</f>
        <v>4155.046230113634</v>
      </c>
      <c r="K199" s="14"/>
      <c r="L199" s="14">
        <f t="shared" si="65"/>
        <v>10284.635532518463</v>
      </c>
    </row>
    <row r="200" spans="1:12" ht="1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6129.589302404828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4155.046230113634</v>
      </c>
      <c r="K200" s="8"/>
      <c r="L200" s="8">
        <f t="shared" si="65"/>
        <v>10284.635532518463</v>
      </c>
    </row>
    <row r="201" spans="1:12" ht="1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6129.589302404828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4155.046230113634</v>
      </c>
      <c r="K201" s="8"/>
      <c r="L201" s="8">
        <f t="shared" si="65"/>
        <v>10284.635532518463</v>
      </c>
    </row>
    <row r="202" spans="1:12" ht="1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6129.589302404828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4155.046230113634</v>
      </c>
      <c r="K202" s="8"/>
      <c r="L202" s="8">
        <f t="shared" si="65"/>
        <v>10284.635532518463</v>
      </c>
    </row>
    <row r="203" spans="1:12" ht="1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6129.589302404828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4155.046230113634</v>
      </c>
      <c r="K203" s="8"/>
      <c r="L203" s="8">
        <f t="shared" si="65"/>
        <v>10284.635532518463</v>
      </c>
    </row>
    <row r="204" spans="1:12" ht="1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6129.589302404828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4155.046230113634</v>
      </c>
      <c r="K204" s="8"/>
      <c r="L204" s="8">
        <f t="shared" si="65"/>
        <v>10284.635532518463</v>
      </c>
    </row>
    <row r="205" spans="1:12" ht="1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6129.589302404828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4155.046230113634</v>
      </c>
      <c r="K205" s="8"/>
      <c r="L205" s="8">
        <f t="shared" si="65"/>
        <v>10284.635532518463</v>
      </c>
    </row>
    <row r="206" spans="1:12" ht="1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6129.589302404828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4155.046230113634</v>
      </c>
      <c r="K206" s="8"/>
      <c r="L206" s="8">
        <f t="shared" si="65"/>
        <v>10284.635532518463</v>
      </c>
    </row>
    <row r="207" spans="1:12" ht="1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6129.589302404828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4155.046230113634</v>
      </c>
      <c r="K207" s="14"/>
      <c r="L207" s="14">
        <f t="shared" si="65"/>
        <v>10284.635532518463</v>
      </c>
    </row>
    <row r="208" spans="1:12" ht="1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30.034987581783657</v>
      </c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L158:L159"/>
    <mergeCell ref="E176:F176"/>
    <mergeCell ref="H176:J176"/>
    <mergeCell ref="L176:L177"/>
    <mergeCell ref="E122:F122"/>
    <mergeCell ref="H122:J122"/>
    <mergeCell ref="L122:L123"/>
    <mergeCell ref="L140:L141"/>
    <mergeCell ref="E140:F140"/>
    <mergeCell ref="H140:J140"/>
    <mergeCell ref="H86:J86"/>
    <mergeCell ref="L86:L87"/>
    <mergeCell ref="E104:F104"/>
    <mergeCell ref="H104:J104"/>
    <mergeCell ref="L104:L105"/>
    <mergeCell ref="E194:F194"/>
    <mergeCell ref="H194:J194"/>
    <mergeCell ref="L194:L195"/>
    <mergeCell ref="E158:F158"/>
    <mergeCell ref="H158:J158"/>
    <mergeCell ref="D176:D177"/>
    <mergeCell ref="D194:D195"/>
    <mergeCell ref="D158:D159"/>
    <mergeCell ref="H32:J32"/>
    <mergeCell ref="L32:L33"/>
    <mergeCell ref="E50:F50"/>
    <mergeCell ref="H50:J50"/>
    <mergeCell ref="L50:L51"/>
    <mergeCell ref="D32:D33"/>
    <mergeCell ref="D50:D51"/>
    <mergeCell ref="D104:D105"/>
    <mergeCell ref="D122:D123"/>
    <mergeCell ref="D140:D141"/>
    <mergeCell ref="D5:D6"/>
    <mergeCell ref="L5:L6"/>
    <mergeCell ref="H5:J5"/>
    <mergeCell ref="E14:F14"/>
    <mergeCell ref="D68:D69"/>
    <mergeCell ref="E5:F5"/>
    <mergeCell ref="E32:F32"/>
    <mergeCell ref="H14:J14"/>
    <mergeCell ref="L14:L15"/>
    <mergeCell ref="D14:D15"/>
    <mergeCell ref="A1:L1"/>
    <mergeCell ref="A2:L2"/>
    <mergeCell ref="D86:D87"/>
    <mergeCell ref="E68:F68"/>
    <mergeCell ref="H68:J68"/>
    <mergeCell ref="L68:L69"/>
    <mergeCell ref="E86:F8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8"/>
  <sheetViews>
    <sheetView zoomScale="90" zoomScaleNormal="90" zoomScalePageLayoutView="0" workbookViewId="0" topLeftCell="A1">
      <selection activeCell="G27" sqref="G27"/>
    </sheetView>
  </sheetViews>
  <sheetFormatPr defaultColWidth="13.57421875" defaultRowHeight="15"/>
  <cols>
    <col min="1" max="1" width="34.421875" style="30" customWidth="1"/>
    <col min="2" max="2" width="12.7109375" style="30" bestFit="1" customWidth="1"/>
    <col min="3" max="7" width="12.140625" style="30" bestFit="1" customWidth="1"/>
    <col min="8" max="8" width="12.57421875" style="30" customWidth="1"/>
    <col min="9" max="26" width="12.140625" style="30" bestFit="1" customWidth="1"/>
    <col min="27" max="252" width="9.140625" style="30" customWidth="1"/>
    <col min="253" max="253" width="21.28125" style="30" customWidth="1"/>
    <col min="254" max="16384" width="13.57421875" style="30" customWidth="1"/>
  </cols>
  <sheetData>
    <row r="1" spans="1:14" ht="21">
      <c r="A1" s="25" t="s">
        <v>59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38</v>
      </c>
      <c r="B3" s="34" t="s">
        <v>60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63</v>
      </c>
      <c r="B4" s="34" t="s">
        <v>106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66" t="s">
        <v>40</v>
      </c>
      <c r="C6" s="66"/>
      <c r="D6" s="66" t="s">
        <v>61</v>
      </c>
      <c r="E6" s="66"/>
      <c r="F6" s="66" t="s">
        <v>62</v>
      </c>
      <c r="G6" s="66"/>
      <c r="H6"/>
      <c r="I6"/>
      <c r="J6"/>
      <c r="K6"/>
      <c r="L6"/>
      <c r="M6"/>
      <c r="N6"/>
    </row>
    <row r="7" spans="1:14" ht="15">
      <c r="A7" s="2" t="s">
        <v>39</v>
      </c>
      <c r="B7" s="23" t="s">
        <v>41</v>
      </c>
      <c r="C7" s="23" t="s">
        <v>42</v>
      </c>
      <c r="D7" s="23" t="s">
        <v>41</v>
      </c>
      <c r="E7" s="23" t="s">
        <v>42</v>
      </c>
      <c r="F7" s="23" t="s">
        <v>41</v>
      </c>
      <c r="G7" s="23" t="s">
        <v>42</v>
      </c>
      <c r="H7"/>
      <c r="I7"/>
      <c r="J7"/>
      <c r="K7"/>
      <c r="L7"/>
      <c r="M7"/>
      <c r="N7"/>
    </row>
    <row r="8" spans="1:14" ht="15">
      <c r="A8" t="s">
        <v>44</v>
      </c>
      <c r="B8" s="8">
        <f>'[1]16. Final 2002 Rate Schedule '!$F$19</f>
        <v>9.234072369676865</v>
      </c>
      <c r="C8" s="24">
        <f>'[1]16. Final 2002 Rate Schedule '!$F$20</f>
        <v>0.011192782089904976</v>
      </c>
      <c r="D8" s="54">
        <f>'[1]6. 2001PILs DefAcct Adder Calc'!$C$58</f>
        <v>0.14445820410896754</v>
      </c>
      <c r="E8" s="49">
        <f>'[1]6. 2001PILs DefAcct Adder Calc'!$B$54</f>
        <v>0.00016997869662143227</v>
      </c>
      <c r="F8" s="54">
        <f>'[1]8. 2002PILs Proxy Adder Calc'!$C$58</f>
        <v>0.4220703480043085</v>
      </c>
      <c r="G8" s="49">
        <f>'[1]8. 2002PILs Proxy Adder Calc'!$B$54</f>
        <v>0.0004966347745968766</v>
      </c>
      <c r="H8"/>
      <c r="I8"/>
      <c r="J8"/>
      <c r="K8"/>
      <c r="L8"/>
      <c r="M8"/>
      <c r="N8"/>
    </row>
    <row r="9" spans="1:14" ht="15">
      <c r="A9" t="s">
        <v>45</v>
      </c>
      <c r="B9" s="8">
        <f>'[1]16. Final 2002 Rate Schedule '!$F$37</f>
        <v>15.886754130877971</v>
      </c>
      <c r="C9" s="24">
        <f>'[1]16. Final 2002 Rate Schedule '!$F$38</f>
        <v>0.006561974697631583</v>
      </c>
      <c r="D9" s="54">
        <f>'[1]6. 2001PILs DefAcct Adder Calc'!$C$82</f>
        <v>0.22748566977619541</v>
      </c>
      <c r="E9" s="49">
        <f>'[1]6. 2001PILs DefAcct Adder Calc'!$B$78</f>
        <v>0.0001091025185441162</v>
      </c>
      <c r="F9" s="54">
        <f>'[1]8. 2002PILs Proxy Adder Calc'!$C$82</f>
        <v>0.6646556102553104</v>
      </c>
      <c r="G9" s="49">
        <f>'[1]8. 2002PILs Proxy Adder Calc'!$B$78</f>
        <v>0.00031876997401494807</v>
      </c>
      <c r="H9"/>
      <c r="I9"/>
      <c r="J9"/>
      <c r="K9"/>
      <c r="L9"/>
      <c r="M9"/>
      <c r="N9"/>
    </row>
    <row r="10" spans="1:14" ht="15">
      <c r="A10" t="s">
        <v>46</v>
      </c>
      <c r="B10" s="8">
        <f>'[1]16. Final 2002 Rate Schedule '!$F$57</f>
        <v>142.0796967847512</v>
      </c>
      <c r="C10" s="24">
        <f>'[1]16. Final 2002 Rate Schedule '!$F$58</f>
        <v>0.7395920752184248</v>
      </c>
      <c r="D10" s="54">
        <f>'[1]6. 2001PILs DefAcct Adder Calc'!$C$106</f>
        <v>1.7798812956699412</v>
      </c>
      <c r="E10" s="50">
        <f>'[1]6. 2001PILs DefAcct Adder Calc'!$B$102</f>
        <v>0.014529187054540978</v>
      </c>
      <c r="F10" s="54">
        <f>'[1]8. 2002PILs Proxy Adder Calc'!$C$106</f>
        <v>5.200363125815276</v>
      </c>
      <c r="G10" s="49">
        <f>'[1]8. 2002PILs Proxy Adder Calc'!$B$102</f>
        <v>0.042450611054973844</v>
      </c>
      <c r="H10"/>
      <c r="I10"/>
      <c r="J10"/>
      <c r="K10"/>
      <c r="L10"/>
      <c r="M10"/>
      <c r="N10"/>
    </row>
    <row r="11" spans="1:14" ht="15">
      <c r="A11" t="s">
        <v>111</v>
      </c>
      <c r="B11" s="8">
        <f>'[1]16. Final 2002 Rate Schedule '!$F$79</f>
        <v>1595.5336476834796</v>
      </c>
      <c r="C11" s="24">
        <f>'[1]16. Final 2002 Rate Schedule '!$F$80</f>
        <v>1.4568604271571362</v>
      </c>
      <c r="D11" s="54">
        <f>'[1]6. 2001PILs DefAcct Adder Calc'!$C$155</f>
        <v>27.661139021321294</v>
      </c>
      <c r="E11" s="50">
        <f>'[1]6. 2001PILs DefAcct Adder Calc'!$B$151</f>
        <v>0.020419920912957232</v>
      </c>
      <c r="F11" s="54">
        <f>'[1]8. 2002PILs Proxy Adder Calc'!$C$155</f>
        <v>80.81885445646276</v>
      </c>
      <c r="G11" s="49">
        <f>'[1]8. 2002PILs Proxy Adder Calc'!$B$151</f>
        <v>0.05966184599284587</v>
      </c>
      <c r="H11"/>
      <c r="I11"/>
      <c r="J11"/>
      <c r="K11"/>
      <c r="L11"/>
      <c r="M11"/>
      <c r="N11"/>
    </row>
    <row r="12" spans="1:14" ht="15">
      <c r="A12" t="s">
        <v>104</v>
      </c>
      <c r="B12" s="8">
        <f>'[1]16. Final 2002 Rate Schedule '!$F$110</f>
        <v>0.4704662507008563</v>
      </c>
      <c r="C12" s="24">
        <f>'[1]16. Final 2002 Rate Schedule '!$F$111</f>
        <v>2.744971522308649</v>
      </c>
      <c r="D12" s="54">
        <f>'[1]6. 2001PILs DefAcct Adder Calc'!$C$205</f>
        <v>0.00520954050898267</v>
      </c>
      <c r="E12" s="50">
        <f>'[1]6. 2001PILs DefAcct Adder Calc'!$B$201</f>
        <v>0.07690694548006621</v>
      </c>
      <c r="F12" s="54">
        <f>'[1]8. 2002PILs Proxy Adder Calc'!$C$205</f>
        <v>0.01522096020181912</v>
      </c>
      <c r="G12" s="49">
        <f>'[1]8. 2002PILs Proxy Adder Calc'!$B$201</f>
        <v>0.22470264975905857</v>
      </c>
      <c r="H12"/>
      <c r="I12"/>
      <c r="J12"/>
      <c r="K12"/>
      <c r="L12"/>
      <c r="M12"/>
      <c r="N12"/>
    </row>
    <row r="13" spans="1:14" ht="15">
      <c r="A13" t="s">
        <v>101</v>
      </c>
      <c r="B13" s="8">
        <f>'[1]16. Final 2002 Rate Schedule '!$F$125</f>
        <v>0.2717906975794916</v>
      </c>
      <c r="C13" s="24">
        <f>'[1]16. Final 2002 Rate Schedule '!$F$126</f>
        <v>1.5750369335498784</v>
      </c>
      <c r="D13" s="54">
        <f>'[1]6. 2001PILs DefAcct Adder Calc'!$C$230</f>
        <v>0.012040518975228056</v>
      </c>
      <c r="E13" s="49">
        <f>'[1]6. 2001PILs DefAcct Adder Calc'!$B$226</f>
        <v>0.042418458534173246</v>
      </c>
      <c r="F13" s="54">
        <f>'[1]8. 2002PILs Proxy Adder Calc'!$C$230</f>
        <v>0.028143481723993072</v>
      </c>
      <c r="G13" s="49">
        <f>'[1]8. 2002PILs Proxy Adder Calc'!$B$226</f>
        <v>0.16111681413653586</v>
      </c>
      <c r="H13"/>
      <c r="I13"/>
      <c r="J13"/>
      <c r="K13"/>
      <c r="L13"/>
      <c r="M13"/>
      <c r="N13"/>
    </row>
    <row r="14" spans="1:14" ht="15">
      <c r="A14" t="s">
        <v>105</v>
      </c>
      <c r="B14" s="8">
        <f aca="true" t="shared" si="0" ref="B14:G14">B9</f>
        <v>15.886754130877971</v>
      </c>
      <c r="C14" s="24">
        <f t="shared" si="0"/>
        <v>0.006561974697631583</v>
      </c>
      <c r="D14" s="54">
        <f t="shared" si="0"/>
        <v>0.22748566977619541</v>
      </c>
      <c r="E14" s="49">
        <f t="shared" si="0"/>
        <v>0.0001091025185441162</v>
      </c>
      <c r="F14" s="54">
        <f t="shared" si="0"/>
        <v>0.6646556102553104</v>
      </c>
      <c r="G14" s="49">
        <f t="shared" si="0"/>
        <v>0.00031876997401494807</v>
      </c>
      <c r="H14"/>
      <c r="I14"/>
      <c r="J14"/>
      <c r="K14"/>
      <c r="L14"/>
      <c r="M14"/>
      <c r="N14"/>
    </row>
    <row r="15" spans="1:14" ht="15">
      <c r="A15"/>
      <c r="B15" s="8"/>
      <c r="C15" s="24"/>
      <c r="D15" s="24"/>
      <c r="E15" s="49"/>
      <c r="F15" s="24"/>
      <c r="G15" s="49"/>
      <c r="H15"/>
      <c r="I15"/>
      <c r="J15"/>
      <c r="K15"/>
      <c r="L15"/>
      <c r="M15"/>
      <c r="N15"/>
    </row>
    <row r="16" spans="1:14" ht="21">
      <c r="A16" s="25" t="s">
        <v>58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26" ht="18.75">
      <c r="A17"/>
      <c r="B17" s="65">
        <v>2002</v>
      </c>
      <c r="C17" s="65"/>
      <c r="D17" s="65"/>
      <c r="E17" s="65"/>
      <c r="F17" s="65"/>
      <c r="G17" s="65"/>
      <c r="H17" s="65"/>
      <c r="I17" s="65"/>
      <c r="J17" s="65"/>
      <c r="K17" s="65"/>
      <c r="L17" s="67">
        <v>2003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>
        <v>2004</v>
      </c>
      <c r="Y17" s="68"/>
      <c r="Z17" s="68"/>
    </row>
    <row r="18" spans="1:26" s="32" customFormat="1" ht="15">
      <c r="A18" s="23" t="str">
        <f aca="true" t="shared" si="1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1" t="s">
        <v>54</v>
      </c>
      <c r="O18" s="1" t="s">
        <v>16</v>
      </c>
      <c r="P18" s="1" t="s">
        <v>17</v>
      </c>
      <c r="Q18" s="1" t="s">
        <v>18</v>
      </c>
      <c r="R18" s="1" t="s">
        <v>19</v>
      </c>
      <c r="S18" s="1" t="s">
        <v>47</v>
      </c>
      <c r="T18" s="1" t="s">
        <v>48</v>
      </c>
      <c r="U18" s="1" t="s">
        <v>49</v>
      </c>
      <c r="V18" s="1" t="s">
        <v>50</v>
      </c>
      <c r="W18" s="1" t="s">
        <v>51</v>
      </c>
      <c r="X18" s="1" t="s">
        <v>52</v>
      </c>
      <c r="Y18" s="1" t="s">
        <v>53</v>
      </c>
      <c r="Z18" s="32" t="s">
        <v>99</v>
      </c>
    </row>
    <row r="19" spans="1:26" ht="15">
      <c r="A19" t="str">
        <f t="shared" si="1"/>
        <v>Residential</v>
      </c>
      <c r="B19" s="33">
        <v>2768</v>
      </c>
      <c r="C19" s="33">
        <v>2768</v>
      </c>
      <c r="D19" s="33">
        <v>2768</v>
      </c>
      <c r="E19" s="33">
        <v>2768</v>
      </c>
      <c r="F19" s="33">
        <v>2768</v>
      </c>
      <c r="G19" s="33">
        <v>2768</v>
      </c>
      <c r="H19" s="33">
        <v>2768</v>
      </c>
      <c r="I19" s="33">
        <v>2768</v>
      </c>
      <c r="J19" s="33">
        <v>2768</v>
      </c>
      <c r="K19" s="33">
        <v>2768</v>
      </c>
      <c r="L19" s="33">
        <v>2764</v>
      </c>
      <c r="M19" s="33">
        <v>2768</v>
      </c>
      <c r="N19" s="33">
        <v>2767</v>
      </c>
      <c r="O19" s="33">
        <v>2767</v>
      </c>
      <c r="P19" s="33">
        <v>2769</v>
      </c>
      <c r="Q19" s="33">
        <v>2775</v>
      </c>
      <c r="R19" s="33">
        <v>2771</v>
      </c>
      <c r="S19" s="33">
        <v>2774</v>
      </c>
      <c r="T19" s="33">
        <v>2777</v>
      </c>
      <c r="U19" s="33">
        <v>2793</v>
      </c>
      <c r="V19" s="33">
        <v>2798</v>
      </c>
      <c r="W19" s="33">
        <v>2803</v>
      </c>
      <c r="X19" s="33">
        <v>2803</v>
      </c>
      <c r="Y19" s="33">
        <v>2805</v>
      </c>
      <c r="Z19" s="60">
        <v>2806</v>
      </c>
    </row>
    <row r="20" spans="1:26" ht="15">
      <c r="A20" t="str">
        <f t="shared" si="1"/>
        <v>General Service &lt; 50 kW</v>
      </c>
      <c r="B20" s="33">
        <v>454</v>
      </c>
      <c r="C20" s="33">
        <v>454</v>
      </c>
      <c r="D20" s="33">
        <v>454</v>
      </c>
      <c r="E20" s="33">
        <v>454</v>
      </c>
      <c r="F20" s="33">
        <v>454</v>
      </c>
      <c r="G20" s="33">
        <v>454</v>
      </c>
      <c r="H20" s="33">
        <v>454</v>
      </c>
      <c r="I20" s="33">
        <v>454</v>
      </c>
      <c r="J20" s="33">
        <v>454</v>
      </c>
      <c r="K20" s="33">
        <v>454</v>
      </c>
      <c r="L20" s="33">
        <v>449</v>
      </c>
      <c r="M20" s="33">
        <v>449</v>
      </c>
      <c r="N20" s="33">
        <v>455</v>
      </c>
      <c r="O20" s="33">
        <v>456</v>
      </c>
      <c r="P20" s="33">
        <v>455</v>
      </c>
      <c r="Q20" s="33">
        <v>456</v>
      </c>
      <c r="R20" s="33">
        <v>457</v>
      </c>
      <c r="S20" s="33">
        <v>456</v>
      </c>
      <c r="T20" s="33">
        <v>457</v>
      </c>
      <c r="U20" s="33">
        <v>456</v>
      </c>
      <c r="V20" s="33">
        <v>454</v>
      </c>
      <c r="W20" s="33">
        <v>454</v>
      </c>
      <c r="X20" s="33">
        <v>449</v>
      </c>
      <c r="Y20" s="33">
        <v>447</v>
      </c>
      <c r="Z20" s="60">
        <v>447</v>
      </c>
    </row>
    <row r="21" spans="1:26" ht="15">
      <c r="A21" t="str">
        <f t="shared" si="1"/>
        <v>General Service &gt; 50 kW</v>
      </c>
      <c r="B21" s="33">
        <v>38</v>
      </c>
      <c r="C21" s="33">
        <v>38</v>
      </c>
      <c r="D21" s="33">
        <v>38</v>
      </c>
      <c r="E21" s="33">
        <v>38</v>
      </c>
      <c r="F21" s="33">
        <v>38</v>
      </c>
      <c r="G21" s="33">
        <v>38</v>
      </c>
      <c r="H21" s="33">
        <v>38</v>
      </c>
      <c r="I21" s="33">
        <v>38</v>
      </c>
      <c r="J21" s="33">
        <v>38</v>
      </c>
      <c r="K21" s="33">
        <v>38</v>
      </c>
      <c r="L21" s="33">
        <v>38</v>
      </c>
      <c r="M21" s="33">
        <v>38</v>
      </c>
      <c r="N21" s="33">
        <v>38</v>
      </c>
      <c r="O21" s="33">
        <v>38</v>
      </c>
      <c r="P21" s="33">
        <v>38</v>
      </c>
      <c r="Q21" s="33">
        <v>38</v>
      </c>
      <c r="R21" s="33">
        <v>38</v>
      </c>
      <c r="S21" s="33">
        <v>38</v>
      </c>
      <c r="T21" s="33">
        <v>39</v>
      </c>
      <c r="U21" s="33">
        <v>38</v>
      </c>
      <c r="V21" s="33">
        <v>38</v>
      </c>
      <c r="W21" s="33">
        <v>37</v>
      </c>
      <c r="X21" s="33">
        <v>38</v>
      </c>
      <c r="Y21" s="33">
        <v>38</v>
      </c>
      <c r="Z21" s="33">
        <v>38</v>
      </c>
    </row>
    <row r="22" spans="1:26" ht="15">
      <c r="A22" t="str">
        <f t="shared" si="1"/>
        <v>General Service &gt; 50 kW - TOU</v>
      </c>
      <c r="B22" s="33">
        <v>6</v>
      </c>
      <c r="C22" s="33">
        <v>6</v>
      </c>
      <c r="D22" s="33">
        <v>6</v>
      </c>
      <c r="E22" s="33">
        <v>6</v>
      </c>
      <c r="F22" s="33">
        <v>6</v>
      </c>
      <c r="G22" s="33">
        <v>6</v>
      </c>
      <c r="H22" s="33">
        <v>6</v>
      </c>
      <c r="I22" s="33">
        <v>6</v>
      </c>
      <c r="J22" s="33">
        <v>6</v>
      </c>
      <c r="K22" s="33">
        <v>6</v>
      </c>
      <c r="L22" s="33">
        <v>8</v>
      </c>
      <c r="M22" s="33">
        <v>8</v>
      </c>
      <c r="N22" s="33">
        <v>8</v>
      </c>
      <c r="O22" s="33">
        <v>8</v>
      </c>
      <c r="P22" s="33">
        <v>8</v>
      </c>
      <c r="Q22" s="33">
        <v>8</v>
      </c>
      <c r="R22" s="33">
        <v>8</v>
      </c>
      <c r="S22" s="33">
        <v>8</v>
      </c>
      <c r="T22" s="33">
        <v>8</v>
      </c>
      <c r="U22" s="33">
        <v>8</v>
      </c>
      <c r="V22" s="33">
        <v>8</v>
      </c>
      <c r="W22" s="33">
        <v>8</v>
      </c>
      <c r="X22" s="33">
        <v>9</v>
      </c>
      <c r="Y22" s="33">
        <v>9</v>
      </c>
      <c r="Z22" s="60">
        <v>9</v>
      </c>
    </row>
    <row r="23" spans="1:26" ht="15">
      <c r="A23" t="str">
        <f t="shared" si="1"/>
        <v>Sentinel Lights</v>
      </c>
      <c r="B23" s="33">
        <v>48</v>
      </c>
      <c r="C23" s="33">
        <v>48</v>
      </c>
      <c r="D23" s="33">
        <v>48</v>
      </c>
      <c r="E23" s="33">
        <v>48</v>
      </c>
      <c r="F23" s="33">
        <v>48</v>
      </c>
      <c r="G23" s="33">
        <v>48</v>
      </c>
      <c r="H23" s="33">
        <v>48</v>
      </c>
      <c r="I23" s="33">
        <v>48</v>
      </c>
      <c r="J23" s="33">
        <v>48</v>
      </c>
      <c r="K23" s="33">
        <v>48</v>
      </c>
      <c r="L23" s="33">
        <v>40</v>
      </c>
      <c r="M23" s="33">
        <v>40</v>
      </c>
      <c r="N23" s="33">
        <v>40</v>
      </c>
      <c r="O23" s="33">
        <v>40</v>
      </c>
      <c r="P23" s="33">
        <v>40</v>
      </c>
      <c r="Q23" s="33">
        <v>40</v>
      </c>
      <c r="R23" s="33">
        <v>40</v>
      </c>
      <c r="S23" s="33">
        <v>40</v>
      </c>
      <c r="T23" s="33">
        <v>40</v>
      </c>
      <c r="U23" s="33">
        <v>40</v>
      </c>
      <c r="V23" s="33">
        <v>40</v>
      </c>
      <c r="W23" s="33">
        <v>40</v>
      </c>
      <c r="X23" s="33">
        <v>41</v>
      </c>
      <c r="Y23" s="33">
        <v>41</v>
      </c>
      <c r="Z23" s="60">
        <v>41</v>
      </c>
    </row>
    <row r="24" spans="1:26" ht="15">
      <c r="A24" t="str">
        <f t="shared" si="1"/>
        <v>Street Lights</v>
      </c>
      <c r="B24" s="33">
        <v>803</v>
      </c>
      <c r="C24" s="33">
        <v>803</v>
      </c>
      <c r="D24" s="33">
        <v>803</v>
      </c>
      <c r="E24" s="33">
        <v>803</v>
      </c>
      <c r="F24" s="33">
        <v>803</v>
      </c>
      <c r="G24" s="33">
        <v>803</v>
      </c>
      <c r="H24" s="33">
        <v>803</v>
      </c>
      <c r="I24" s="33">
        <v>803</v>
      </c>
      <c r="J24" s="33">
        <v>803</v>
      </c>
      <c r="K24" s="33">
        <v>803</v>
      </c>
      <c r="L24" s="33">
        <v>934</v>
      </c>
      <c r="M24" s="33">
        <v>934</v>
      </c>
      <c r="N24" s="33">
        <v>934</v>
      </c>
      <c r="O24" s="33">
        <v>934</v>
      </c>
      <c r="P24" s="33">
        <v>934</v>
      </c>
      <c r="Q24" s="33">
        <v>934</v>
      </c>
      <c r="R24" s="33">
        <v>934</v>
      </c>
      <c r="S24" s="33">
        <v>934</v>
      </c>
      <c r="T24" s="33">
        <v>934</v>
      </c>
      <c r="U24" s="33">
        <v>934</v>
      </c>
      <c r="V24" s="33">
        <v>934</v>
      </c>
      <c r="W24" s="33">
        <v>934</v>
      </c>
      <c r="X24" s="33">
        <v>942</v>
      </c>
      <c r="Y24" s="33">
        <v>942</v>
      </c>
      <c r="Z24" s="60">
        <v>942</v>
      </c>
    </row>
    <row r="25" spans="1:26" ht="15">
      <c r="A25" t="str">
        <f t="shared" si="1"/>
        <v>Unmetered Scattered Load</v>
      </c>
      <c r="B25" s="33">
        <v>13</v>
      </c>
      <c r="C25" s="33">
        <v>13</v>
      </c>
      <c r="D25" s="33">
        <v>13</v>
      </c>
      <c r="E25" s="33">
        <v>13</v>
      </c>
      <c r="F25" s="33">
        <v>13</v>
      </c>
      <c r="G25" s="33">
        <v>13</v>
      </c>
      <c r="H25" s="33">
        <v>13</v>
      </c>
      <c r="I25" s="33">
        <v>13</v>
      </c>
      <c r="J25" s="33">
        <v>13</v>
      </c>
      <c r="K25" s="33">
        <v>13</v>
      </c>
      <c r="L25" s="33">
        <v>12</v>
      </c>
      <c r="M25" s="33">
        <v>12</v>
      </c>
      <c r="N25" s="33">
        <v>12</v>
      </c>
      <c r="O25" s="33">
        <v>12</v>
      </c>
      <c r="P25" s="33">
        <v>12</v>
      </c>
      <c r="Q25" s="33">
        <v>12</v>
      </c>
      <c r="R25" s="33">
        <v>12</v>
      </c>
      <c r="S25" s="33">
        <v>12</v>
      </c>
      <c r="T25" s="33">
        <v>12</v>
      </c>
      <c r="U25" s="33">
        <v>12</v>
      </c>
      <c r="V25" s="33">
        <v>12</v>
      </c>
      <c r="W25" s="33">
        <v>12</v>
      </c>
      <c r="X25" s="33">
        <v>12</v>
      </c>
      <c r="Y25" s="33">
        <v>12</v>
      </c>
      <c r="Z25" s="60">
        <v>12</v>
      </c>
    </row>
    <row r="26" spans="1:14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21">
      <c r="A27" s="25" t="s">
        <v>64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6" s="32" customFormat="1" ht="18.75">
      <c r="A28" s="1"/>
      <c r="B28" s="65">
        <f>B17</f>
        <v>2002</v>
      </c>
      <c r="C28" s="65"/>
      <c r="D28" s="65"/>
      <c r="E28" s="65"/>
      <c r="F28" s="65"/>
      <c r="G28" s="65"/>
      <c r="H28" s="65"/>
      <c r="I28" s="65"/>
      <c r="J28" s="65"/>
      <c r="K28" s="65"/>
      <c r="L28" s="67">
        <f>L17</f>
        <v>2003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>
        <v>2004</v>
      </c>
      <c r="Y28" s="68"/>
      <c r="Z28" s="68"/>
    </row>
    <row r="29" spans="1:26" s="32" customFormat="1" ht="15">
      <c r="A29" s="23" t="str">
        <f>A7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47</v>
      </c>
      <c r="H29" s="1" t="s">
        <v>48</v>
      </c>
      <c r="I29" s="1" t="s">
        <v>49</v>
      </c>
      <c r="J29" s="1" t="s">
        <v>50</v>
      </c>
      <c r="K29" s="1" t="s">
        <v>51</v>
      </c>
      <c r="L29" s="1" t="s">
        <v>52</v>
      </c>
      <c r="M29" s="1" t="s">
        <v>53</v>
      </c>
      <c r="N29" s="1" t="s">
        <v>54</v>
      </c>
      <c r="O29" s="1" t="s">
        <v>16</v>
      </c>
      <c r="P29" s="1" t="s">
        <v>17</v>
      </c>
      <c r="Q29" s="1" t="s">
        <v>18</v>
      </c>
      <c r="R29" s="1" t="s">
        <v>19</v>
      </c>
      <c r="S29" s="1" t="s">
        <v>47</v>
      </c>
      <c r="T29" s="1" t="s">
        <v>48</v>
      </c>
      <c r="U29" s="1" t="s">
        <v>49</v>
      </c>
      <c r="V29" s="1" t="s">
        <v>50</v>
      </c>
      <c r="W29" s="1" t="s">
        <v>51</v>
      </c>
      <c r="X29" s="1" t="s">
        <v>52</v>
      </c>
      <c r="Y29" s="1" t="s">
        <v>53</v>
      </c>
      <c r="Z29" s="32" t="s">
        <v>99</v>
      </c>
    </row>
    <row r="30" spans="1:26" ht="15">
      <c r="A30" t="str">
        <f aca="true" t="shared" si="2" ref="A30:A36">A19</f>
        <v>Residential</v>
      </c>
      <c r="B30" s="33">
        <v>2218940</v>
      </c>
      <c r="C30" s="33">
        <v>2027069</v>
      </c>
      <c r="D30" s="33">
        <v>829352</v>
      </c>
      <c r="E30" s="33">
        <v>2441948</v>
      </c>
      <c r="F30" s="33">
        <v>1998989</v>
      </c>
      <c r="G30" s="33">
        <v>1341607</v>
      </c>
      <c r="H30" s="33">
        <v>2365206</v>
      </c>
      <c r="I30" s="33">
        <v>1426375</v>
      </c>
      <c r="J30" s="33">
        <v>2368209</v>
      </c>
      <c r="K30" s="33">
        <v>2452858</v>
      </c>
      <c r="L30" s="33">
        <v>3065711</v>
      </c>
      <c r="M30" s="33">
        <v>2345725</v>
      </c>
      <c r="N30" s="33">
        <v>1260448</v>
      </c>
      <c r="O30" s="33">
        <v>1714818</v>
      </c>
      <c r="P30" s="33">
        <v>2690848</v>
      </c>
      <c r="Q30" s="33">
        <v>1561559</v>
      </c>
      <c r="R30" s="33">
        <v>1968039</v>
      </c>
      <c r="S30" s="33">
        <v>1366363</v>
      </c>
      <c r="T30" s="33">
        <v>1683061</v>
      </c>
      <c r="U30" s="33">
        <v>1763163</v>
      </c>
      <c r="V30" s="33">
        <v>1841226</v>
      </c>
      <c r="W30" s="33">
        <v>2037320</v>
      </c>
      <c r="X30" s="33">
        <v>2645989</v>
      </c>
      <c r="Y30" s="33">
        <v>2974140</v>
      </c>
      <c r="Z30" s="33">
        <v>2320582</v>
      </c>
    </row>
    <row r="31" spans="1:26" ht="15">
      <c r="A31" t="str">
        <f t="shared" si="2"/>
        <v>General Service &lt; 50 kW</v>
      </c>
      <c r="B31" s="33">
        <v>1113561</v>
      </c>
      <c r="C31" s="33">
        <v>948532.7</v>
      </c>
      <c r="D31" s="33">
        <v>386721</v>
      </c>
      <c r="E31" s="33">
        <v>1376671</v>
      </c>
      <c r="F31" s="33">
        <v>1132249</v>
      </c>
      <c r="G31" s="33">
        <v>731709</v>
      </c>
      <c r="H31" s="33">
        <v>1389883</v>
      </c>
      <c r="I31" s="33">
        <v>786269</v>
      </c>
      <c r="J31" s="33">
        <v>1219772</v>
      </c>
      <c r="K31" s="33">
        <v>1110630</v>
      </c>
      <c r="L31" s="33">
        <v>1321803</v>
      </c>
      <c r="M31" s="33">
        <v>1070313</v>
      </c>
      <c r="N31" s="33">
        <v>622579</v>
      </c>
      <c r="O31" s="33">
        <v>861025</v>
      </c>
      <c r="P31" s="33">
        <v>1326193</v>
      </c>
      <c r="Q31" s="33">
        <v>844836</v>
      </c>
      <c r="R31" s="33">
        <v>1154706</v>
      </c>
      <c r="S31" s="33">
        <v>732709</v>
      </c>
      <c r="T31" s="33">
        <v>1018342</v>
      </c>
      <c r="U31" s="33">
        <v>889982</v>
      </c>
      <c r="V31" s="33">
        <v>922929</v>
      </c>
      <c r="W31" s="33">
        <v>1027551</v>
      </c>
      <c r="X31" s="33">
        <v>1170718</v>
      </c>
      <c r="Y31" s="33">
        <v>1289211</v>
      </c>
      <c r="Z31" s="33">
        <v>1086034</v>
      </c>
    </row>
    <row r="32" spans="1:26" ht="15">
      <c r="A32" t="str">
        <f t="shared" si="2"/>
        <v>General Service &gt; 50 kW</v>
      </c>
      <c r="B32" s="33">
        <v>7250.9</v>
      </c>
      <c r="C32" s="33">
        <v>8265.7</v>
      </c>
      <c r="D32" s="33">
        <v>950</v>
      </c>
      <c r="E32" s="33">
        <v>4922.4</v>
      </c>
      <c r="F32" s="33">
        <v>3343.5</v>
      </c>
      <c r="G32" s="33">
        <v>3060.5</v>
      </c>
      <c r="H32" s="33">
        <v>4241.7</v>
      </c>
      <c r="I32" s="33">
        <v>3709.5</v>
      </c>
      <c r="J32" s="33">
        <v>6218.4</v>
      </c>
      <c r="K32" s="33">
        <v>4275.3</v>
      </c>
      <c r="L32" s="33">
        <v>4263.1</v>
      </c>
      <c r="M32" s="33">
        <v>3767.2</v>
      </c>
      <c r="N32" s="33">
        <v>2949.9</v>
      </c>
      <c r="O32" s="33">
        <v>3920</v>
      </c>
      <c r="P32" s="33">
        <v>4310.1</v>
      </c>
      <c r="Q32" s="33">
        <v>3842.7</v>
      </c>
      <c r="R32" s="33">
        <v>4766.6</v>
      </c>
      <c r="S32" s="33">
        <v>2729.6</v>
      </c>
      <c r="T32" s="33">
        <v>3635.8</v>
      </c>
      <c r="U32" s="33">
        <v>4104</v>
      </c>
      <c r="V32" s="33">
        <v>4033.4</v>
      </c>
      <c r="W32" s="33">
        <v>3547.8</v>
      </c>
      <c r="X32" s="33">
        <v>4001.3</v>
      </c>
      <c r="Y32" s="33">
        <v>3877.5</v>
      </c>
      <c r="Z32" s="33">
        <v>3927.3</v>
      </c>
    </row>
    <row r="33" spans="1:26" ht="15">
      <c r="A33" t="str">
        <f t="shared" si="2"/>
        <v>General Service &gt; 50 kW - TOU</v>
      </c>
      <c r="B33" s="33">
        <v>3037.8</v>
      </c>
      <c r="C33" s="33">
        <v>4498.099999999999</v>
      </c>
      <c r="D33" s="33">
        <v>0</v>
      </c>
      <c r="E33" s="33">
        <v>6662.7</v>
      </c>
      <c r="F33" s="33">
        <v>7944.1</v>
      </c>
      <c r="G33" s="33">
        <v>7387.2</v>
      </c>
      <c r="H33" s="33">
        <v>6749.1</v>
      </c>
      <c r="I33" s="33">
        <v>6599.1</v>
      </c>
      <c r="J33" s="33">
        <v>12706.9</v>
      </c>
      <c r="K33" s="33">
        <v>6230.3</v>
      </c>
      <c r="L33" s="33">
        <v>6372.1</v>
      </c>
      <c r="M33" s="33"/>
      <c r="N33" s="33">
        <v>6640.3</v>
      </c>
      <c r="O33" s="33">
        <v>6573.9</v>
      </c>
      <c r="P33" s="33">
        <v>6625.7</v>
      </c>
      <c r="Q33" s="33">
        <v>6577.3</v>
      </c>
      <c r="R33" s="33">
        <v>6636.1</v>
      </c>
      <c r="S33" s="33">
        <v>6717.5</v>
      </c>
      <c r="T33" s="33">
        <v>7393.6</v>
      </c>
      <c r="U33" s="33">
        <v>6594.1</v>
      </c>
      <c r="V33" s="33">
        <v>6597.5</v>
      </c>
      <c r="W33" s="33">
        <v>6957.9</v>
      </c>
      <c r="X33" s="33">
        <v>6665.3</v>
      </c>
      <c r="Y33" s="33">
        <v>6811.4</v>
      </c>
      <c r="Z33" s="33">
        <v>7385.9</v>
      </c>
    </row>
    <row r="34" spans="1:26" ht="15">
      <c r="A34" t="str">
        <f t="shared" si="2"/>
        <v>Sentinel Lights</v>
      </c>
      <c r="B34" s="33">
        <v>9.563888888888888</v>
      </c>
      <c r="C34" s="33">
        <v>9.78888888888889</v>
      </c>
      <c r="D34" s="33">
        <v>2.6416666666666666</v>
      </c>
      <c r="E34" s="33">
        <v>17.725</v>
      </c>
      <c r="F34" s="33">
        <v>10.902777777777779</v>
      </c>
      <c r="G34" s="33">
        <v>6.3277777777777775</v>
      </c>
      <c r="H34" s="33">
        <v>12.786111111111111</v>
      </c>
      <c r="I34" s="33">
        <v>8.530555555555555</v>
      </c>
      <c r="J34" s="33">
        <v>13.097222222222221</v>
      </c>
      <c r="K34" s="33">
        <v>8.158333333333333</v>
      </c>
      <c r="L34" s="33">
        <v>10.51388888888889</v>
      </c>
      <c r="M34" s="33">
        <v>8.875</v>
      </c>
      <c r="N34" s="33">
        <v>7.372222222222222</v>
      </c>
      <c r="O34" s="33">
        <v>6.705555555555556</v>
      </c>
      <c r="P34" s="33">
        <v>11.175</v>
      </c>
      <c r="Q34" s="33">
        <v>8.058333333333334</v>
      </c>
      <c r="R34" s="33">
        <v>10.344444444444445</v>
      </c>
      <c r="S34" s="33">
        <v>8.863888888888889</v>
      </c>
      <c r="T34" s="33">
        <v>9.219444444444445</v>
      </c>
      <c r="U34" s="33">
        <v>9.055555555555555</v>
      </c>
      <c r="V34" s="33">
        <v>8.813888888888888</v>
      </c>
      <c r="W34" s="33">
        <v>9.16388888888889</v>
      </c>
      <c r="X34" s="33">
        <v>9.005555555555556</v>
      </c>
      <c r="Y34" s="33">
        <v>9.005555555555556</v>
      </c>
      <c r="Z34" s="33">
        <v>9.005555555555556</v>
      </c>
    </row>
    <row r="35" spans="1:26" ht="15">
      <c r="A35" t="str">
        <f t="shared" si="2"/>
        <v>Street Lights</v>
      </c>
      <c r="B35" s="33">
        <v>150.5</v>
      </c>
      <c r="C35" s="33">
        <v>150.5</v>
      </c>
      <c r="D35" s="33">
        <v>0</v>
      </c>
      <c r="E35" s="33">
        <v>155.6</v>
      </c>
      <c r="F35" s="33">
        <v>155.6</v>
      </c>
      <c r="G35" s="33">
        <v>155.6</v>
      </c>
      <c r="H35" s="33">
        <v>155.6</v>
      </c>
      <c r="I35" s="33">
        <v>155.6</v>
      </c>
      <c r="J35" s="33">
        <v>311.2</v>
      </c>
      <c r="K35" s="33">
        <v>155.6</v>
      </c>
      <c r="L35" s="33">
        <v>155.6</v>
      </c>
      <c r="M35" s="33"/>
      <c r="N35" s="33">
        <v>163.2</v>
      </c>
      <c r="O35" s="33">
        <v>163.2</v>
      </c>
      <c r="P35" s="33">
        <v>163.9</v>
      </c>
      <c r="Q35" s="33">
        <v>166.5</v>
      </c>
      <c r="R35" s="33">
        <v>164.1</v>
      </c>
      <c r="S35" s="33">
        <v>164.1</v>
      </c>
      <c r="T35" s="33">
        <v>164.1</v>
      </c>
      <c r="U35" s="33">
        <v>164.5</v>
      </c>
      <c r="V35" s="33">
        <v>164.8</v>
      </c>
      <c r="W35" s="33">
        <v>164.8</v>
      </c>
      <c r="X35" s="33">
        <v>166.5</v>
      </c>
      <c r="Y35" s="33">
        <v>166.5</v>
      </c>
      <c r="Z35" s="33">
        <v>166.5</v>
      </c>
    </row>
    <row r="36" spans="1:26" ht="15">
      <c r="A36" t="str">
        <f t="shared" si="2"/>
        <v>Unmetered Scattered Load</v>
      </c>
      <c r="B36" s="33">
        <v>8592</v>
      </c>
      <c r="C36" s="33">
        <v>8565.33</v>
      </c>
      <c r="D36" s="33">
        <v>8492</v>
      </c>
      <c r="E36" s="33">
        <v>8492</v>
      </c>
      <c r="F36" s="33">
        <v>8492</v>
      </c>
      <c r="G36" s="33">
        <v>8492</v>
      </c>
      <c r="H36" s="33">
        <v>8492</v>
      </c>
      <c r="I36" s="33">
        <v>8492</v>
      </c>
      <c r="J36" s="33">
        <v>8492</v>
      </c>
      <c r="K36" s="33">
        <v>8492</v>
      </c>
      <c r="L36" s="33">
        <v>8492</v>
      </c>
      <c r="M36" s="33">
        <v>8492</v>
      </c>
      <c r="N36" s="33">
        <v>8492</v>
      </c>
      <c r="O36" s="33">
        <v>8492</v>
      </c>
      <c r="P36" s="33">
        <v>8492</v>
      </c>
      <c r="Q36" s="33">
        <v>8492</v>
      </c>
      <c r="R36" s="33">
        <v>8492</v>
      </c>
      <c r="S36" s="33">
        <v>8492</v>
      </c>
      <c r="T36" s="33">
        <v>8492</v>
      </c>
      <c r="U36" s="33">
        <v>8492</v>
      </c>
      <c r="V36" s="33">
        <v>8492</v>
      </c>
      <c r="W36" s="33">
        <v>8492</v>
      </c>
      <c r="X36" s="33">
        <v>8492</v>
      </c>
      <c r="Y36" s="33">
        <v>8492</v>
      </c>
      <c r="Z36" s="33">
        <v>8492</v>
      </c>
    </row>
    <row r="37" spans="1:14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21">
      <c r="A38" s="25" t="s">
        <v>56</v>
      </c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26" ht="18.75">
      <c r="A40"/>
      <c r="B40" s="65">
        <f>B28</f>
        <v>2002</v>
      </c>
      <c r="C40" s="65"/>
      <c r="D40" s="65"/>
      <c r="E40" s="65"/>
      <c r="F40" s="65"/>
      <c r="G40" s="65"/>
      <c r="H40" s="65"/>
      <c r="I40" s="65"/>
      <c r="J40" s="65"/>
      <c r="K40" s="65"/>
      <c r="L40" s="67">
        <f>L28</f>
        <v>2003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>
        <v>2004</v>
      </c>
      <c r="Y40" s="68"/>
      <c r="Z40" s="68"/>
    </row>
    <row r="41" spans="1:26" s="32" customFormat="1" ht="15">
      <c r="A41" s="23" t="str">
        <f aca="true" t="shared" si="3" ref="A41:A48">A29</f>
        <v>Rate Class</v>
      </c>
      <c r="B41" s="1" t="s">
        <v>9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47</v>
      </c>
      <c r="H41" s="1" t="s">
        <v>48</v>
      </c>
      <c r="I41" s="1" t="s">
        <v>49</v>
      </c>
      <c r="J41" s="1" t="s">
        <v>50</v>
      </c>
      <c r="K41" s="1" t="s">
        <v>51</v>
      </c>
      <c r="L41" s="1" t="s">
        <v>52</v>
      </c>
      <c r="M41" s="1" t="s">
        <v>53</v>
      </c>
      <c r="N41" s="1" t="s">
        <v>54</v>
      </c>
      <c r="O41" s="1" t="s">
        <v>16</v>
      </c>
      <c r="P41" s="1" t="s">
        <v>17</v>
      </c>
      <c r="Q41" s="1" t="s">
        <v>18</v>
      </c>
      <c r="R41" s="1" t="s">
        <v>19</v>
      </c>
      <c r="S41" s="1" t="s">
        <v>47</v>
      </c>
      <c r="T41" s="1" t="s">
        <v>48</v>
      </c>
      <c r="U41" s="1" t="s">
        <v>49</v>
      </c>
      <c r="V41" s="1" t="s">
        <v>50</v>
      </c>
      <c r="W41" s="1" t="s">
        <v>51</v>
      </c>
      <c r="X41" s="1" t="s">
        <v>52</v>
      </c>
      <c r="Y41" s="1" t="s">
        <v>53</v>
      </c>
      <c r="Z41" s="32" t="s">
        <v>99</v>
      </c>
    </row>
    <row r="42" spans="1:26" ht="15">
      <c r="A42" s="27" t="str">
        <f t="shared" si="3"/>
        <v>Residential</v>
      </c>
      <c r="B42" s="26">
        <f aca="true" t="shared" si="4" ref="B42:B48">(B19*($D8+$F8)+B30*($E8+$G8))*0.5</f>
        <v>1523.6631640373512</v>
      </c>
      <c r="C42" s="26">
        <f aca="true" t="shared" si="5" ref="C42:Y42">(C19*($D8+$F8)+C30*($E8+$G8))</f>
        <v>2919.4225347385745</v>
      </c>
      <c r="D42" s="26">
        <f t="shared" si="5"/>
        <v>2121.0082478313952</v>
      </c>
      <c r="E42" s="26">
        <f t="shared" si="5"/>
        <v>3195.986465064155</v>
      </c>
      <c r="F42" s="26">
        <f t="shared" si="5"/>
        <v>2900.704028466764</v>
      </c>
      <c r="G42" s="26">
        <f t="shared" si="5"/>
        <v>2462.4843315303297</v>
      </c>
      <c r="H42" s="26">
        <f t="shared" si="5"/>
        <v>3144.8292140559197</v>
      </c>
      <c r="I42" s="26">
        <f t="shared" si="5"/>
        <v>2518.9918222585634</v>
      </c>
      <c r="J42" s="26">
        <f t="shared" si="5"/>
        <v>3146.831054309988</v>
      </c>
      <c r="K42" s="26">
        <f t="shared" si="5"/>
        <v>3203.2592180351467</v>
      </c>
      <c r="L42" s="26">
        <f t="shared" si="5"/>
        <v>3609.5291695032474</v>
      </c>
      <c r="M42" s="26">
        <f t="shared" si="5"/>
        <v>3131.8429170231157</v>
      </c>
      <c r="N42" s="26">
        <f t="shared" si="5"/>
        <v>2407.8161202676097</v>
      </c>
      <c r="O42" s="26">
        <f t="shared" si="5"/>
        <v>2710.7052831850724</v>
      </c>
      <c r="P42" s="26">
        <f t="shared" si="5"/>
        <v>3362.473086602505</v>
      </c>
      <c r="Q42" s="26">
        <f t="shared" si="5"/>
        <v>2613.072997616532</v>
      </c>
      <c r="R42" s="26">
        <f t="shared" si="5"/>
        <v>2881.7719271888973</v>
      </c>
      <c r="S42" s="26">
        <f t="shared" si="5"/>
        <v>2482.3861859364897</v>
      </c>
      <c r="T42" s="26">
        <f t="shared" si="5"/>
        <v>2695.2009247007254</v>
      </c>
      <c r="U42" s="26">
        <f t="shared" si="5"/>
        <v>2757.662453806067</v>
      </c>
      <c r="V42" s="26">
        <f t="shared" si="5"/>
        <v>2812.5329439703482</v>
      </c>
      <c r="W42" s="26">
        <f t="shared" si="5"/>
        <v>2946.084488755998</v>
      </c>
      <c r="X42" s="26">
        <f t="shared" si="5"/>
        <v>3351.8314436689743</v>
      </c>
      <c r="Y42" s="26">
        <f t="shared" si="5"/>
        <v>3571.7143779669605</v>
      </c>
      <c r="Z42" s="57">
        <f aca="true" t="shared" si="6" ref="Z42:Z48">(Z19*($D8+$F8)+Z30*($E8+$G8))*0.5</f>
        <v>1568.305169748289</v>
      </c>
    </row>
    <row r="43" spans="1:26" ht="15">
      <c r="A43" s="27" t="str">
        <f t="shared" si="3"/>
        <v>General Service &lt; 50 kW</v>
      </c>
      <c r="B43" s="26">
        <f t="shared" si="4"/>
        <v>440.7471309104339</v>
      </c>
      <c r="C43" s="26">
        <f aca="true" t="shared" si="7" ref="C43:Y43">(C20*($D9+$F9)+C31*($E9+$G9))</f>
        <v>810.8831917570827</v>
      </c>
      <c r="D43" s="26">
        <f t="shared" si="7"/>
        <v>570.4994193292375</v>
      </c>
      <c r="E43" s="26">
        <f t="shared" si="7"/>
        <v>994.0717933380832</v>
      </c>
      <c r="F43" s="26">
        <f t="shared" si="7"/>
        <v>889.4903429618116</v>
      </c>
      <c r="G43" s="26">
        <f t="shared" si="7"/>
        <v>718.1102947922041</v>
      </c>
      <c r="H43" s="26">
        <f t="shared" si="7"/>
        <v>999.7248447097736</v>
      </c>
      <c r="I43" s="26">
        <f t="shared" si="7"/>
        <v>741.4550179862265</v>
      </c>
      <c r="J43" s="26">
        <f t="shared" si="7"/>
        <v>926.9390271280586</v>
      </c>
      <c r="K43" s="26">
        <f t="shared" si="7"/>
        <v>880.2401675451772</v>
      </c>
      <c r="L43" s="26">
        <f t="shared" si="7"/>
        <v>966.134579016195</v>
      </c>
      <c r="M43" s="26">
        <f t="shared" si="7"/>
        <v>858.528925862516</v>
      </c>
      <c r="N43" s="26">
        <f t="shared" si="7"/>
        <v>672.3087109592648</v>
      </c>
      <c r="O43" s="26">
        <f t="shared" si="7"/>
        <v>775.225336600035</v>
      </c>
      <c r="P43" s="26">
        <f t="shared" si="7"/>
        <v>973.3657869387183</v>
      </c>
      <c r="Q43" s="26">
        <f t="shared" si="7"/>
        <v>768.2985088179963</v>
      </c>
      <c r="R43" s="26">
        <f t="shared" si="7"/>
        <v>901.775499367305</v>
      </c>
      <c r="S43" s="26">
        <f t="shared" si="7"/>
        <v>720.3224498448261</v>
      </c>
      <c r="T43" s="26">
        <f t="shared" si="7"/>
        <v>843.4290947919808</v>
      </c>
      <c r="U43" s="26">
        <f t="shared" si="7"/>
        <v>787.6152403670678</v>
      </c>
      <c r="V43" s="26">
        <f t="shared" si="7"/>
        <v>799.9280728193482</v>
      </c>
      <c r="W43" s="26">
        <f t="shared" si="7"/>
        <v>844.6929487358627</v>
      </c>
      <c r="X43" s="26">
        <f t="shared" si="7"/>
        <v>901.4894634779087</v>
      </c>
      <c r="Y43" s="26">
        <f t="shared" si="7"/>
        <v>950.4050761786468</v>
      </c>
      <c r="Z43" s="57">
        <f t="shared" si="6"/>
        <v>431.73561337898695</v>
      </c>
    </row>
    <row r="44" spans="1:26" ht="15">
      <c r="A44" s="27" t="str">
        <f t="shared" si="3"/>
        <v>General Service &gt; 50 kW</v>
      </c>
      <c r="B44" s="26">
        <f t="shared" si="4"/>
        <v>339.20205306435963</v>
      </c>
      <c r="C44" s="26">
        <f aca="true" t="shared" si="8" ref="C44:Y44">(C21*($D10+$F10)+C32*($E10+$G10))</f>
        <v>736.227205250255</v>
      </c>
      <c r="D44" s="26">
        <f t="shared" si="8"/>
        <v>319.3800962204773</v>
      </c>
      <c r="E44" s="26">
        <f t="shared" si="8"/>
        <v>545.726646230714</v>
      </c>
      <c r="F44" s="26">
        <f t="shared" si="8"/>
        <v>455.76124299560104</v>
      </c>
      <c r="G44" s="26">
        <f t="shared" si="8"/>
        <v>439.6359601306084</v>
      </c>
      <c r="H44" s="26">
        <f t="shared" si="8"/>
        <v>506.9404976575673</v>
      </c>
      <c r="I44" s="26">
        <f t="shared" si="8"/>
        <v>476.6158491036835</v>
      </c>
      <c r="J44" s="26">
        <f t="shared" si="8"/>
        <v>619.5724645806451</v>
      </c>
      <c r="K44" s="26">
        <f t="shared" si="8"/>
        <v>508.855018874047</v>
      </c>
      <c r="L44" s="26">
        <f t="shared" si="8"/>
        <v>508.1598653371109</v>
      </c>
      <c r="M44" s="26">
        <f t="shared" si="8"/>
        <v>479.9035834546025</v>
      </c>
      <c r="N44" s="26">
        <f t="shared" si="8"/>
        <v>433.33399445969604</v>
      </c>
      <c r="O44" s="26">
        <f t="shared" si="8"/>
        <v>488.6100966057364</v>
      </c>
      <c r="P44" s="26">
        <f t="shared" si="8"/>
        <v>510.83791584825815</v>
      </c>
      <c r="Q44" s="26">
        <f t="shared" si="8"/>
        <v>484.2055582118709</v>
      </c>
      <c r="R44" s="26">
        <f t="shared" si="8"/>
        <v>536.8491936852516</v>
      </c>
      <c r="S44" s="26">
        <f t="shared" si="8"/>
        <v>420.78134493616994</v>
      </c>
      <c r="T44" s="26">
        <f t="shared" si="8"/>
        <v>479.3966824044975</v>
      </c>
      <c r="U44" s="26">
        <f t="shared" si="8"/>
        <v>499.0943794578871</v>
      </c>
      <c r="V44" s="26">
        <f t="shared" si="8"/>
        <v>495.07160571135535</v>
      </c>
      <c r="W44" s="26">
        <f t="shared" si="8"/>
        <v>460.42197132788976</v>
      </c>
      <c r="X44" s="26">
        <f t="shared" si="8"/>
        <v>493.24255419203996</v>
      </c>
      <c r="Y44" s="26">
        <f t="shared" si="8"/>
        <v>486.18845518608197</v>
      </c>
      <c r="Z44" s="57">
        <f t="shared" si="6"/>
        <v>244.5130245659679</v>
      </c>
    </row>
    <row r="45" spans="1:26" ht="15">
      <c r="A45" s="27" t="str">
        <f t="shared" si="3"/>
        <v>General Service &gt; 50 kW - TOU</v>
      </c>
      <c r="B45" s="26">
        <f t="shared" si="4"/>
        <v>447.0761761865765</v>
      </c>
      <c r="C45" s="26">
        <f aca="true" t="shared" si="9" ref="C45:Y45">(C22*($D11+$F11)+C33*($E11+$G11))</f>
        <v>1011.0957565856972</v>
      </c>
      <c r="D45" s="26">
        <f t="shared" si="9"/>
        <v>650.8799608667043</v>
      </c>
      <c r="E45" s="26">
        <f t="shared" si="9"/>
        <v>1184.4407492299986</v>
      </c>
      <c r="F45" s="26">
        <f t="shared" si="9"/>
        <v>1287.0575253430948</v>
      </c>
      <c r="G45" s="26">
        <f t="shared" si="9"/>
        <v>1242.459989353253</v>
      </c>
      <c r="H45" s="26">
        <f t="shared" si="9"/>
        <v>1191.35981389066</v>
      </c>
      <c r="I45" s="26">
        <f t="shared" si="9"/>
        <v>1179.3475488547897</v>
      </c>
      <c r="J45" s="26">
        <f t="shared" si="9"/>
        <v>1668.4709647620537</v>
      </c>
      <c r="K45" s="26">
        <f t="shared" si="9"/>
        <v>1149.8133932199294</v>
      </c>
      <c r="L45" s="26">
        <f t="shared" si="9"/>
        <v>1378.1289747227404</v>
      </c>
      <c r="M45" s="26">
        <f t="shared" si="9"/>
        <v>867.8399478222724</v>
      </c>
      <c r="N45" s="26">
        <f t="shared" si="9"/>
        <v>1399.6069046068767</v>
      </c>
      <c r="O45" s="26">
        <f t="shared" si="9"/>
        <v>1394.2894752843313</v>
      </c>
      <c r="P45" s="26">
        <f t="shared" si="9"/>
        <v>1398.437710810052</v>
      </c>
      <c r="Q45" s="26">
        <f t="shared" si="9"/>
        <v>1394.561753291811</v>
      </c>
      <c r="R45" s="26">
        <f t="shared" si="9"/>
        <v>1399.2705611858723</v>
      </c>
      <c r="S45" s="26">
        <f t="shared" si="9"/>
        <v>1405.7892170120047</v>
      </c>
      <c r="T45" s="26">
        <f t="shared" si="9"/>
        <v>1459.932499617018</v>
      </c>
      <c r="U45" s="26">
        <f t="shared" si="9"/>
        <v>1395.9071269758288</v>
      </c>
      <c r="V45" s="26">
        <f t="shared" si="9"/>
        <v>1396.1794049833084</v>
      </c>
      <c r="W45" s="26">
        <f t="shared" si="9"/>
        <v>1425.0408737761597</v>
      </c>
      <c r="X45" s="26">
        <f t="shared" si="9"/>
        <v>1510.088942257306</v>
      </c>
      <c r="Y45" s="26">
        <f t="shared" si="9"/>
        <v>1521.7888884022436</v>
      </c>
      <c r="Z45" s="57">
        <f t="shared" si="6"/>
        <v>783.8979317448138</v>
      </c>
    </row>
    <row r="46" spans="1:26" ht="15">
      <c r="A46" s="27" t="str">
        <f t="shared" si="3"/>
        <v>Sentinel Lights</v>
      </c>
      <c r="B46" s="26">
        <f t="shared" si="4"/>
        <v>1.932612345404113</v>
      </c>
      <c r="C46" s="26">
        <f aca="true" t="shared" si="10" ref="C46:Y46">(C23*($D12+$F12)+C34*($E12+$G12))</f>
        <v>3.93308684973703</v>
      </c>
      <c r="D46" s="26">
        <f t="shared" si="10"/>
        <v>1.777416048208507</v>
      </c>
      <c r="E46" s="26">
        <f t="shared" si="10"/>
        <v>6.326694109731973</v>
      </c>
      <c r="F46" s="26">
        <f t="shared" si="10"/>
        <v>4.269046426656166</v>
      </c>
      <c r="G46" s="26">
        <f t="shared" si="10"/>
        <v>2.88918252843717</v>
      </c>
      <c r="H46" s="26">
        <f t="shared" si="10"/>
        <v>4.837077831023184</v>
      </c>
      <c r="I46" s="26">
        <f t="shared" si="10"/>
        <v>3.553561442394464</v>
      </c>
      <c r="J46" s="26">
        <f t="shared" si="10"/>
        <v>4.9309119273198005</v>
      </c>
      <c r="K46" s="26">
        <f t="shared" si="10"/>
        <v>3.4412956486110122</v>
      </c>
      <c r="L46" s="26">
        <f t="shared" si="10"/>
        <v>3.988309800598981</v>
      </c>
      <c r="M46" s="26">
        <f t="shared" si="10"/>
        <v>3.494005186179304</v>
      </c>
      <c r="N46" s="26">
        <f t="shared" si="10"/>
        <v>3.040752988889397</v>
      </c>
      <c r="O46" s="26">
        <f t="shared" si="10"/>
        <v>2.839679925396647</v>
      </c>
      <c r="P46" s="26">
        <f t="shared" si="10"/>
        <v>4.1877072552292915</v>
      </c>
      <c r="Q46" s="26">
        <f t="shared" si="10"/>
        <v>3.247690683400686</v>
      </c>
      <c r="R46" s="26">
        <f t="shared" si="10"/>
        <v>3.937203730294574</v>
      </c>
      <c r="S46" s="26">
        <f t="shared" si="10"/>
        <v>3.490653968454425</v>
      </c>
      <c r="T46" s="26">
        <f t="shared" si="10"/>
        <v>3.5978929356505582</v>
      </c>
      <c r="U46" s="26">
        <f t="shared" si="10"/>
        <v>3.5484624742085904</v>
      </c>
      <c r="V46" s="26">
        <f t="shared" si="10"/>
        <v>3.4755734886924685</v>
      </c>
      <c r="W46" s="26">
        <f t="shared" si="10"/>
        <v>3.5811368470261624</v>
      </c>
      <c r="X46" s="26">
        <f t="shared" si="10"/>
        <v>3.5538124951574366</v>
      </c>
      <c r="Y46" s="26">
        <f t="shared" si="10"/>
        <v>3.5538124951574366</v>
      </c>
      <c r="Z46" s="57">
        <f t="shared" si="6"/>
        <v>1.7769062475787183</v>
      </c>
    </row>
    <row r="47" spans="1:26" ht="15">
      <c r="A47" s="45" t="str">
        <f t="shared" si="3"/>
        <v>Street Lights</v>
      </c>
      <c r="B47" s="57">
        <f t="shared" si="4"/>
        <v>31.449905549208147</v>
      </c>
      <c r="C47" s="26">
        <f aca="true" t="shared" si="11" ref="C47:Y47">(C24*($D13+$F13)+C35*($E13+$G13))</f>
        <v>62.89981109841629</v>
      </c>
      <c r="D47" s="26">
        <f t="shared" si="11"/>
        <v>32.267752561474566</v>
      </c>
      <c r="E47" s="26">
        <f t="shared" si="11"/>
        <v>63.9378409890369</v>
      </c>
      <c r="F47" s="26">
        <f t="shared" si="11"/>
        <v>63.9378409890369</v>
      </c>
      <c r="G47" s="26">
        <f t="shared" si="11"/>
        <v>63.9378409890369</v>
      </c>
      <c r="H47" s="26">
        <f t="shared" si="11"/>
        <v>63.9378409890369</v>
      </c>
      <c r="I47" s="26">
        <f t="shared" si="11"/>
        <v>63.9378409890369</v>
      </c>
      <c r="J47" s="26">
        <f t="shared" si="11"/>
        <v>95.60792941659923</v>
      </c>
      <c r="K47" s="26">
        <f t="shared" si="11"/>
        <v>63.9378409890369</v>
      </c>
      <c r="L47" s="26">
        <f t="shared" si="11"/>
        <v>69.20194508063487</v>
      </c>
      <c r="M47" s="26">
        <f t="shared" si="11"/>
        <v>37.53185665307254</v>
      </c>
      <c r="N47" s="26">
        <f t="shared" si="11"/>
        <v>70.74881315293226</v>
      </c>
      <c r="O47" s="26">
        <f t="shared" si="11"/>
        <v>70.74881315293226</v>
      </c>
      <c r="P47" s="26">
        <f t="shared" si="11"/>
        <v>70.89128784380176</v>
      </c>
      <c r="Q47" s="26">
        <f t="shared" si="11"/>
        <v>71.4204795527456</v>
      </c>
      <c r="R47" s="26">
        <f t="shared" si="11"/>
        <v>70.9319948983359</v>
      </c>
      <c r="S47" s="26">
        <f t="shared" si="11"/>
        <v>70.9319948983359</v>
      </c>
      <c r="T47" s="26">
        <f t="shared" si="11"/>
        <v>70.9319948983359</v>
      </c>
      <c r="U47" s="26">
        <f t="shared" si="11"/>
        <v>71.01340900740419</v>
      </c>
      <c r="V47" s="26">
        <f t="shared" si="11"/>
        <v>71.07446958920539</v>
      </c>
      <c r="W47" s="26">
        <f t="shared" si="11"/>
        <v>71.07446958920539</v>
      </c>
      <c r="X47" s="26">
        <f t="shared" si="11"/>
        <v>71.74195155833937</v>
      </c>
      <c r="Y47" s="26">
        <f t="shared" si="11"/>
        <v>71.74195155833937</v>
      </c>
      <c r="Z47" s="57">
        <f t="shared" si="6"/>
        <v>35.87097577916968</v>
      </c>
    </row>
    <row r="48" spans="1:26" ht="15">
      <c r="A48" s="28" t="str">
        <f t="shared" si="3"/>
        <v>Unmetered Scattered Load</v>
      </c>
      <c r="B48" s="29">
        <f t="shared" si="4"/>
        <v>7.637058548238528</v>
      </c>
      <c r="C48" s="29">
        <f aca="true" t="shared" si="12" ref="C48:Y48">(C25*($D14+$F14)+C36*($E14+$G14))</f>
        <v>15.262705737100505</v>
      </c>
      <c r="D48" s="29">
        <f t="shared" si="12"/>
        <v>15.231329847221149</v>
      </c>
      <c r="E48" s="29">
        <f t="shared" si="12"/>
        <v>15.231329847221149</v>
      </c>
      <c r="F48" s="29">
        <f t="shared" si="12"/>
        <v>15.231329847221149</v>
      </c>
      <c r="G48" s="29">
        <f t="shared" si="12"/>
        <v>15.231329847221149</v>
      </c>
      <c r="H48" s="29">
        <f t="shared" si="12"/>
        <v>15.231329847221149</v>
      </c>
      <c r="I48" s="29">
        <f t="shared" si="12"/>
        <v>15.231329847221149</v>
      </c>
      <c r="J48" s="29">
        <f t="shared" si="12"/>
        <v>15.231329847221149</v>
      </c>
      <c r="K48" s="29">
        <f t="shared" si="12"/>
        <v>15.231329847221149</v>
      </c>
      <c r="L48" s="29">
        <f t="shared" si="12"/>
        <v>14.339188567189643</v>
      </c>
      <c r="M48" s="29">
        <f t="shared" si="12"/>
        <v>14.339188567189643</v>
      </c>
      <c r="N48" s="29">
        <f t="shared" si="12"/>
        <v>14.339188567189643</v>
      </c>
      <c r="O48" s="29">
        <f t="shared" si="12"/>
        <v>14.339188567189643</v>
      </c>
      <c r="P48" s="29">
        <f t="shared" si="12"/>
        <v>14.339188567189643</v>
      </c>
      <c r="Q48" s="29">
        <f t="shared" si="12"/>
        <v>14.339188567189643</v>
      </c>
      <c r="R48" s="29">
        <f t="shared" si="12"/>
        <v>14.339188567189643</v>
      </c>
      <c r="S48" s="29">
        <f t="shared" si="12"/>
        <v>14.339188567189643</v>
      </c>
      <c r="T48" s="29">
        <f t="shared" si="12"/>
        <v>14.339188567189643</v>
      </c>
      <c r="U48" s="29">
        <f t="shared" si="12"/>
        <v>14.339188567189643</v>
      </c>
      <c r="V48" s="29">
        <f t="shared" si="12"/>
        <v>14.339188567189643</v>
      </c>
      <c r="W48" s="29">
        <f t="shared" si="12"/>
        <v>14.339188567189643</v>
      </c>
      <c r="X48" s="29">
        <f t="shared" si="12"/>
        <v>14.339188567189643</v>
      </c>
      <c r="Y48" s="29">
        <f t="shared" si="12"/>
        <v>14.339188567189643</v>
      </c>
      <c r="Z48" s="29">
        <f t="shared" si="6"/>
        <v>7.169594283594821</v>
      </c>
    </row>
    <row r="49" spans="1:26" ht="15">
      <c r="A49" t="s">
        <v>13</v>
      </c>
      <c r="B49" s="26">
        <f aca="true" t="shared" si="13" ref="B49:Z49">SUM(B42:B47)</f>
        <v>2784.0710420933337</v>
      </c>
      <c r="C49" s="26">
        <f t="shared" si="13"/>
        <v>5544.461586279764</v>
      </c>
      <c r="D49" s="26">
        <f t="shared" si="13"/>
        <v>3695.812892857498</v>
      </c>
      <c r="E49" s="26">
        <f t="shared" si="13"/>
        <v>5990.4901889617195</v>
      </c>
      <c r="F49" s="26">
        <f t="shared" si="13"/>
        <v>5601.220027182965</v>
      </c>
      <c r="G49" s="26">
        <f t="shared" si="13"/>
        <v>4929.517599323869</v>
      </c>
      <c r="H49" s="26">
        <f t="shared" si="13"/>
        <v>5911.629289133981</v>
      </c>
      <c r="I49" s="26">
        <f t="shared" si="13"/>
        <v>4983.901640634695</v>
      </c>
      <c r="J49" s="26">
        <f t="shared" si="13"/>
        <v>6462.352352124664</v>
      </c>
      <c r="K49" s="26">
        <f t="shared" si="13"/>
        <v>5809.546934311949</v>
      </c>
      <c r="L49" s="26">
        <f t="shared" si="13"/>
        <v>6535.142843460528</v>
      </c>
      <c r="M49" s="26">
        <f t="shared" si="13"/>
        <v>5379.141236001758</v>
      </c>
      <c r="N49" s="26">
        <f t="shared" si="13"/>
        <v>4986.855296435269</v>
      </c>
      <c r="O49" s="26">
        <f t="shared" si="13"/>
        <v>5442.418684753505</v>
      </c>
      <c r="P49" s="26">
        <f t="shared" si="13"/>
        <v>6320.193495298565</v>
      </c>
      <c r="Q49" s="26">
        <f t="shared" si="13"/>
        <v>5334.806988174357</v>
      </c>
      <c r="R49" s="26">
        <f t="shared" si="13"/>
        <v>5794.536380055957</v>
      </c>
      <c r="S49" s="26">
        <f t="shared" si="13"/>
        <v>5103.701846596281</v>
      </c>
      <c r="T49" s="26">
        <f t="shared" si="13"/>
        <v>5552.489089348208</v>
      </c>
      <c r="U49" s="26">
        <f t="shared" si="13"/>
        <v>5514.841072088463</v>
      </c>
      <c r="V49" s="26">
        <f t="shared" si="13"/>
        <v>5578.262070562258</v>
      </c>
      <c r="W49" s="26">
        <f t="shared" si="13"/>
        <v>5750.895889032142</v>
      </c>
      <c r="X49" s="26">
        <f t="shared" si="13"/>
        <v>6331.948167649725</v>
      </c>
      <c r="Y49" s="26">
        <f t="shared" si="13"/>
        <v>6605.39256178743</v>
      </c>
      <c r="Z49" s="26">
        <f t="shared" si="13"/>
        <v>3066.099621464806</v>
      </c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</sheetData>
  <sheetProtection/>
  <mergeCells count="12">
    <mergeCell ref="L17:W17"/>
    <mergeCell ref="L28:W28"/>
    <mergeCell ref="L40:W40"/>
    <mergeCell ref="X17:Z17"/>
    <mergeCell ref="X28:Z28"/>
    <mergeCell ref="X40:Z40"/>
    <mergeCell ref="B40:K40"/>
    <mergeCell ref="F6:G6"/>
    <mergeCell ref="B6:C6"/>
    <mergeCell ref="D6:E6"/>
    <mergeCell ref="B17:K17"/>
    <mergeCell ref="B28:K28"/>
  </mergeCells>
  <printOptions/>
  <pageMargins left="0.75" right="0.75" top="1" bottom="1" header="0.5" footer="0.5"/>
  <pageSetup fitToHeight="1" fitToWidth="1" horizontalDpi="600" verticalDpi="600" orientation="landscape" scale="3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5"/>
  <sheetViews>
    <sheetView zoomScale="70" zoomScaleNormal="70" zoomScalePageLayoutView="0" workbookViewId="0" topLeftCell="I1">
      <selection activeCell="L25" sqref="L25:N25"/>
    </sheetView>
  </sheetViews>
  <sheetFormatPr defaultColWidth="21.281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4.421875" style="30" bestFit="1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2" width="14.421875" style="30" bestFit="1" customWidth="1"/>
    <col min="13" max="13" width="14.00390625" style="30" bestFit="1" customWidth="1"/>
    <col min="14" max="14" width="13.140625" style="30" bestFit="1" customWidth="1"/>
    <col min="15" max="254" width="9.140625" style="30" customWidth="1"/>
    <col min="255" max="16384" width="21.28125" style="30" customWidth="1"/>
  </cols>
  <sheetData>
    <row r="1" spans="1:13" ht="21">
      <c r="A1" s="25" t="s">
        <v>57</v>
      </c>
      <c r="B1"/>
      <c r="C1"/>
      <c r="D1"/>
      <c r="E1"/>
      <c r="F1"/>
      <c r="G1"/>
      <c r="H1"/>
      <c r="I1"/>
      <c r="J1"/>
      <c r="K1"/>
      <c r="L1"/>
      <c r="M1"/>
    </row>
    <row r="2" spans="1:13" ht="1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">
      <c r="A3" s="2" t="s">
        <v>38</v>
      </c>
      <c r="B3" s="34" t="s">
        <v>102</v>
      </c>
      <c r="C3"/>
      <c r="D3"/>
      <c r="E3"/>
      <c r="F3"/>
      <c r="G3"/>
      <c r="H3"/>
      <c r="I3"/>
      <c r="J3"/>
      <c r="K3"/>
      <c r="L3"/>
      <c r="M3"/>
    </row>
    <row r="4" spans="1:13" ht="15">
      <c r="A4" s="2" t="s">
        <v>63</v>
      </c>
      <c r="B4" s="34" t="s">
        <v>35</v>
      </c>
      <c r="C4"/>
      <c r="D4"/>
      <c r="E4"/>
      <c r="F4"/>
      <c r="G4"/>
      <c r="H4"/>
      <c r="I4"/>
      <c r="J4"/>
      <c r="K4"/>
      <c r="L4"/>
      <c r="M4"/>
    </row>
    <row r="5" spans="1:13" ht="1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5">
      <c r="A6" s="2"/>
      <c r="B6" s="66" t="s">
        <v>40</v>
      </c>
      <c r="C6" s="66"/>
      <c r="D6" s="66" t="s">
        <v>43</v>
      </c>
      <c r="E6" s="66"/>
      <c r="F6"/>
      <c r="G6"/>
      <c r="H6"/>
      <c r="I6"/>
      <c r="J6"/>
      <c r="K6"/>
      <c r="L6"/>
      <c r="M6"/>
    </row>
    <row r="7" spans="1:13" ht="15">
      <c r="A7" s="2" t="s">
        <v>39</v>
      </c>
      <c r="B7" s="23" t="s">
        <v>41</v>
      </c>
      <c r="C7" s="23" t="s">
        <v>42</v>
      </c>
      <c r="D7" s="23" t="s">
        <v>41</v>
      </c>
      <c r="E7" s="23" t="s">
        <v>42</v>
      </c>
      <c r="F7"/>
      <c r="G7"/>
      <c r="H7"/>
      <c r="I7"/>
      <c r="J7"/>
      <c r="K7"/>
      <c r="L7"/>
      <c r="M7"/>
    </row>
    <row r="8" spans="1:13" ht="15">
      <c r="A8" t="str">
        <f>'App 32 - Mar02 to Feb04 Revenue'!A19</f>
        <v>Residential</v>
      </c>
      <c r="B8" s="8">
        <f>'[2]10. 2004 Rate Schedule '!$F$10</f>
        <v>9.23</v>
      </c>
      <c r="C8" s="24">
        <f>'[2]10. 2004 Rate Schedule '!$F$11</f>
        <v>0.011824116907830619</v>
      </c>
      <c r="D8" s="8">
        <v>0</v>
      </c>
      <c r="E8" s="49">
        <f>'[2]7. 2002 Data &amp; 2004 PILs'!$B$48</f>
        <v>0.0009607344371083938</v>
      </c>
      <c r="F8"/>
      <c r="G8"/>
      <c r="H8"/>
      <c r="I8"/>
      <c r="J8"/>
      <c r="K8"/>
      <c r="L8"/>
      <c r="M8"/>
    </row>
    <row r="9" spans="1:13" ht="15">
      <c r="A9" t="str">
        <f>'App 32 - Mar02 to Feb04 Revenue'!A20</f>
        <v>General Service &lt; 50 kW</v>
      </c>
      <c r="B9" s="8">
        <f>'[2]10. 2004 Rate Schedule '!$F$22</f>
        <v>15.89</v>
      </c>
      <c r="C9" s="24">
        <f>'[2]10. 2004 Rate Schedule '!$F$23</f>
        <v>0.007496557257971267</v>
      </c>
      <c r="D9" s="8">
        <v>0</v>
      </c>
      <c r="E9" s="49">
        <f>'[2]7. 2002 Data &amp; 2004 PILs'!$B$66</f>
        <v>0.0005538324050421232</v>
      </c>
      <c r="F9"/>
      <c r="G9"/>
      <c r="H9"/>
      <c r="I9"/>
      <c r="J9"/>
      <c r="K9"/>
      <c r="L9"/>
      <c r="M9"/>
    </row>
    <row r="10" spans="1:13" ht="15">
      <c r="A10" t="str">
        <f>'App 32 - Mar02 to Feb04 Revenue'!A21</f>
        <v>General Service &gt; 50 kW</v>
      </c>
      <c r="B10" s="8">
        <f>'[2]10. 2004 Rate Schedule '!$F$28</f>
        <v>142.08</v>
      </c>
      <c r="C10" s="24">
        <f>'[2]10. 2004 Rate Schedule '!$F$29</f>
        <v>0.9879949413760585</v>
      </c>
      <c r="D10" s="8">
        <v>0</v>
      </c>
      <c r="E10" s="49">
        <f>'[2]7. 2002 Data &amp; 2004 PILs'!$B$84</f>
        <v>0.058274357195892114</v>
      </c>
      <c r="F10"/>
      <c r="G10"/>
      <c r="H10"/>
      <c r="I10"/>
      <c r="J10"/>
      <c r="K10"/>
      <c r="L10"/>
      <c r="M10"/>
    </row>
    <row r="11" spans="1:13" ht="15">
      <c r="A11" t="str">
        <f>'App 32 - Mar02 to Feb04 Revenue'!A22</f>
        <v>General Service &gt; 50 kW - TOU</v>
      </c>
      <c r="B11" s="8">
        <f>'[2]10. 2004 Rate Schedule '!$F$34</f>
        <v>1595.53</v>
      </c>
      <c r="C11" s="24">
        <f>'[2]10. 2004 Rate Schedule '!$F$35</f>
        <v>1.900136529946905</v>
      </c>
      <c r="D11" s="8">
        <v>0</v>
      </c>
      <c r="E11" s="49">
        <f>'[2]7. 2002 Data &amp; 2004 PILs'!$B$102</f>
        <v>0.11296799736348478</v>
      </c>
      <c r="F11"/>
      <c r="G11"/>
      <c r="H11"/>
      <c r="I11"/>
      <c r="J11"/>
      <c r="K11"/>
      <c r="L11"/>
      <c r="M11"/>
    </row>
    <row r="12" spans="1:13" ht="15">
      <c r="A12" t="str">
        <f>'App 32 - Mar02 to Feb04 Revenue'!A23</f>
        <v>Sentinel Lights</v>
      </c>
      <c r="B12" s="8">
        <f>'[2]10. 2004 Rate Schedule '!$F$63</f>
        <v>0.47</v>
      </c>
      <c r="C12" s="24">
        <f>'[2]10. 2004 Rate Schedule '!$F$64</f>
        <v>2.9960427866592196</v>
      </c>
      <c r="D12" s="8">
        <v>0</v>
      </c>
      <c r="E12" s="49">
        <f>'[2]7. 2002 Data &amp; 2004 PILs'!$B$156</f>
        <v>0.18261277624094396</v>
      </c>
      <c r="F12"/>
      <c r="G12"/>
      <c r="H12"/>
      <c r="I12"/>
      <c r="J12"/>
      <c r="K12"/>
      <c r="L12"/>
      <c r="M12"/>
    </row>
    <row r="13" spans="1:13" ht="15">
      <c r="A13" t="str">
        <f>'App 32 - Mar02 to Feb04 Revenue'!A24</f>
        <v>Street Lights</v>
      </c>
      <c r="B13" s="8">
        <f>'[2]10. 2004 Rate Schedule '!$F$75</f>
        <v>0.27</v>
      </c>
      <c r="C13" s="24">
        <f>'[2]10. 2004 Rate Schedule '!$F$76</f>
        <v>1.5465295499393212</v>
      </c>
      <c r="D13" s="8">
        <v>0</v>
      </c>
      <c r="E13" s="49">
        <f>'[2]7. 2002 Data &amp; 2004 PILs'!$B$174</f>
        <v>0.12651940459029978</v>
      </c>
      <c r="F13"/>
      <c r="G13"/>
      <c r="H13"/>
      <c r="I13"/>
      <c r="J13"/>
      <c r="K13"/>
      <c r="L13"/>
      <c r="M13"/>
    </row>
    <row r="14" spans="1:13" ht="15">
      <c r="A14" t="str">
        <f>'App 32 - Mar02 to Feb04 Revenue'!A25</f>
        <v>Unmetered Scattered Load</v>
      </c>
      <c r="B14" s="8">
        <f>B9</f>
        <v>15.89</v>
      </c>
      <c r="C14" s="24">
        <f>C9</f>
        <v>0.007496557257971267</v>
      </c>
      <c r="D14" s="8">
        <v>0</v>
      </c>
      <c r="E14" s="49">
        <f>E9</f>
        <v>0.0005538324050421232</v>
      </c>
      <c r="F14"/>
      <c r="G14"/>
      <c r="H14"/>
      <c r="I14"/>
      <c r="J14"/>
      <c r="K14"/>
      <c r="L14"/>
      <c r="M14"/>
    </row>
    <row r="15" spans="1:13" ht="1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1">
      <c r="A16" s="25" t="s">
        <v>64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4" s="32" customFormat="1" ht="18.75">
      <c r="A17" s="1"/>
      <c r="B17" s="65">
        <v>2004</v>
      </c>
      <c r="C17" s="65"/>
      <c r="D17" s="65"/>
      <c r="E17" s="65"/>
      <c r="F17" s="65"/>
      <c r="G17" s="65"/>
      <c r="H17" s="65"/>
      <c r="I17" s="65"/>
      <c r="J17" s="65"/>
      <c r="K17" s="65"/>
      <c r="L17" s="67">
        <v>2005</v>
      </c>
      <c r="M17" s="67"/>
      <c r="N17" s="67"/>
    </row>
    <row r="18" spans="1:14" s="32" customFormat="1" ht="15">
      <c r="A18" s="23" t="str">
        <f aca="true" t="shared" si="0" ref="A18:A25">A7</f>
        <v>Rate Class</v>
      </c>
      <c r="B18" s="1" t="s">
        <v>99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32" t="s">
        <v>99</v>
      </c>
    </row>
    <row r="19" spans="1:14" ht="15">
      <c r="A19" t="str">
        <f t="shared" si="0"/>
        <v>Residential</v>
      </c>
      <c r="B19" s="26">
        <f>'App 32 - Mar02 to Feb04 Revenue'!Z30</f>
        <v>2320582</v>
      </c>
      <c r="C19" s="26">
        <v>2458444</v>
      </c>
      <c r="D19" s="26">
        <v>2042971</v>
      </c>
      <c r="E19" s="26">
        <v>1762419</v>
      </c>
      <c r="F19" s="26">
        <v>1626352</v>
      </c>
      <c r="G19" s="26">
        <v>1542239</v>
      </c>
      <c r="H19" s="26">
        <v>1770861</v>
      </c>
      <c r="I19" s="26">
        <v>1675287</v>
      </c>
      <c r="J19" s="26">
        <v>1582680</v>
      </c>
      <c r="K19" s="26">
        <v>1982473</v>
      </c>
      <c r="L19" s="26">
        <v>2700063</v>
      </c>
      <c r="M19" s="26">
        <v>2880139</v>
      </c>
      <c r="N19" s="26">
        <v>2785109</v>
      </c>
    </row>
    <row r="20" spans="1:14" ht="15">
      <c r="A20" t="str">
        <f t="shared" si="0"/>
        <v>General Service &lt; 50 kW</v>
      </c>
      <c r="B20" s="26">
        <f>'App 32 - Mar02 to Feb04 Revenue'!Z31</f>
        <v>1086034</v>
      </c>
      <c r="C20" s="26">
        <v>1200737</v>
      </c>
      <c r="D20" s="26">
        <v>1013869</v>
      </c>
      <c r="E20" s="26">
        <v>990084</v>
      </c>
      <c r="F20" s="26">
        <v>921864</v>
      </c>
      <c r="G20" s="26">
        <v>865877</v>
      </c>
      <c r="H20" s="26">
        <v>1013213</v>
      </c>
      <c r="I20" s="26">
        <v>984343</v>
      </c>
      <c r="J20" s="26">
        <v>895035</v>
      </c>
      <c r="K20" s="26">
        <v>1039486</v>
      </c>
      <c r="L20" s="26">
        <v>1321255</v>
      </c>
      <c r="M20" s="26">
        <v>1261257</v>
      </c>
      <c r="N20" s="26">
        <v>1189650</v>
      </c>
    </row>
    <row r="21" spans="1:14" ht="15">
      <c r="A21" t="str">
        <f t="shared" si="0"/>
        <v>General Service &gt; 50 kW</v>
      </c>
      <c r="B21" s="26">
        <f>'App 32 - Mar02 to Feb04 Revenue'!Z32</f>
        <v>3927.3</v>
      </c>
      <c r="C21" s="26">
        <v>3715.7</v>
      </c>
      <c r="D21" s="26">
        <v>3747.1</v>
      </c>
      <c r="E21" s="26">
        <v>3431.1</v>
      </c>
      <c r="F21" s="26">
        <v>3406.8</v>
      </c>
      <c r="G21" s="26">
        <v>3211.7</v>
      </c>
      <c r="H21" s="26">
        <v>3327.6</v>
      </c>
      <c r="I21" s="26">
        <v>3377.6</v>
      </c>
      <c r="J21" s="26">
        <v>3371.8</v>
      </c>
      <c r="K21" s="26">
        <v>3433.9</v>
      </c>
      <c r="L21" s="26">
        <v>3523.2</v>
      </c>
      <c r="M21" s="26">
        <v>3831</v>
      </c>
      <c r="N21" s="26">
        <v>3845.6</v>
      </c>
    </row>
    <row r="22" spans="1:14" ht="15">
      <c r="A22" t="str">
        <f t="shared" si="0"/>
        <v>General Service &gt; 50 kW - TOU</v>
      </c>
      <c r="B22" s="26">
        <f>'App 32 - Mar02 to Feb04 Revenue'!Z33</f>
        <v>7385.9</v>
      </c>
      <c r="C22" s="26">
        <v>6911.3</v>
      </c>
      <c r="D22" s="26">
        <v>6986.6</v>
      </c>
      <c r="E22" s="26">
        <v>7096.5</v>
      </c>
      <c r="F22" s="26">
        <v>7185.8</v>
      </c>
      <c r="G22" s="26">
        <v>6910.7</v>
      </c>
      <c r="H22" s="26">
        <v>6585.9</v>
      </c>
      <c r="I22" s="26">
        <v>6505.1</v>
      </c>
      <c r="J22" s="26">
        <v>6188.5</v>
      </c>
      <c r="K22" s="26">
        <v>6238.1</v>
      </c>
      <c r="L22" s="26">
        <v>7251.8</v>
      </c>
      <c r="M22" s="26">
        <v>6663.8</v>
      </c>
      <c r="N22" s="26">
        <v>6776.9</v>
      </c>
    </row>
    <row r="23" spans="1:14" ht="15">
      <c r="A23" t="str">
        <f t="shared" si="0"/>
        <v>Sentinel Lights</v>
      </c>
      <c r="B23" s="26">
        <f>'App 32 - Mar02 to Feb04 Revenue'!Z34</f>
        <v>9.005555555555556</v>
      </c>
      <c r="C23" s="26">
        <v>9.005555555555556</v>
      </c>
      <c r="D23" s="26">
        <v>9.005555555555556</v>
      </c>
      <c r="E23" s="26">
        <v>9.005555555555556</v>
      </c>
      <c r="F23" s="26">
        <v>9.005555555555556</v>
      </c>
      <c r="G23" s="26">
        <v>9.005555555555556</v>
      </c>
      <c r="H23" s="26">
        <v>9.005555555555556</v>
      </c>
      <c r="I23" s="26">
        <v>9.005555555555556</v>
      </c>
      <c r="J23" s="26">
        <v>9.005555555555556</v>
      </c>
      <c r="K23" s="26">
        <v>9.005555555555556</v>
      </c>
      <c r="L23" s="26">
        <v>10.319444444444445</v>
      </c>
      <c r="M23" s="26">
        <v>9.005555555555556</v>
      </c>
      <c r="N23" s="26">
        <v>9.005555555555556</v>
      </c>
    </row>
    <row r="24" spans="1:14" ht="15">
      <c r="A24" t="str">
        <f t="shared" si="0"/>
        <v>Street Lights</v>
      </c>
      <c r="B24" s="26">
        <f>'App 32 - Mar02 to Feb04 Revenue'!Z35</f>
        <v>166.5</v>
      </c>
      <c r="C24" s="26">
        <v>164.8</v>
      </c>
      <c r="D24" s="26">
        <v>166.5</v>
      </c>
      <c r="E24" s="26">
        <v>166.5</v>
      </c>
      <c r="F24" s="26">
        <v>166.5</v>
      </c>
      <c r="G24" s="26">
        <v>166.5</v>
      </c>
      <c r="H24" s="26">
        <v>166.5</v>
      </c>
      <c r="I24" s="26">
        <v>166.5</v>
      </c>
      <c r="J24" s="26">
        <v>166.5</v>
      </c>
      <c r="K24" s="26">
        <v>166.5</v>
      </c>
      <c r="L24" s="26">
        <v>166.5</v>
      </c>
      <c r="M24" s="26">
        <v>166.5</v>
      </c>
      <c r="N24" s="26">
        <v>166.5</v>
      </c>
    </row>
    <row r="25" spans="1:14" ht="15">
      <c r="A25" t="str">
        <f t="shared" si="0"/>
        <v>Unmetered Scattered Load</v>
      </c>
      <c r="B25" s="26">
        <f>'App 32 - Mar02 to Feb04 Revenue'!Z36</f>
        <v>8492</v>
      </c>
      <c r="C25" s="26">
        <v>8492</v>
      </c>
      <c r="D25" s="26">
        <v>8492</v>
      </c>
      <c r="E25" s="26">
        <v>8492</v>
      </c>
      <c r="F25" s="26">
        <v>8492</v>
      </c>
      <c r="G25" s="26">
        <v>8492</v>
      </c>
      <c r="H25" s="26">
        <v>8492</v>
      </c>
      <c r="I25" s="26">
        <v>8492</v>
      </c>
      <c r="J25" s="26">
        <v>8492</v>
      </c>
      <c r="K25" s="26">
        <v>8492</v>
      </c>
      <c r="L25" s="26">
        <v>8492</v>
      </c>
      <c r="M25" s="26">
        <v>8492</v>
      </c>
      <c r="N25" s="26">
        <v>8492</v>
      </c>
    </row>
    <row r="26" spans="1:14" ht="15">
      <c r="A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21">
      <c r="A27" s="25" t="s">
        <v>56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3" ht="1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4" ht="18.75">
      <c r="A29"/>
      <c r="B29" s="65">
        <v>2004</v>
      </c>
      <c r="C29" s="65"/>
      <c r="D29" s="65"/>
      <c r="E29" s="65"/>
      <c r="F29" s="65"/>
      <c r="G29" s="65"/>
      <c r="H29" s="65"/>
      <c r="I29" s="65"/>
      <c r="J29" s="65"/>
      <c r="K29" s="65"/>
      <c r="L29" s="67">
        <v>2005</v>
      </c>
      <c r="M29" s="67"/>
      <c r="N29" s="67"/>
    </row>
    <row r="30" spans="1:14" s="32" customFormat="1" ht="15">
      <c r="A30" s="23" t="str">
        <f aca="true" t="shared" si="1" ref="A30:A37">A18</f>
        <v>Rate Class</v>
      </c>
      <c r="B30" s="1" t="s">
        <v>99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47</v>
      </c>
      <c r="H30" s="1" t="s">
        <v>48</v>
      </c>
      <c r="I30" s="1" t="s">
        <v>49</v>
      </c>
      <c r="J30" s="1" t="s">
        <v>50</v>
      </c>
      <c r="K30" s="1" t="s">
        <v>51</v>
      </c>
      <c r="L30" s="1" t="s">
        <v>52</v>
      </c>
      <c r="M30" s="1" t="s">
        <v>53</v>
      </c>
      <c r="N30" s="32" t="s">
        <v>99</v>
      </c>
    </row>
    <row r="31" spans="1:14" ht="15">
      <c r="A31" s="45" t="str">
        <f t="shared" si="1"/>
        <v>Residential</v>
      </c>
      <c r="B31" s="26">
        <f aca="true" t="shared" si="2" ref="B31:B37">(B19*$E8)*0.5</f>
        <v>1114.7315207669353</v>
      </c>
      <c r="C31" s="26">
        <f aca="true" t="shared" si="3" ref="C31:M31">(C19*$E8)</f>
        <v>2361.9118125025084</v>
      </c>
      <c r="D31" s="26">
        <f t="shared" si="3"/>
        <v>1962.7525937137725</v>
      </c>
      <c r="E31" s="26">
        <f t="shared" si="3"/>
        <v>1693.2166259141384</v>
      </c>
      <c r="F31" s="26">
        <f t="shared" si="3"/>
        <v>1562.4923732601105</v>
      </c>
      <c r="G31" s="26">
        <f t="shared" si="3"/>
        <v>1481.6821175516122</v>
      </c>
      <c r="H31" s="26">
        <f t="shared" si="3"/>
        <v>1701.3271460322073</v>
      </c>
      <c r="I31" s="26">
        <f t="shared" si="3"/>
        <v>1609.5059129400097</v>
      </c>
      <c r="J31" s="26">
        <f t="shared" si="3"/>
        <v>1520.5351789227127</v>
      </c>
      <c r="K31" s="26">
        <f t="shared" si="3"/>
        <v>1904.6300817375889</v>
      </c>
      <c r="L31" s="26">
        <f t="shared" si="3"/>
        <v>2594.043506462201</v>
      </c>
      <c r="M31" s="26">
        <f t="shared" si="3"/>
        <v>2767.0487209589323</v>
      </c>
      <c r="N31" s="26">
        <f aca="true" t="shared" si="4" ref="N31:N37">(N19*$E8)*0.5</f>
        <v>1337.8750637002609</v>
      </c>
    </row>
    <row r="32" spans="1:14" ht="15">
      <c r="A32" s="45" t="str">
        <f t="shared" si="1"/>
        <v>General Service &lt; 50 kW</v>
      </c>
      <c r="B32" s="26">
        <f t="shared" si="2"/>
        <v>300.7404110887586</v>
      </c>
      <c r="C32" s="26">
        <f aca="true" t="shared" si="5" ref="C32:M32">(C20*$E9)</f>
        <v>665.0070605330639</v>
      </c>
      <c r="D32" s="26">
        <f t="shared" si="5"/>
        <v>561.5135066676525</v>
      </c>
      <c r="E32" s="26">
        <f t="shared" si="5"/>
        <v>548.3406029137255</v>
      </c>
      <c r="F32" s="26">
        <f t="shared" si="5"/>
        <v>510.5581562417519</v>
      </c>
      <c r="G32" s="26">
        <f t="shared" si="5"/>
        <v>479.5507413806585</v>
      </c>
      <c r="H32" s="26">
        <f t="shared" si="5"/>
        <v>561.1501926099447</v>
      </c>
      <c r="I32" s="26">
        <f t="shared" si="5"/>
        <v>545.1610510763787</v>
      </c>
      <c r="J32" s="26">
        <f t="shared" si="5"/>
        <v>495.69938664687675</v>
      </c>
      <c r="K32" s="26">
        <f t="shared" si="5"/>
        <v>575.7010313876165</v>
      </c>
      <c r="L32" s="26">
        <f t="shared" si="5"/>
        <v>731.7538343239305</v>
      </c>
      <c r="M32" s="26">
        <f t="shared" si="5"/>
        <v>698.5249976862132</v>
      </c>
      <c r="N32" s="26">
        <f t="shared" si="4"/>
        <v>329.4333603291809</v>
      </c>
    </row>
    <row r="33" spans="1:14" ht="15">
      <c r="A33" s="45" t="str">
        <f t="shared" si="1"/>
        <v>General Service &gt; 50 kW</v>
      </c>
      <c r="B33" s="26">
        <f t="shared" si="2"/>
        <v>114.43044150771355</v>
      </c>
      <c r="C33" s="26">
        <f aca="true" t="shared" si="6" ref="C33:M33">(C21*$E10)</f>
        <v>216.53002903277633</v>
      </c>
      <c r="D33" s="26">
        <f t="shared" si="6"/>
        <v>218.35984384872734</v>
      </c>
      <c r="E33" s="26">
        <f t="shared" si="6"/>
        <v>199.94514697482543</v>
      </c>
      <c r="F33" s="26">
        <f t="shared" si="6"/>
        <v>198.52908009496525</v>
      </c>
      <c r="G33" s="26">
        <f t="shared" si="6"/>
        <v>187.15975300604669</v>
      </c>
      <c r="H33" s="26">
        <f t="shared" si="6"/>
        <v>193.91375100505059</v>
      </c>
      <c r="I33" s="26">
        <f t="shared" si="6"/>
        <v>196.8274688648452</v>
      </c>
      <c r="J33" s="26">
        <f t="shared" si="6"/>
        <v>196.48947759310903</v>
      </c>
      <c r="K33" s="26">
        <f t="shared" si="6"/>
        <v>200.10831517497394</v>
      </c>
      <c r="L33" s="26">
        <f t="shared" si="6"/>
        <v>205.31221527256707</v>
      </c>
      <c r="M33" s="26">
        <f t="shared" si="6"/>
        <v>223.24906241746268</v>
      </c>
      <c r="N33" s="26">
        <f t="shared" si="4"/>
        <v>112.04993401626136</v>
      </c>
    </row>
    <row r="34" spans="1:14" ht="15">
      <c r="A34" s="45" t="str">
        <f t="shared" si="1"/>
        <v>General Service &gt; 50 kW - TOU</v>
      </c>
      <c r="B34" s="26">
        <f t="shared" si="2"/>
        <v>417.18516586348113</v>
      </c>
      <c r="C34" s="26">
        <f aca="true" t="shared" si="7" ref="C34:M34">(C22*$E11)</f>
        <v>780.7557201782524</v>
      </c>
      <c r="D34" s="26">
        <f t="shared" si="7"/>
        <v>789.2622103797229</v>
      </c>
      <c r="E34" s="26">
        <f t="shared" si="7"/>
        <v>801.6773932899698</v>
      </c>
      <c r="F34" s="26">
        <f t="shared" si="7"/>
        <v>811.765435454529</v>
      </c>
      <c r="G34" s="26">
        <f t="shared" si="7"/>
        <v>780.6879393798342</v>
      </c>
      <c r="H34" s="26">
        <f t="shared" si="7"/>
        <v>743.9959338361743</v>
      </c>
      <c r="I34" s="26">
        <f t="shared" si="7"/>
        <v>734.8681196492049</v>
      </c>
      <c r="J34" s="26">
        <f t="shared" si="7"/>
        <v>699.1024516839256</v>
      </c>
      <c r="K34" s="26">
        <f t="shared" si="7"/>
        <v>704.7056643531545</v>
      </c>
      <c r="L34" s="26">
        <f t="shared" si="7"/>
        <v>819.221323280519</v>
      </c>
      <c r="M34" s="26">
        <f t="shared" si="7"/>
        <v>752.7961408307899</v>
      </c>
      <c r="N34" s="26">
        <f t="shared" si="4"/>
        <v>382.7864106663</v>
      </c>
    </row>
    <row r="35" spans="1:14" ht="15">
      <c r="A35" s="45" t="str">
        <f t="shared" si="1"/>
        <v>Sentinel Lights</v>
      </c>
      <c r="B35" s="26">
        <f t="shared" si="2"/>
        <v>0.8222647507960283</v>
      </c>
      <c r="C35" s="26">
        <f aca="true" t="shared" si="8" ref="C35:M35">(C23*$E12)</f>
        <v>1.6445295015920567</v>
      </c>
      <c r="D35" s="26">
        <f t="shared" si="8"/>
        <v>1.6445295015920567</v>
      </c>
      <c r="E35" s="26">
        <f t="shared" si="8"/>
        <v>1.6445295015920567</v>
      </c>
      <c r="F35" s="26">
        <f t="shared" si="8"/>
        <v>1.6445295015920567</v>
      </c>
      <c r="G35" s="26">
        <f t="shared" si="8"/>
        <v>1.6445295015920567</v>
      </c>
      <c r="H35" s="26">
        <f t="shared" si="8"/>
        <v>1.6445295015920567</v>
      </c>
      <c r="I35" s="26">
        <f t="shared" si="8"/>
        <v>1.6445295015920567</v>
      </c>
      <c r="J35" s="26">
        <f t="shared" si="8"/>
        <v>1.6445295015920567</v>
      </c>
      <c r="K35" s="26">
        <f t="shared" si="8"/>
        <v>1.6445295015920567</v>
      </c>
      <c r="L35" s="26">
        <f t="shared" si="8"/>
        <v>1.8844623992641856</v>
      </c>
      <c r="M35" s="26">
        <f t="shared" si="8"/>
        <v>1.6445295015920567</v>
      </c>
      <c r="N35" s="26">
        <f t="shared" si="4"/>
        <v>0.8222647507960283</v>
      </c>
    </row>
    <row r="36" spans="1:14" ht="15">
      <c r="A36" s="45" t="str">
        <f t="shared" si="1"/>
        <v>Street Lights</v>
      </c>
      <c r="B36" s="57">
        <f t="shared" si="2"/>
        <v>10.532740432142457</v>
      </c>
      <c r="C36" s="57">
        <f aca="true" t="shared" si="9" ref="C36:M36">(C24*$E13)</f>
        <v>20.850397876481406</v>
      </c>
      <c r="D36" s="57">
        <f t="shared" si="9"/>
        <v>21.065480864284915</v>
      </c>
      <c r="E36" s="57">
        <f t="shared" si="9"/>
        <v>21.065480864284915</v>
      </c>
      <c r="F36" s="57">
        <f t="shared" si="9"/>
        <v>21.065480864284915</v>
      </c>
      <c r="G36" s="57">
        <f t="shared" si="9"/>
        <v>21.065480864284915</v>
      </c>
      <c r="H36" s="57">
        <f t="shared" si="9"/>
        <v>21.065480864284915</v>
      </c>
      <c r="I36" s="57">
        <f t="shared" si="9"/>
        <v>21.065480864284915</v>
      </c>
      <c r="J36" s="57">
        <f t="shared" si="9"/>
        <v>21.065480864284915</v>
      </c>
      <c r="K36" s="57">
        <f t="shared" si="9"/>
        <v>21.065480864284915</v>
      </c>
      <c r="L36" s="57">
        <f t="shared" si="9"/>
        <v>21.065480864284915</v>
      </c>
      <c r="M36" s="57">
        <f t="shared" si="9"/>
        <v>21.065480864284915</v>
      </c>
      <c r="N36" s="57">
        <f t="shared" si="4"/>
        <v>10.532740432142457</v>
      </c>
    </row>
    <row r="37" spans="1:14" ht="15">
      <c r="A37" s="28" t="str">
        <f t="shared" si="1"/>
        <v>Unmetered Scattered Load</v>
      </c>
      <c r="B37" s="29">
        <f t="shared" si="2"/>
        <v>2.351572391808855</v>
      </c>
      <c r="C37" s="29">
        <f aca="true" t="shared" si="10" ref="C37:M37">(C25*$E14)</f>
        <v>4.70314478361771</v>
      </c>
      <c r="D37" s="29">
        <f t="shared" si="10"/>
        <v>4.70314478361771</v>
      </c>
      <c r="E37" s="29">
        <f t="shared" si="10"/>
        <v>4.70314478361771</v>
      </c>
      <c r="F37" s="29">
        <f t="shared" si="10"/>
        <v>4.70314478361771</v>
      </c>
      <c r="G37" s="29">
        <f t="shared" si="10"/>
        <v>4.70314478361771</v>
      </c>
      <c r="H37" s="29">
        <f t="shared" si="10"/>
        <v>4.70314478361771</v>
      </c>
      <c r="I37" s="29">
        <f t="shared" si="10"/>
        <v>4.70314478361771</v>
      </c>
      <c r="J37" s="29">
        <f t="shared" si="10"/>
        <v>4.70314478361771</v>
      </c>
      <c r="K37" s="29">
        <f t="shared" si="10"/>
        <v>4.70314478361771</v>
      </c>
      <c r="L37" s="29">
        <f t="shared" si="10"/>
        <v>4.70314478361771</v>
      </c>
      <c r="M37" s="29">
        <f t="shared" si="10"/>
        <v>4.70314478361771</v>
      </c>
      <c r="N37" s="29">
        <f t="shared" si="4"/>
        <v>2.351572391808855</v>
      </c>
    </row>
    <row r="38" spans="1:15" ht="15">
      <c r="A38" t="s">
        <v>13</v>
      </c>
      <c r="B38" s="26">
        <f aca="true" t="shared" si="11" ref="B38:N38">SUM(B31:B36)</f>
        <v>1958.4425444098272</v>
      </c>
      <c r="C38" s="26">
        <f t="shared" si="11"/>
        <v>4046.6995496246745</v>
      </c>
      <c r="D38" s="26">
        <f t="shared" si="11"/>
        <v>3554.5981649757523</v>
      </c>
      <c r="E38" s="26">
        <f t="shared" si="11"/>
        <v>3265.8897794585364</v>
      </c>
      <c r="F38" s="26">
        <f t="shared" si="11"/>
        <v>3106.0550554172332</v>
      </c>
      <c r="G38" s="26">
        <f t="shared" si="11"/>
        <v>2951.790561684029</v>
      </c>
      <c r="H38" s="26">
        <f t="shared" si="11"/>
        <v>3223.0970338492534</v>
      </c>
      <c r="I38" s="26">
        <f t="shared" si="11"/>
        <v>3109.072562896315</v>
      </c>
      <c r="J38" s="26">
        <f t="shared" si="11"/>
        <v>2934.5365052125007</v>
      </c>
      <c r="K38" s="26">
        <f t="shared" si="11"/>
        <v>3407.8551030192107</v>
      </c>
      <c r="L38" s="26">
        <f t="shared" si="11"/>
        <v>4373.280822602767</v>
      </c>
      <c r="M38" s="26">
        <f t="shared" si="11"/>
        <v>4464.328932259275</v>
      </c>
      <c r="N38" s="26">
        <f t="shared" si="11"/>
        <v>2173.4997738949414</v>
      </c>
      <c r="O38" s="35"/>
    </row>
    <row r="39" spans="2:11" ht="12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2:11" ht="12.75"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2:11" ht="12.75"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</sheetData>
  <sheetProtection/>
  <mergeCells count="6">
    <mergeCell ref="B6:C6"/>
    <mergeCell ref="D6:E6"/>
    <mergeCell ref="L17:N17"/>
    <mergeCell ref="L29:N29"/>
    <mergeCell ref="B17:K17"/>
    <mergeCell ref="B29:K29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zoomScalePageLayoutView="0" workbookViewId="0" topLeftCell="A1">
      <selection activeCell="B17" sqref="B17:K17"/>
    </sheetView>
  </sheetViews>
  <sheetFormatPr defaultColWidth="9.140625" defaultRowHeight="15"/>
  <cols>
    <col min="1" max="1" width="32.7109375" style="0" bestFit="1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1.14062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5" t="s">
        <v>37</v>
      </c>
    </row>
    <row r="3" spans="1:2" ht="15">
      <c r="A3" s="2" t="s">
        <v>38</v>
      </c>
      <c r="B3" s="34" t="s">
        <v>34</v>
      </c>
    </row>
    <row r="4" spans="1:2" ht="15">
      <c r="A4" s="2" t="s">
        <v>63</v>
      </c>
      <c r="B4" s="34" t="s">
        <v>36</v>
      </c>
    </row>
    <row r="6" spans="1:5" ht="15">
      <c r="A6" s="2"/>
      <c r="B6" s="66" t="s">
        <v>40</v>
      </c>
      <c r="C6" s="66"/>
      <c r="D6" s="66" t="s">
        <v>43</v>
      </c>
      <c r="E6" s="66"/>
    </row>
    <row r="7" spans="1:5" ht="15">
      <c r="A7" s="2" t="s">
        <v>39</v>
      </c>
      <c r="B7" s="3" t="s">
        <v>41</v>
      </c>
      <c r="C7" s="3" t="s">
        <v>42</v>
      </c>
      <c r="D7" s="3" t="s">
        <v>41</v>
      </c>
      <c r="E7" s="3" t="s">
        <v>42</v>
      </c>
    </row>
    <row r="8" spans="1:5" ht="15">
      <c r="A8" t="str">
        <f>'App 33 - Mar04 to Feb05 Revenue'!A8</f>
        <v>Residential</v>
      </c>
      <c r="B8" s="8">
        <f>'[3]11. 2005 Final Rate Schedule '!$F$13</f>
        <v>9.180130018979511</v>
      </c>
      <c r="C8" s="24">
        <f>'[3]11. 2005 Final Rate Schedule '!$F$14</f>
        <v>0.014402879464452668</v>
      </c>
      <c r="D8" s="8">
        <v>0</v>
      </c>
      <c r="E8" s="24">
        <f>'[3]4. 2003 Data &amp; 2005 PILs'!$B$50</f>
        <v>0.0012266442693149374</v>
      </c>
    </row>
    <row r="9" spans="1:5" ht="15">
      <c r="A9" t="str">
        <f>'App 33 - Mar04 to Feb05 Revenue'!A9</f>
        <v>General Service &lt; 50 kW</v>
      </c>
      <c r="B9" s="51">
        <f>'[3]11. 2005 Final Rate Schedule '!$F$25</f>
        <v>15.913465461646036</v>
      </c>
      <c r="C9" s="24">
        <f>'[3]11. 2005 Final Rate Schedule '!$F$26</f>
        <v>0.007981225989742454</v>
      </c>
      <c r="D9" s="8">
        <v>0</v>
      </c>
      <c r="E9" s="24">
        <f>'[3]4. 2003 Data &amp; 2005 PILs'!$B$67</f>
        <v>0.0007059394543197659</v>
      </c>
    </row>
    <row r="10" spans="1:5" ht="15">
      <c r="A10" t="str">
        <f>'App 33 - Mar04 to Feb05 Revenue'!A10</f>
        <v>General Service &gt; 50 kW</v>
      </c>
      <c r="B10" s="8">
        <f>'[3]11. 2005 Final Rate Schedule '!$F$31</f>
        <v>143.65513768246583</v>
      </c>
      <c r="C10" s="24">
        <f>'[3]11. 2005 Final Rate Schedule '!$F$32</f>
        <v>0.8424755766625477</v>
      </c>
      <c r="D10" s="8">
        <v>0</v>
      </c>
      <c r="E10" s="24">
        <f>'[3]4. 2003 Data &amp; 2005 PILs'!$B$84</f>
        <v>0.11096324697920422</v>
      </c>
    </row>
    <row r="11" spans="1:5" ht="15">
      <c r="A11" t="str">
        <f>'App 33 - Mar04 to Feb05 Revenue'!A11</f>
        <v>General Service &gt; 50 kW - TOU</v>
      </c>
      <c r="B11" s="8">
        <f>'[3]11. 2005 Final Rate Schedule '!$F$37</f>
        <v>1572.5906814576265</v>
      </c>
      <c r="C11" s="24">
        <f>'[3]11. 2005 Final Rate Schedule '!$F$38</f>
        <v>1.5997881007080048</v>
      </c>
      <c r="D11" s="8">
        <v>0</v>
      </c>
      <c r="E11" s="24">
        <f>'[3]4. 2003 Data &amp; 2005 PILs'!$B$101</f>
        <v>0.15619757527552108</v>
      </c>
    </row>
    <row r="12" spans="1:5" ht="15">
      <c r="A12" t="str">
        <f>'App 33 - Mar04 to Feb05 Revenue'!A12</f>
        <v>Sentinel Lights</v>
      </c>
      <c r="B12" s="8">
        <f>'[3]11. 2005 Final Rate Schedule '!$F$56</f>
        <v>0.5287242671841296</v>
      </c>
      <c r="C12" s="24">
        <f>'[3]11. 2005 Final Rate Schedule '!$F$57</f>
        <v>4.073897275097544</v>
      </c>
      <c r="D12" s="8">
        <v>0</v>
      </c>
      <c r="E12" s="61">
        <f>'[3]4. 2003 Data &amp; 2005 PILs'!$B$152</f>
        <v>0.7114515542283337</v>
      </c>
    </row>
    <row r="13" spans="1:5" ht="15">
      <c r="A13" t="str">
        <f>'App 33 - Mar04 to Feb05 Revenue'!A13</f>
        <v>Street Lights</v>
      </c>
      <c r="B13" s="8">
        <f>'[3]11. 2005 Final Rate Schedule '!$F$68</f>
        <v>0.2370611325329795</v>
      </c>
      <c r="C13" s="24">
        <f>'[3]11. 2005 Final Rate Schedule '!$F$69</f>
        <v>1.6553672826384858</v>
      </c>
      <c r="D13" s="8">
        <v>0</v>
      </c>
      <c r="E13" s="24">
        <f>'[3]4. 2003 Data &amp; 2005 PILs'!$B$169</f>
        <v>0.1625556016862401</v>
      </c>
    </row>
    <row r="14" spans="1:5" ht="15">
      <c r="A14" t="str">
        <f>'App 33 - Mar04 to Feb05 Revenue'!A14</f>
        <v>Unmetered Scattered Load</v>
      </c>
      <c r="B14" s="8">
        <f>B9</f>
        <v>15.913465461646036</v>
      </c>
      <c r="C14" s="24">
        <f>C9</f>
        <v>0.007981225989742454</v>
      </c>
      <c r="D14" s="8">
        <v>0</v>
      </c>
      <c r="E14" s="24">
        <f>E9</f>
        <v>0.0007059394543197659</v>
      </c>
    </row>
    <row r="15" ht="15">
      <c r="D15" s="8"/>
    </row>
    <row r="16" ht="21">
      <c r="A16" s="25" t="s">
        <v>64</v>
      </c>
    </row>
    <row r="17" spans="2:16" ht="18.75">
      <c r="B17" s="65">
        <v>2005</v>
      </c>
      <c r="C17" s="65"/>
      <c r="D17" s="65"/>
      <c r="E17" s="65"/>
      <c r="F17" s="65"/>
      <c r="G17" s="65"/>
      <c r="H17" s="65"/>
      <c r="I17" s="65"/>
      <c r="J17" s="65"/>
      <c r="K17" s="65"/>
      <c r="L17" s="67">
        <v>2006</v>
      </c>
      <c r="M17" s="67"/>
      <c r="N17" s="67"/>
      <c r="O17" s="67"/>
      <c r="P17" s="67"/>
    </row>
    <row r="18" spans="1:20" ht="15">
      <c r="A18" s="2" t="str">
        <f aca="true" t="shared" si="0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1" t="s">
        <v>54</v>
      </c>
      <c r="O18" s="1" t="s">
        <v>55</v>
      </c>
      <c r="P18" s="1" t="s">
        <v>17</v>
      </c>
      <c r="S18" s="26"/>
      <c r="T18" s="26"/>
    </row>
    <row r="19" spans="1:20" ht="15">
      <c r="A19" t="str">
        <f t="shared" si="0"/>
        <v>Residential</v>
      </c>
      <c r="B19" s="26">
        <f>'App 33 - Mar04 to Feb05 Revenue'!N19</f>
        <v>2785109</v>
      </c>
      <c r="C19" s="26">
        <v>2422415</v>
      </c>
      <c r="D19" s="26">
        <v>1768713</v>
      </c>
      <c r="E19" s="26">
        <v>1803662</v>
      </c>
      <c r="F19" s="26">
        <v>1868485</v>
      </c>
      <c r="G19" s="26">
        <v>1762195</v>
      </c>
      <c r="H19" s="26">
        <v>1933675</v>
      </c>
      <c r="I19" s="26">
        <v>1676123</v>
      </c>
      <c r="J19" s="26">
        <v>2134598</v>
      </c>
      <c r="K19" s="26">
        <v>1482004</v>
      </c>
      <c r="L19" s="26">
        <v>2810298</v>
      </c>
      <c r="M19" s="26">
        <v>2660853</v>
      </c>
      <c r="N19" s="26">
        <v>2968173</v>
      </c>
      <c r="O19" s="26">
        <v>1902137</v>
      </c>
      <c r="P19" s="26">
        <v>1973448</v>
      </c>
      <c r="S19" s="26"/>
      <c r="T19" s="33"/>
    </row>
    <row r="20" spans="1:20" ht="15">
      <c r="A20" t="str">
        <f t="shared" si="0"/>
        <v>General Service &lt; 50 kW</v>
      </c>
      <c r="B20" s="26">
        <f>'App 33 - Mar04 to Feb05 Revenue'!N20</f>
        <v>1189650</v>
      </c>
      <c r="C20" s="26">
        <v>1072944</v>
      </c>
      <c r="D20" s="26">
        <v>847062</v>
      </c>
      <c r="E20" s="26">
        <v>928358</v>
      </c>
      <c r="F20" s="26">
        <v>951964</v>
      </c>
      <c r="G20" s="26">
        <v>890866</v>
      </c>
      <c r="H20" s="26">
        <v>993942</v>
      </c>
      <c r="I20" s="26">
        <v>879806</v>
      </c>
      <c r="J20" s="26">
        <v>1048790</v>
      </c>
      <c r="K20" s="26">
        <v>650781</v>
      </c>
      <c r="L20" s="26">
        <v>1180683</v>
      </c>
      <c r="M20" s="26">
        <v>1132286</v>
      </c>
      <c r="N20" s="26">
        <v>1376859</v>
      </c>
      <c r="O20" s="26">
        <v>778083</v>
      </c>
      <c r="P20" s="26">
        <v>971798</v>
      </c>
      <c r="S20" s="26"/>
      <c r="T20" s="33"/>
    </row>
    <row r="21" spans="1:20" ht="15">
      <c r="A21" t="str">
        <f t="shared" si="0"/>
        <v>General Service &gt; 50 kW</v>
      </c>
      <c r="B21" s="26">
        <f>'App 33 - Mar04 to Feb05 Revenue'!N21</f>
        <v>3845.6</v>
      </c>
      <c r="C21" s="26">
        <v>4440.6</v>
      </c>
      <c r="D21" s="26">
        <v>3722.4</v>
      </c>
      <c r="E21" s="26">
        <v>4048.8</v>
      </c>
      <c r="F21" s="26">
        <v>3756.9</v>
      </c>
      <c r="G21" s="26">
        <v>3535.2</v>
      </c>
      <c r="H21" s="26">
        <v>3580</v>
      </c>
      <c r="I21" s="26">
        <v>3565.8</v>
      </c>
      <c r="J21" s="26">
        <v>5014</v>
      </c>
      <c r="K21" s="26">
        <v>2682.8</v>
      </c>
      <c r="L21" s="26">
        <v>4020.5999999999995</v>
      </c>
      <c r="M21" s="26">
        <v>4061.5</v>
      </c>
      <c r="N21" s="26">
        <v>5136.2</v>
      </c>
      <c r="O21" s="26">
        <v>2907.1000000000004</v>
      </c>
      <c r="P21" s="26">
        <v>3939.8999999999996</v>
      </c>
      <c r="S21" s="26"/>
      <c r="T21" s="33"/>
    </row>
    <row r="22" spans="1:20" ht="15">
      <c r="A22" t="str">
        <f t="shared" si="0"/>
        <v>General Service &gt; 50 kW - TOU</v>
      </c>
      <c r="B22" s="26">
        <f>'App 33 - Mar04 to Feb05 Revenue'!N22</f>
        <v>6776.9</v>
      </c>
      <c r="C22" s="26">
        <v>6231.5</v>
      </c>
      <c r="D22" s="26">
        <v>7143</v>
      </c>
      <c r="E22" s="26">
        <v>6808</v>
      </c>
      <c r="F22" s="26">
        <v>8302.1</v>
      </c>
      <c r="G22" s="26">
        <v>7585.7</v>
      </c>
      <c r="H22" s="26">
        <v>7810.099999999999</v>
      </c>
      <c r="I22" s="26">
        <v>7376.9</v>
      </c>
      <c r="J22" s="26">
        <v>7131.1</v>
      </c>
      <c r="K22" s="26">
        <v>7166.3</v>
      </c>
      <c r="L22" s="26">
        <v>6988.3</v>
      </c>
      <c r="M22" s="26">
        <v>7145.1</v>
      </c>
      <c r="N22" s="26">
        <v>7318.700000000001</v>
      </c>
      <c r="O22" s="26">
        <v>7409.7</v>
      </c>
      <c r="P22" s="26">
        <v>7460.400000000001</v>
      </c>
      <c r="S22" s="26"/>
      <c r="T22" s="33"/>
    </row>
    <row r="23" spans="1:20" ht="15">
      <c r="A23" t="str">
        <f t="shared" si="0"/>
        <v>Sentinel Lights</v>
      </c>
      <c r="B23" s="26">
        <f>'App 33 - Mar04 to Feb05 Revenue'!N23</f>
        <v>9.005555555555556</v>
      </c>
      <c r="C23" s="26">
        <v>8.066666666666666</v>
      </c>
      <c r="D23" s="26">
        <v>9.947222222222223</v>
      </c>
      <c r="E23" s="26">
        <v>8.677777777777777</v>
      </c>
      <c r="F23" s="26">
        <v>9.33611111111111</v>
      </c>
      <c r="G23" s="26">
        <v>9.005555555555556</v>
      </c>
      <c r="H23" s="26">
        <v>9.005555555555556</v>
      </c>
      <c r="I23" s="26">
        <v>9.005555555555556</v>
      </c>
      <c r="J23" s="26">
        <v>10.675</v>
      </c>
      <c r="K23" s="26">
        <v>7.336111111111111</v>
      </c>
      <c r="L23" s="26">
        <v>9.005555555555556</v>
      </c>
      <c r="M23" s="26">
        <v>9.005833333333333</v>
      </c>
      <c r="N23" s="26">
        <v>10.676</v>
      </c>
      <c r="O23" s="26">
        <v>7.336</v>
      </c>
      <c r="P23" s="26">
        <v>9.006</v>
      </c>
      <c r="S23" s="26"/>
      <c r="T23" s="33"/>
    </row>
    <row r="24" spans="1:20" ht="15">
      <c r="A24" t="str">
        <f t="shared" si="0"/>
        <v>Street Lights</v>
      </c>
      <c r="B24" s="26">
        <f>'App 33 - Mar04 to Feb05 Revenue'!N24</f>
        <v>166.5</v>
      </c>
      <c r="C24" s="26">
        <v>166.5</v>
      </c>
      <c r="D24" s="26">
        <v>166.5</v>
      </c>
      <c r="E24" s="26">
        <v>166.5</v>
      </c>
      <c r="F24" s="26">
        <v>166.5</v>
      </c>
      <c r="G24" s="26">
        <v>166.5</v>
      </c>
      <c r="H24" s="26">
        <v>166.5</v>
      </c>
      <c r="I24" s="26">
        <v>166.5</v>
      </c>
      <c r="J24" s="26">
        <v>166.5</v>
      </c>
      <c r="K24" s="26">
        <v>166.5</v>
      </c>
      <c r="L24" s="26">
        <v>166.5</v>
      </c>
      <c r="M24" s="26">
        <v>166.39999999999998</v>
      </c>
      <c r="N24" s="26">
        <v>166.1</v>
      </c>
      <c r="O24" s="26">
        <v>166.1</v>
      </c>
      <c r="P24" s="26">
        <v>166.5</v>
      </c>
      <c r="S24" s="26"/>
      <c r="T24" s="33"/>
    </row>
    <row r="25" spans="1:16" ht="15">
      <c r="A25" t="str">
        <f t="shared" si="0"/>
        <v>Unmetered Scattered Load</v>
      </c>
      <c r="B25" s="26">
        <f>'App 33 - Mar04 to Feb05 Revenue'!N25</f>
        <v>8492</v>
      </c>
      <c r="C25" s="26">
        <v>8492</v>
      </c>
      <c r="D25" s="26">
        <v>8492</v>
      </c>
      <c r="E25" s="26">
        <v>8492</v>
      </c>
      <c r="F25" s="26">
        <v>8492</v>
      </c>
      <c r="G25" s="26">
        <v>8492</v>
      </c>
      <c r="H25" s="26">
        <v>8492</v>
      </c>
      <c r="I25" s="26">
        <v>8492</v>
      </c>
      <c r="J25" s="26">
        <v>8492</v>
      </c>
      <c r="K25" s="26">
        <v>8492</v>
      </c>
      <c r="L25" s="26">
        <v>8492</v>
      </c>
      <c r="M25" s="26">
        <v>8492</v>
      </c>
      <c r="N25" s="26">
        <v>8492</v>
      </c>
      <c r="O25" s="26">
        <v>8492</v>
      </c>
      <c r="P25" s="26">
        <v>8492</v>
      </c>
    </row>
    <row r="27" ht="21">
      <c r="A27" s="25" t="s">
        <v>56</v>
      </c>
    </row>
    <row r="29" spans="2:16" ht="18.75">
      <c r="B29" s="65">
        <v>2005</v>
      </c>
      <c r="C29" s="65"/>
      <c r="D29" s="65"/>
      <c r="E29" s="65"/>
      <c r="F29" s="65"/>
      <c r="G29" s="65"/>
      <c r="H29" s="65"/>
      <c r="I29" s="65"/>
      <c r="J29" s="65"/>
      <c r="K29" s="65"/>
      <c r="L29" s="67">
        <v>2006</v>
      </c>
      <c r="M29" s="67"/>
      <c r="N29" s="67"/>
      <c r="O29" s="67"/>
      <c r="P29" s="67"/>
    </row>
    <row r="30" spans="1:16" ht="15">
      <c r="A30" s="2" t="str">
        <f aca="true" t="shared" si="1" ref="A30:A37">A18</f>
        <v>Rate Class</v>
      </c>
      <c r="B30" s="1" t="s">
        <v>9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47</v>
      </c>
      <c r="H30" s="1" t="s">
        <v>48</v>
      </c>
      <c r="I30" s="1" t="s">
        <v>49</v>
      </c>
      <c r="J30" s="1" t="s">
        <v>50</v>
      </c>
      <c r="K30" s="1" t="s">
        <v>51</v>
      </c>
      <c r="L30" s="1" t="s">
        <v>52</v>
      </c>
      <c r="M30" s="1" t="s">
        <v>53</v>
      </c>
      <c r="N30" s="1" t="s">
        <v>54</v>
      </c>
      <c r="O30" s="1" t="s">
        <v>55</v>
      </c>
      <c r="P30" s="1" t="s">
        <v>17</v>
      </c>
    </row>
    <row r="31" spans="1:16" ht="15">
      <c r="A31" s="45" t="str">
        <f t="shared" si="1"/>
        <v>Residential</v>
      </c>
      <c r="B31" s="26">
        <f aca="true" t="shared" si="2" ref="B31:B37">B19*$E8*0.5</f>
        <v>1708.168997133728</v>
      </c>
      <c r="C31" s="26">
        <f aca="true" t="shared" si="3" ref="C31:O31">C19*$E8</f>
        <v>2971.441477652544</v>
      </c>
      <c r="D31" s="26">
        <f t="shared" si="3"/>
        <v>2169.581665512831</v>
      </c>
      <c r="E31" s="26">
        <f t="shared" si="3"/>
        <v>2212.4516560811185</v>
      </c>
      <c r="F31" s="26">
        <f t="shared" si="3"/>
        <v>2291.9664175509206</v>
      </c>
      <c r="G31" s="26">
        <f t="shared" si="3"/>
        <v>2161.586398165436</v>
      </c>
      <c r="H31" s="26">
        <f t="shared" si="3"/>
        <v>2371.9313574675616</v>
      </c>
      <c r="I31" s="26">
        <f t="shared" si="3"/>
        <v>2056.0066726169607</v>
      </c>
      <c r="J31" s="26">
        <f t="shared" si="3"/>
        <v>2618.3924039911267</v>
      </c>
      <c r="K31" s="26">
        <f t="shared" si="3"/>
        <v>1817.8917137018145</v>
      </c>
      <c r="L31" s="26">
        <f t="shared" si="3"/>
        <v>3447.2359367672298</v>
      </c>
      <c r="M31" s="26">
        <f t="shared" si="3"/>
        <v>3263.920083939459</v>
      </c>
      <c r="N31" s="26">
        <f t="shared" si="3"/>
        <v>3640.8924007853257</v>
      </c>
      <c r="O31" s="26">
        <f t="shared" si="3"/>
        <v>2333.245450501907</v>
      </c>
      <c r="P31" s="26">
        <f aca="true" t="shared" si="4" ref="P31:P37">P19*$E8*0.5</f>
        <v>1210.3593399955123</v>
      </c>
    </row>
    <row r="32" spans="1:16" ht="15">
      <c r="A32" s="45" t="str">
        <f t="shared" si="1"/>
        <v>General Service &lt; 50 kW</v>
      </c>
      <c r="B32" s="26">
        <f t="shared" si="2"/>
        <v>419.91043591575476</v>
      </c>
      <c r="C32" s="26">
        <f aca="true" t="shared" si="5" ref="C32:O32">C20*$E9</f>
        <v>757.4335018756669</v>
      </c>
      <c r="D32" s="26">
        <f t="shared" si="5"/>
        <v>597.9744860550095</v>
      </c>
      <c r="E32" s="26">
        <f t="shared" si="5"/>
        <v>655.3645399333892</v>
      </c>
      <c r="F32" s="26">
        <f t="shared" si="5"/>
        <v>672.0289466920616</v>
      </c>
      <c r="G32" s="26">
        <f t="shared" si="5"/>
        <v>628.8974579120326</v>
      </c>
      <c r="H32" s="26">
        <f t="shared" si="5"/>
        <v>701.6628731054967</v>
      </c>
      <c r="I32" s="26">
        <f t="shared" si="5"/>
        <v>621.089767547256</v>
      </c>
      <c r="J32" s="26">
        <f t="shared" si="5"/>
        <v>740.3822402960272</v>
      </c>
      <c r="K32" s="26">
        <f t="shared" si="5"/>
        <v>459.41198402167157</v>
      </c>
      <c r="L32" s="26">
        <f t="shared" si="5"/>
        <v>833.4907127446241</v>
      </c>
      <c r="M32" s="26">
        <f t="shared" si="5"/>
        <v>799.3253609739104</v>
      </c>
      <c r="N32" s="26">
        <f t="shared" si="5"/>
        <v>971.9790911352585</v>
      </c>
      <c r="O32" s="26">
        <f t="shared" si="5"/>
        <v>549.2794884354864</v>
      </c>
      <c r="P32" s="26">
        <f t="shared" si="4"/>
        <v>343.0152749145199</v>
      </c>
    </row>
    <row r="33" spans="1:16" ht="15">
      <c r="A33" s="45" t="str">
        <f t="shared" si="1"/>
        <v>General Service &gt; 50 kW</v>
      </c>
      <c r="B33" s="26">
        <f t="shared" si="2"/>
        <v>213.36013129161387</v>
      </c>
      <c r="C33" s="26">
        <f aca="true" t="shared" si="6" ref="C33:O33">C21*$E10</f>
        <v>492.7433945358543</v>
      </c>
      <c r="D33" s="26">
        <f t="shared" si="6"/>
        <v>413.0495905553898</v>
      </c>
      <c r="E33" s="26">
        <f t="shared" si="6"/>
        <v>449.26799436940206</v>
      </c>
      <c r="F33" s="26">
        <f t="shared" si="6"/>
        <v>416.8778225761723</v>
      </c>
      <c r="G33" s="26">
        <f t="shared" si="6"/>
        <v>392.2772707208827</v>
      </c>
      <c r="H33" s="26">
        <f t="shared" si="6"/>
        <v>397.24842418555113</v>
      </c>
      <c r="I33" s="26">
        <f t="shared" si="6"/>
        <v>395.67274607844644</v>
      </c>
      <c r="J33" s="26">
        <f t="shared" si="6"/>
        <v>556.3697203537299</v>
      </c>
      <c r="K33" s="26">
        <f t="shared" si="6"/>
        <v>297.6921989958091</v>
      </c>
      <c r="L33" s="26">
        <f t="shared" si="6"/>
        <v>446.13883080458845</v>
      </c>
      <c r="M33" s="26">
        <f t="shared" si="6"/>
        <v>450.67722760603795</v>
      </c>
      <c r="N33" s="26">
        <f t="shared" si="6"/>
        <v>569.9294291345886</v>
      </c>
      <c r="O33" s="26">
        <f t="shared" si="6"/>
        <v>322.5812552932446</v>
      </c>
      <c r="P33" s="26">
        <f t="shared" si="4"/>
        <v>218.59204838668333</v>
      </c>
    </row>
    <row r="34" spans="1:16" ht="15">
      <c r="A34" s="45" t="str">
        <f t="shared" si="1"/>
        <v>General Service &gt; 50 kW - TOU</v>
      </c>
      <c r="B34" s="26">
        <f t="shared" si="2"/>
        <v>529.2676739423393</v>
      </c>
      <c r="C34" s="26">
        <f aca="true" t="shared" si="7" ref="C34:O34">C22*$E11</f>
        <v>973.3451903294097</v>
      </c>
      <c r="D34" s="26">
        <f t="shared" si="7"/>
        <v>1115.719280193047</v>
      </c>
      <c r="E34" s="26">
        <f t="shared" si="7"/>
        <v>1063.3930924757476</v>
      </c>
      <c r="F34" s="26">
        <f t="shared" si="7"/>
        <v>1296.7678896949037</v>
      </c>
      <c r="G34" s="26">
        <f t="shared" si="7"/>
        <v>1184.8679467675202</v>
      </c>
      <c r="H34" s="26">
        <f t="shared" si="7"/>
        <v>1219.918682659347</v>
      </c>
      <c r="I34" s="26">
        <f t="shared" si="7"/>
        <v>1152.2538930499913</v>
      </c>
      <c r="J34" s="26">
        <f t="shared" si="7"/>
        <v>1113.8605290472685</v>
      </c>
      <c r="K34" s="26">
        <f t="shared" si="7"/>
        <v>1119.3586836969669</v>
      </c>
      <c r="L34" s="26">
        <f t="shared" si="7"/>
        <v>1091.555515297924</v>
      </c>
      <c r="M34" s="26">
        <f t="shared" si="7"/>
        <v>1116.0472951011257</v>
      </c>
      <c r="N34" s="26">
        <f t="shared" si="7"/>
        <v>1143.1631941689564</v>
      </c>
      <c r="O34" s="26">
        <f t="shared" si="7"/>
        <v>1157.3771735190285</v>
      </c>
      <c r="P34" s="26">
        <f t="shared" si="4"/>
        <v>582.6481952927488</v>
      </c>
    </row>
    <row r="35" spans="1:16" ht="15">
      <c r="A35" s="45" t="str">
        <f t="shared" si="1"/>
        <v>Sentinel Lights</v>
      </c>
      <c r="B35" s="26">
        <f t="shared" si="2"/>
        <v>3.203508248344803</v>
      </c>
      <c r="C35" s="26">
        <f aca="true" t="shared" si="8" ref="C35:O35">C23*$E12</f>
        <v>5.739042537441892</v>
      </c>
      <c r="D35" s="26">
        <f t="shared" si="8"/>
        <v>7.07696671025462</v>
      </c>
      <c r="E35" s="26">
        <f t="shared" si="8"/>
        <v>6.173818487248096</v>
      </c>
      <c r="F35" s="26">
        <f t="shared" si="8"/>
        <v>6.642190760448416</v>
      </c>
      <c r="G35" s="26">
        <f t="shared" si="8"/>
        <v>6.407016496689606</v>
      </c>
      <c r="H35" s="26">
        <f t="shared" si="8"/>
        <v>6.407016496689606</v>
      </c>
      <c r="I35" s="26">
        <f t="shared" si="8"/>
        <v>6.407016496689606</v>
      </c>
      <c r="J35" s="26">
        <f t="shared" si="8"/>
        <v>7.594745341387463</v>
      </c>
      <c r="K35" s="26">
        <f t="shared" si="8"/>
        <v>5.219287651991748</v>
      </c>
      <c r="L35" s="26">
        <f t="shared" si="8"/>
        <v>6.407016496689606</v>
      </c>
      <c r="M35" s="26">
        <f t="shared" si="8"/>
        <v>6.407214122121336</v>
      </c>
      <c r="N35" s="26">
        <f t="shared" si="8"/>
        <v>7.595456792941691</v>
      </c>
      <c r="O35" s="26">
        <f t="shared" si="8"/>
        <v>5.219208601819056</v>
      </c>
      <c r="P35" s="26">
        <f t="shared" si="4"/>
        <v>3.203666348690187</v>
      </c>
    </row>
    <row r="36" spans="1:16" ht="15">
      <c r="A36" s="45" t="str">
        <f t="shared" si="1"/>
        <v>Street Lights</v>
      </c>
      <c r="B36" s="57">
        <f t="shared" si="2"/>
        <v>13.532753840379486</v>
      </c>
      <c r="C36" s="57">
        <f aca="true" t="shared" si="9" ref="C36:O36">C24*$E13</f>
        <v>27.065507680758973</v>
      </c>
      <c r="D36" s="57">
        <f t="shared" si="9"/>
        <v>27.065507680758973</v>
      </c>
      <c r="E36" s="57">
        <f t="shared" si="9"/>
        <v>27.065507680758973</v>
      </c>
      <c r="F36" s="57">
        <f t="shared" si="9"/>
        <v>27.065507680758973</v>
      </c>
      <c r="G36" s="57">
        <f t="shared" si="9"/>
        <v>27.065507680758973</v>
      </c>
      <c r="H36" s="57">
        <f t="shared" si="9"/>
        <v>27.065507680758973</v>
      </c>
      <c r="I36" s="57">
        <f t="shared" si="9"/>
        <v>27.065507680758973</v>
      </c>
      <c r="J36" s="57">
        <f t="shared" si="9"/>
        <v>27.065507680758973</v>
      </c>
      <c r="K36" s="57">
        <f t="shared" si="9"/>
        <v>27.065507680758973</v>
      </c>
      <c r="L36" s="57">
        <f t="shared" si="9"/>
        <v>27.065507680758973</v>
      </c>
      <c r="M36" s="57">
        <f t="shared" si="9"/>
        <v>27.049252120590346</v>
      </c>
      <c r="N36" s="57">
        <f t="shared" si="9"/>
        <v>27.00048544008448</v>
      </c>
      <c r="O36" s="57">
        <f t="shared" si="9"/>
        <v>27.00048544008448</v>
      </c>
      <c r="P36" s="57">
        <f t="shared" si="4"/>
        <v>13.532753840379486</v>
      </c>
    </row>
    <row r="37" spans="1:16" ht="15">
      <c r="A37" s="45" t="str">
        <f t="shared" si="1"/>
        <v>Unmetered Scattered Load</v>
      </c>
      <c r="B37" s="29">
        <f t="shared" si="2"/>
        <v>2.997418923041726</v>
      </c>
      <c r="C37" s="29">
        <f aca="true" t="shared" si="10" ref="C37:O37">C25*$E14</f>
        <v>5.994837846083452</v>
      </c>
      <c r="D37" s="29">
        <f t="shared" si="10"/>
        <v>5.994837846083452</v>
      </c>
      <c r="E37" s="29">
        <f t="shared" si="10"/>
        <v>5.994837846083452</v>
      </c>
      <c r="F37" s="29">
        <f t="shared" si="10"/>
        <v>5.994837846083452</v>
      </c>
      <c r="G37" s="29">
        <f t="shared" si="10"/>
        <v>5.994837846083452</v>
      </c>
      <c r="H37" s="29">
        <f t="shared" si="10"/>
        <v>5.994837846083452</v>
      </c>
      <c r="I37" s="29">
        <f t="shared" si="10"/>
        <v>5.994837846083452</v>
      </c>
      <c r="J37" s="29">
        <f t="shared" si="10"/>
        <v>5.994837846083452</v>
      </c>
      <c r="K37" s="29">
        <f t="shared" si="10"/>
        <v>5.994837846083452</v>
      </c>
      <c r="L37" s="29">
        <f t="shared" si="10"/>
        <v>5.994837846083452</v>
      </c>
      <c r="M37" s="29">
        <f t="shared" si="10"/>
        <v>5.994837846083452</v>
      </c>
      <c r="N37" s="29">
        <f t="shared" si="10"/>
        <v>5.994837846083452</v>
      </c>
      <c r="O37" s="29">
        <f t="shared" si="10"/>
        <v>5.994837846083452</v>
      </c>
      <c r="P37" s="29">
        <f t="shared" si="4"/>
        <v>2.997418923041726</v>
      </c>
    </row>
    <row r="38" spans="1:16" ht="15">
      <c r="A38" t="s">
        <v>13</v>
      </c>
      <c r="B38" s="26">
        <f>SUM(B31:B36)</f>
        <v>2887.44350037216</v>
      </c>
      <c r="C38" s="26">
        <f>SUM(C31:C36)</f>
        <v>5227.768114611676</v>
      </c>
      <c r="D38" s="26">
        <f aca="true" t="shared" si="11" ref="D38:P38">SUM(D31:D36)</f>
        <v>4330.4674967072915</v>
      </c>
      <c r="E38" s="26">
        <f t="shared" si="11"/>
        <v>4413.716609027664</v>
      </c>
      <c r="F38" s="26">
        <f t="shared" si="11"/>
        <v>4711.348774955265</v>
      </c>
      <c r="G38" s="26">
        <f t="shared" si="11"/>
        <v>4401.10159774332</v>
      </c>
      <c r="H38" s="26">
        <f t="shared" si="11"/>
        <v>4724.233861595405</v>
      </c>
      <c r="I38" s="26">
        <f t="shared" si="11"/>
        <v>4258.495603470103</v>
      </c>
      <c r="J38" s="26">
        <f t="shared" si="11"/>
        <v>5063.665146710298</v>
      </c>
      <c r="K38" s="26">
        <f t="shared" si="11"/>
        <v>3726.6393757490127</v>
      </c>
      <c r="L38" s="26">
        <f t="shared" si="11"/>
        <v>5851.893519791815</v>
      </c>
      <c r="M38" s="26">
        <f t="shared" si="11"/>
        <v>5663.426433863245</v>
      </c>
      <c r="N38" s="26">
        <f t="shared" si="11"/>
        <v>6360.560057457155</v>
      </c>
      <c r="O38" s="26">
        <f t="shared" si="11"/>
        <v>4394.70306179157</v>
      </c>
      <c r="P38" s="26">
        <f t="shared" si="11"/>
        <v>2371.351278778534</v>
      </c>
    </row>
    <row r="39" ht="15">
      <c r="P39" s="26"/>
    </row>
    <row r="41" ht="15">
      <c r="C41" s="26"/>
    </row>
  </sheetData>
  <sheetProtection/>
  <mergeCells count="6">
    <mergeCell ref="B6:C6"/>
    <mergeCell ref="D6:E6"/>
    <mergeCell ref="B17:K17"/>
    <mergeCell ref="B29:K29"/>
    <mergeCell ref="L17:P17"/>
    <mergeCell ref="L29:P29"/>
  </mergeCells>
  <printOptions/>
  <pageMargins left="0.7" right="0.7" top="0.75" bottom="0.75" header="0.3" footer="0.3"/>
  <pageSetup fitToHeight="1" fitToWidth="1" horizontalDpi="1200" verticalDpi="12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A18" sqref="A18:G26"/>
    </sheetView>
  </sheetViews>
  <sheetFormatPr defaultColWidth="9.140625" defaultRowHeight="15"/>
  <cols>
    <col min="1" max="1" width="32.140625" style="0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9.28125" style="0" bestFit="1" customWidth="1"/>
  </cols>
  <sheetData>
    <row r="1" ht="15.75">
      <c r="A1" s="41" t="s">
        <v>88</v>
      </c>
    </row>
    <row r="3" spans="1:5" ht="60">
      <c r="A3" s="52" t="s">
        <v>39</v>
      </c>
      <c r="B3" s="52" t="s">
        <v>113</v>
      </c>
      <c r="C3" s="52" t="s">
        <v>96</v>
      </c>
      <c r="D3" s="52" t="s">
        <v>97</v>
      </c>
      <c r="E3" s="38"/>
    </row>
    <row r="4" spans="1:4" ht="15">
      <c r="A4" t="str">
        <f>'App 34 - Mar05 to Apr06 Revenue'!A8</f>
        <v>Residential</v>
      </c>
      <c r="B4" s="58">
        <v>1375238</v>
      </c>
      <c r="C4" s="15">
        <f aca="true" t="shared" si="0" ref="C4:C10">B4/$B$11</f>
        <v>0.5283199643493761</v>
      </c>
      <c r="D4" s="46">
        <f aca="true" t="shared" si="1" ref="D4:D10">C4*$D$11</f>
        <v>5433.578277886481</v>
      </c>
    </row>
    <row r="5" spans="1:4" ht="15">
      <c r="A5" t="str">
        <f>'App 34 - Mar05 to Apr06 Revenue'!A9</f>
        <v>General Service &lt; 50 kW</v>
      </c>
      <c r="B5" s="58">
        <v>410022</v>
      </c>
      <c r="C5" s="15">
        <f t="shared" si="0"/>
        <v>0.15751659598008483</v>
      </c>
      <c r="D5" s="46">
        <f t="shared" si="1"/>
        <v>1620.0007799781354</v>
      </c>
    </row>
    <row r="6" spans="1:4" ht="15">
      <c r="A6" t="s">
        <v>107</v>
      </c>
      <c r="B6" s="58">
        <v>374385</v>
      </c>
      <c r="C6" s="15">
        <f t="shared" si="0"/>
        <v>0.1438260649087221</v>
      </c>
      <c r="D6" s="46">
        <f t="shared" si="1"/>
        <v>1479.1986576625502</v>
      </c>
    </row>
    <row r="7" spans="1:4" ht="15">
      <c r="A7" t="s">
        <v>108</v>
      </c>
      <c r="B7" s="58">
        <v>341488</v>
      </c>
      <c r="C7" s="15">
        <f t="shared" si="0"/>
        <v>0.13118814924088756</v>
      </c>
      <c r="D7" s="46">
        <f t="shared" si="1"/>
        <v>1349.2223011281674</v>
      </c>
    </row>
    <row r="8" spans="1:4" ht="15">
      <c r="A8" t="s">
        <v>109</v>
      </c>
      <c r="B8" s="58">
        <v>2521</v>
      </c>
      <c r="C8" s="15">
        <f t="shared" si="0"/>
        <v>0.0009684830044870612</v>
      </c>
      <c r="D8" s="46">
        <f t="shared" si="1"/>
        <v>9.960494720587867</v>
      </c>
    </row>
    <row r="9" spans="1:4" ht="15">
      <c r="A9" t="str">
        <f>'App 34 - Mar05 to Apr06 Revenue'!A13</f>
        <v>Street Lights</v>
      </c>
      <c r="B9" s="58">
        <v>99189</v>
      </c>
      <c r="C9" s="15">
        <f t="shared" si="0"/>
        <v>0.03810506177392587</v>
      </c>
      <c r="D9" s="46">
        <f t="shared" si="1"/>
        <v>391.89667228892904</v>
      </c>
    </row>
    <row r="10" spans="1:4" ht="15">
      <c r="A10" s="40" t="s">
        <v>100</v>
      </c>
      <c r="B10" s="59">
        <v>197</v>
      </c>
      <c r="C10" s="17">
        <f t="shared" si="0"/>
        <v>7.568074251644231E-05</v>
      </c>
      <c r="D10" s="47">
        <f t="shared" si="1"/>
        <v>0.7783488536119834</v>
      </c>
    </row>
    <row r="11" spans="1:4" ht="15">
      <c r="A11" s="2" t="s">
        <v>13</v>
      </c>
      <c r="B11" s="42">
        <f>SUM(B4:B10)</f>
        <v>2603040</v>
      </c>
      <c r="C11" s="43">
        <f>SUM(C4:C10)</f>
        <v>1</v>
      </c>
      <c r="D11" s="48">
        <f>'App 12 - Continuity Schedule'!L199</f>
        <v>10284.635532518463</v>
      </c>
    </row>
    <row r="16" ht="15.75">
      <c r="A16" s="41" t="s">
        <v>89</v>
      </c>
    </row>
    <row r="18" spans="1:6" ht="45">
      <c r="A18" s="52" t="s">
        <v>39</v>
      </c>
      <c r="B18" s="52" t="s">
        <v>90</v>
      </c>
      <c r="C18" s="52" t="s">
        <v>91</v>
      </c>
      <c r="D18" s="52" t="s">
        <v>92</v>
      </c>
      <c r="E18" s="52" t="s">
        <v>114</v>
      </c>
      <c r="F18" s="52" t="s">
        <v>93</v>
      </c>
    </row>
    <row r="19" spans="1:7" ht="15">
      <c r="A19" t="str">
        <f aca="true" t="shared" si="2" ref="A19:A26">A4</f>
        <v>Residential</v>
      </c>
      <c r="B19" s="46">
        <f aca="true" t="shared" si="3" ref="B19:B26">D4</f>
        <v>5433.578277886481</v>
      </c>
      <c r="C19" s="34">
        <v>1</v>
      </c>
      <c r="D19" s="46">
        <f>B19/C19</f>
        <v>5433.578277886481</v>
      </c>
      <c r="E19" s="39">
        <v>25633652</v>
      </c>
      <c r="F19" s="55">
        <f aca="true" t="shared" si="4" ref="F19:F25">ROUND(D19/E19,5)</f>
        <v>0.00021</v>
      </c>
      <c r="G19" t="s">
        <v>94</v>
      </c>
    </row>
    <row r="20" spans="1:7" ht="15">
      <c r="A20" t="str">
        <f t="shared" si="2"/>
        <v>General Service &lt; 50 kW</v>
      </c>
      <c r="B20" s="46">
        <f t="shared" si="3"/>
        <v>1620.0007799781354</v>
      </c>
      <c r="C20">
        <f>C19</f>
        <v>1</v>
      </c>
      <c r="D20" s="46">
        <f aca="true" t="shared" si="5" ref="D20:D26">B20/C20</f>
        <v>1620.0007799781354</v>
      </c>
      <c r="E20" s="39">
        <v>11029610</v>
      </c>
      <c r="F20" s="55">
        <f t="shared" si="4"/>
        <v>0.00015</v>
      </c>
      <c r="G20" t="s">
        <v>94</v>
      </c>
    </row>
    <row r="21" spans="1:7" ht="15">
      <c r="A21" t="str">
        <f t="shared" si="2"/>
        <v>General Service 50 to 2,999 kW</v>
      </c>
      <c r="B21" s="46">
        <f t="shared" si="3"/>
        <v>1479.1986576625502</v>
      </c>
      <c r="C21">
        <f aca="true" t="shared" si="6" ref="C21:C26">C20</f>
        <v>1</v>
      </c>
      <c r="D21" s="46">
        <f t="shared" si="5"/>
        <v>1479.1986576625502</v>
      </c>
      <c r="E21" s="39">
        <v>51824</v>
      </c>
      <c r="F21" s="55">
        <f t="shared" si="4"/>
        <v>0.02854</v>
      </c>
      <c r="G21" t="s">
        <v>95</v>
      </c>
    </row>
    <row r="22" spans="1:7" ht="15">
      <c r="A22" t="str">
        <f t="shared" si="2"/>
        <v>General Service 3,000 to 4,999 kW</v>
      </c>
      <c r="B22" s="46">
        <f t="shared" si="3"/>
        <v>1349.2223011281674</v>
      </c>
      <c r="C22">
        <f t="shared" si="6"/>
        <v>1</v>
      </c>
      <c r="D22" s="46">
        <f t="shared" si="5"/>
        <v>1349.2223011281674</v>
      </c>
      <c r="E22" s="39">
        <v>96086</v>
      </c>
      <c r="F22" s="55">
        <f t="shared" si="4"/>
        <v>0.01404</v>
      </c>
      <c r="G22" t="s">
        <v>95</v>
      </c>
    </row>
    <row r="23" spans="1:7" ht="15">
      <c r="A23" t="str">
        <f t="shared" si="2"/>
        <v>Sentinel</v>
      </c>
      <c r="B23" s="46">
        <f t="shared" si="3"/>
        <v>9.960494720587867</v>
      </c>
      <c r="C23">
        <f t="shared" si="6"/>
        <v>1</v>
      </c>
      <c r="D23" s="46">
        <f t="shared" si="5"/>
        <v>9.960494720587867</v>
      </c>
      <c r="E23" s="39">
        <v>80</v>
      </c>
      <c r="F23" s="55">
        <f t="shared" si="4"/>
        <v>0.12451</v>
      </c>
      <c r="G23" t="s">
        <v>95</v>
      </c>
    </row>
    <row r="24" spans="1:7" ht="15">
      <c r="A24" t="str">
        <f t="shared" si="2"/>
        <v>Street Lights</v>
      </c>
      <c r="B24" s="46">
        <f t="shared" si="3"/>
        <v>391.89667228892904</v>
      </c>
      <c r="C24">
        <f>C21</f>
        <v>1</v>
      </c>
      <c r="D24" s="46">
        <f t="shared" si="5"/>
        <v>391.89667228892904</v>
      </c>
      <c r="E24" s="39">
        <v>1925</v>
      </c>
      <c r="F24" s="55">
        <f t="shared" si="4"/>
        <v>0.20358</v>
      </c>
      <c r="G24" t="s">
        <v>95</v>
      </c>
    </row>
    <row r="25" spans="1:7" ht="14.25" customHeight="1">
      <c r="A25" s="40" t="str">
        <f t="shared" si="2"/>
        <v>Unmetered Loads</v>
      </c>
      <c r="B25" s="47">
        <f t="shared" si="3"/>
        <v>0.7783488536119834</v>
      </c>
      <c r="C25" s="40">
        <f>C24</f>
        <v>1</v>
      </c>
      <c r="D25" s="47">
        <f t="shared" si="5"/>
        <v>0.7783488536119834</v>
      </c>
      <c r="E25" s="44">
        <v>4006</v>
      </c>
      <c r="F25" s="56">
        <f t="shared" si="4"/>
        <v>0.00019</v>
      </c>
      <c r="G25" t="s">
        <v>94</v>
      </c>
    </row>
    <row r="26" spans="1:4" ht="15">
      <c r="A26" t="str">
        <f t="shared" si="2"/>
        <v>Total</v>
      </c>
      <c r="B26" s="48">
        <f t="shared" si="3"/>
        <v>10284.635532518463</v>
      </c>
      <c r="C26">
        <f t="shared" si="6"/>
        <v>1</v>
      </c>
      <c r="D26" s="48">
        <f t="shared" si="5"/>
        <v>10284.635532518463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160" zoomScaleNormal="160" zoomScalePageLayoutView="0" workbookViewId="0" topLeftCell="D1">
      <selection activeCell="F10" sqref="F10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5">
      <c r="A1" s="69" t="s">
        <v>67</v>
      </c>
      <c r="B1" s="69" t="s">
        <v>73</v>
      </c>
      <c r="C1" s="69"/>
      <c r="D1" s="69"/>
      <c r="E1" s="70" t="s">
        <v>22</v>
      </c>
      <c r="F1" s="70" t="s">
        <v>27</v>
      </c>
      <c r="G1" s="70" t="s">
        <v>28</v>
      </c>
      <c r="H1" s="70" t="s">
        <v>24</v>
      </c>
      <c r="I1" s="69" t="s">
        <v>23</v>
      </c>
    </row>
    <row r="2" spans="1:9" ht="19.5" customHeight="1">
      <c r="A2" s="69"/>
      <c r="B2" s="53" t="s">
        <v>74</v>
      </c>
      <c r="C2" s="53" t="s">
        <v>75</v>
      </c>
      <c r="D2" s="53" t="s">
        <v>76</v>
      </c>
      <c r="E2" s="70"/>
      <c r="F2" s="70"/>
      <c r="G2" s="70"/>
      <c r="H2" s="70"/>
      <c r="I2" s="69"/>
    </row>
    <row r="3" spans="1:9" ht="15">
      <c r="A3" s="1" t="s">
        <v>1</v>
      </c>
      <c r="B3" s="1" t="s">
        <v>77</v>
      </c>
      <c r="C3" s="1" t="s">
        <v>78</v>
      </c>
      <c r="D3" s="1" t="s">
        <v>79</v>
      </c>
      <c r="E3" s="51">
        <f>'[4]TAXCALC Fourth Qtr 2001'!$E$87</f>
        <v>15155.652500496772</v>
      </c>
      <c r="F3" s="1" t="s">
        <v>25</v>
      </c>
      <c r="G3" s="1" t="s">
        <v>26</v>
      </c>
      <c r="H3" s="21">
        <f>E3/3</f>
        <v>5051.8841668322575</v>
      </c>
      <c r="I3" s="37" t="s">
        <v>68</v>
      </c>
    </row>
    <row r="4" spans="1:9" ht="15">
      <c r="A4" s="1">
        <v>2002</v>
      </c>
      <c r="B4" s="1" t="s">
        <v>77</v>
      </c>
      <c r="C4" s="1" t="s">
        <v>80</v>
      </c>
      <c r="D4" s="1" t="s">
        <v>79</v>
      </c>
      <c r="E4" s="8">
        <f>'[5]TAXCALC 2002'!$C$87</f>
        <v>44281.528846286885</v>
      </c>
      <c r="F4" s="1" t="s">
        <v>29</v>
      </c>
      <c r="G4" s="1" t="s">
        <v>30</v>
      </c>
      <c r="H4" s="8">
        <f>E4/12</f>
        <v>3690.1274038572406</v>
      </c>
      <c r="I4" s="37" t="s">
        <v>69</v>
      </c>
    </row>
    <row r="5" spans="1:9" ht="15">
      <c r="A5" s="1">
        <v>2003</v>
      </c>
      <c r="B5" s="1" t="s">
        <v>77</v>
      </c>
      <c r="C5" s="1" t="s">
        <v>81</v>
      </c>
      <c r="D5" s="1" t="s">
        <v>79</v>
      </c>
      <c r="E5" s="21">
        <f>E3+E4</f>
        <v>59437.181346783655</v>
      </c>
      <c r="F5" s="1" t="s">
        <v>31</v>
      </c>
      <c r="G5" s="1" t="s">
        <v>32</v>
      </c>
      <c r="H5" s="21">
        <f>E5/12</f>
        <v>4953.098445565304</v>
      </c>
      <c r="I5" s="37" t="s">
        <v>70</v>
      </c>
    </row>
    <row r="6" spans="1:9" ht="15">
      <c r="A6" s="1">
        <v>2004</v>
      </c>
      <c r="B6" s="1" t="s">
        <v>77</v>
      </c>
      <c r="C6" s="1" t="s">
        <v>81</v>
      </c>
      <c r="D6" s="1" t="s">
        <v>79</v>
      </c>
      <c r="E6" s="21">
        <f>E5</f>
        <v>59437.181346783655</v>
      </c>
      <c r="F6" s="1" t="s">
        <v>33</v>
      </c>
      <c r="G6" s="1" t="s">
        <v>103</v>
      </c>
      <c r="H6" s="21">
        <f>E6/12</f>
        <v>4953.098445565304</v>
      </c>
      <c r="I6" s="37" t="s">
        <v>70</v>
      </c>
    </row>
    <row r="7" spans="1:9" ht="15">
      <c r="A7" s="1">
        <v>2004</v>
      </c>
      <c r="B7" s="1" t="s">
        <v>82</v>
      </c>
      <c r="C7" s="1" t="s">
        <v>83</v>
      </c>
      <c r="D7" s="1" t="s">
        <v>84</v>
      </c>
      <c r="E7" s="21">
        <f>E4</f>
        <v>44281.528846286885</v>
      </c>
      <c r="F7" s="1" t="s">
        <v>102</v>
      </c>
      <c r="G7" s="1" t="s">
        <v>115</v>
      </c>
      <c r="H7" s="21">
        <f>E7/12</f>
        <v>3690.1274038572406</v>
      </c>
      <c r="I7" s="22" t="s">
        <v>71</v>
      </c>
    </row>
    <row r="8" spans="1:9" ht="15">
      <c r="A8" s="1">
        <v>2005</v>
      </c>
      <c r="B8" s="1" t="s">
        <v>85</v>
      </c>
      <c r="C8" s="1" t="s">
        <v>86</v>
      </c>
      <c r="D8" s="1" t="s">
        <v>87</v>
      </c>
      <c r="E8" s="8">
        <f>'[6]TAXCALC'!$C$95</f>
        <v>55024.7003477513</v>
      </c>
      <c r="F8" s="1" t="s">
        <v>116</v>
      </c>
      <c r="G8" s="1" t="s">
        <v>36</v>
      </c>
      <c r="H8" s="21">
        <f>E8/12</f>
        <v>4585.391695645942</v>
      </c>
      <c r="I8" s="22" t="s">
        <v>72</v>
      </c>
    </row>
    <row r="9" ht="15">
      <c r="I9" s="22"/>
    </row>
    <row r="10" ht="15">
      <c r="I10" s="22"/>
    </row>
    <row r="11" ht="15">
      <c r="I11" s="22"/>
    </row>
    <row r="12" ht="15">
      <c r="I12" s="22"/>
    </row>
    <row r="13" ht="15">
      <c r="I13" s="22"/>
    </row>
    <row r="14" ht="15">
      <c r="I14" s="22"/>
    </row>
    <row r="15" ht="15">
      <c r="I15" s="22"/>
    </row>
    <row r="16" ht="15">
      <c r="I16" s="22"/>
    </row>
    <row r="17" ht="1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Richard Bucknall</cp:lastModifiedBy>
  <cp:lastPrinted>2011-11-09T22:28:35Z</cp:lastPrinted>
  <dcterms:created xsi:type="dcterms:W3CDTF">2011-08-02T14:49:25Z</dcterms:created>
  <dcterms:modified xsi:type="dcterms:W3CDTF">2012-06-15T20:20:54Z</dcterms:modified>
  <cp:category/>
  <cp:version/>
  <cp:contentType/>
  <cp:contentStatus/>
</cp:coreProperties>
</file>