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</sheets>
  <externalReferences>
    <externalReference r:id="rId10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<sst xmlns="http://schemas.openxmlformats.org/spreadsheetml/2006/main" count="809" uniqueCount="447">
  <si>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</si>
  <si>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</si>
  <si>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</si>
  <si>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</si>
  <si>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</si>
  <si>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</si>
  <si>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</si>
  <si>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</si>
  <si>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</si>
  <si>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</si>
  <si>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</si>
  <si>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</si>
  <si>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</si>
  <si>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</si>
  <si>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</si>
  <si>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</si>
  <si>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</si>
  <si>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</si>
  <si>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</si>
  <si>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</si>
  <si>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</si>
  <si>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</si>
  <si>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</si>
  <si>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</si>
  <si>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</si>
  <si>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</si>
  <si>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</si>
  <si>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</si>
  <si>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</si>
  <si>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</si>
  <si>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</si>
  <si>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</si>
  <si>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</si>
  <si>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</si>
  <si>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</si>
  <si>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</si>
  <si>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</si>
  <si>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</si>
  <si>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</si>
  <si>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</si>
  <si>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</si>
  <si>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</si>
  <si>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</si>
  <si>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</si>
  <si>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</si>
  <si>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</si>
  <si>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</si>
  <si>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</si>
  <si>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</si>
  <si>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</si>
  <si>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</si>
  <si>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</si>
  <si>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</si>
  <si>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</si>
  <si>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</si>
  <si>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</si>
  <si>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</si>
  <si>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</si>
  <si>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</si>
  <si>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</si>
  <si>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</si>
  <si>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</si>
  <si>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</si>
  <si>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</si>
  <si>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</si>
  <si>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</si>
  <si>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</si>
  <si>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</si>
  <si>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</si>
  <si>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</si>
  <si>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</si>
  <si>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</si>
  <si>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</si>
  <si>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</si>
  <si>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</si>
  <si>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</si>
  <si>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</si>
  <si>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</si>
  <si>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</si>
  <si>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</si>
  <si>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</si>
  <si>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</si>
  <si>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</si>
  <si>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</si>
  <si>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</si>
  <si>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</si>
  <si>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</si>
  <si>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</si>
  <si>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</si>
  <si>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</si>
  <si>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</si>
  <si>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</si>
  <si>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</si>
  <si>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</si>
  <si>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</si>
  <si>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</si>
  <si>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</si>
  <si>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</si>
  <si>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</si>
  <si>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</si>
  <si>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</si>
  <si>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</si>
  <si>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</si>
  <si>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</si>
  <si>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</si>
  <si>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</si>
  <si>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</si>
  <si>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</si>
  <si>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</si>
  <si>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</si>
  <si>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</si>
  <si>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</si>
  <si>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</si>
  <si>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</si>
  <si>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</si>
  <si>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</si>
  <si>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</si>
  <si>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</si>
  <si>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</si>
  <si>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</si>
  <si>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</si>
  <si>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</si>
  <si>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</si>
  <si>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</si>
  <si>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</si>
  <si>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</si>
  <si>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</si>
  <si>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</si>
  <si>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</si>
  <si>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</si>
  <si>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</si>
  <si>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</si>
  <si>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</si>
  <si>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</si>
  <si>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</si>
  <si>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</si>
  <si>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</si>
  <si>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</si>
  <si>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</si>
  <si>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</si>
  <si>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</si>
  <si>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</si>
  <si>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</si>
  <si>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</si>
  <si>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</si>
  <si>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</si>
  <si>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</si>
  <si>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</si>
  <si>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</si>
  <si>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</si>
  <si>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</si>
  <si>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</si>
  <si>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</si>
  <si>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</si>
  <si>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</si>
  <si>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</si>
  <si>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</si>
  <si>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</si>
  <si>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</si>
  <si>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</si>
  <si>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</si>
  <si>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</si>
  <si>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</si>
  <si>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</si>
  <si>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</si>
  <si>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</si>
  <si>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</si>
  <si>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</si>
  <si>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</si>
  <si>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</si>
  <si>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</si>
  <si>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</si>
  <si>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</si>
  <si>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</si>
  <si>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</si>
  <si>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</si>
  <si>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</si>
  <si>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</si>
  <si>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</si>
  <si>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</si>
  <si>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</si>
  <si>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</si>
  <si>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</si>
  <si>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</si>
  <si>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</si>
  <si>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</si>
  <si>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</si>
  <si>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</si>
  <si>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</si>
  <si>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</si>
  <si>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</si>
  <si>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</si>
  <si>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</si>
  <si>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</si>
  <si>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</si>
  <si>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</si>
  <si>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</si>
  <si>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</si>
  <si>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</si>
  <si>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</si>
  <si>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</si>
  <si>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</si>
  <si>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</si>
  <si>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</si>
  <si>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</si>
  <si>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</si>
  <si>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</si>
  <si>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</si>
  <si>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</si>
  <si>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</si>
  <si>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</si>
  <si>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</si>
  <si>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</si>
  <si>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</si>
  <si>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</si>
  <si>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</si>
  <si>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</si>
  <si>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</si>
  <si>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</si>
  <si>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</si>
  <si>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</si>
  <si>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</si>
  <si>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</si>
  <si>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</si>
  <si>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</si>
  <si>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</si>
  <si>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</si>
  <si>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</si>
  <si>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</si>
  <si>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</si>
  <si>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</si>
  <si>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</si>
  <si>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</si>
  <si>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</si>
  <si>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</si>
  <si>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</si>
  <si>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</si>
  <si>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</si>
  <si>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</si>
  <si>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</si>
  <si>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</si>
  <si>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</si>
  <si>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</si>
  <si>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</si>
  <si>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</si>
  <si>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</si>
  <si>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</si>
  <si>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</si>
  <si>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</si>
  <si>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</si>
  <si>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</si>
  <si>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</si>
  <si>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</si>
  <si>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</si>
  <si>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</si>
  <si>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</si>
  <si>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</si>
  <si>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</si>
  <si>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</si>
  <si>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</si>
  <si>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</si>
  <si>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</si>
  <si>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</si>
  <si>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</si>
  <si>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</si>
  <si>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</si>
  <si>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</si>
  <si>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</si>
  <si>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</si>
  <si>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</si>
  <si>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</si>
  <si>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</si>
  <si>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</si>
  <si>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</si>
  <si>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</si>
  <si>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</si>
  <si>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</si>
  <si>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</si>
  <si>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</si>
  <si>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</si>
  <si>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</si>
  <si>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</si>
  <si>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</si>
  <si>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</si>
  <si>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</si>
  <si>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</si>
  <si>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</si>
  <si>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</si>
  <si>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</si>
  <si>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</si>
  <si>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</si>
  <si>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</si>
  <si>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</si>
  <si>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</si>
  <si>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</si>
  <si>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</si>
  <si>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</si>
  <si>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</si>
  <si>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</si>
  <si>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</si>
  <si>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</si>
  <si>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</si>
  <si>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</si>
  <si>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</si>
  <si>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</si>
  <si>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</si>
  <si>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</si>
  <si>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</si>
  <si>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</si>
  <si>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</si>
  <si>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</si>
  <si>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</si>
  <si>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</si>
  <si>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</si>
  <si>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</si>
  <si>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</si>
  <si>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</si>
  <si>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</si>
  <si>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</si>
  <si>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</si>
  <si>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</si>
  <si>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</si>
  <si>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</si>
  <si>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</si>
  <si>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</si>
  <si>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</si>
  <si>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</si>
  <si>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</si>
  <si>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</si>
  <si>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</si>
  <si>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</si>
  <si>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</si>
  <si>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</si>
  <si>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</si>
  <si>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</si>
  <si>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</si>
  <si>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</si>
  <si>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</si>
  <si>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</si>
  <si>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</si>
  <si>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</si>
  <si>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</si>
  <si>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</si>
  <si>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</si>
  <si>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</si>
  <si>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</si>
  <si>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</si>
  <si>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</si>
  <si>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</si>
  <si>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</si>
  <si>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</si>
  <si>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</si>
  <si>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</si>
  <si>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</si>
  <si>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</si>
  <si>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</si>
  <si>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</si>
  <si>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</si>
  <si>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</si>
  <si>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</si>
  <si>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</si>
  <si>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</si>
  <si>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</si>
  <si>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</si>
  <si>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</si>
  <si>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</si>
  <si>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</si>
  <si>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</si>
  <si>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</si>
  <si>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</si>
  <si>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</si>
  <si>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</si>
  <si>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</si>
  <si>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</si>
  <si>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</si>
  <si>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</si>
  <si>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</si>
  <si>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</si>
  <si>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</si>
  <si>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</si>
  <si>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</si>
  <si>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</si>
  <si>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</si>
  <si>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</si>
  <si>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</si>
  <si>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</si>
  <si>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</si>
  <si>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</si>
  <si>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</si>
  <si>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</si>
  <si>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</si>
  <si>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</si>
  <si>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</si>
  <si>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</si>
  <si>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</si>
  <si>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</si>
  <si>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</si>
  <si>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</si>
  <si>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</si>
  <si>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</si>
  <si>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</si>
  <si>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</si>
  <si>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</si>
  <si>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</si>
  <si>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</si>
  <si>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</si>
  <si>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</si>
  <si>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</si>
  <si>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</si>
  <si>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</si>
  <si>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</si>
  <si>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</si>
  <si>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</si>
  <si>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</si>
  <si>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</si>
  <si>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</si>
  <si>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</si>
  <si>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</si>
  <si>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</si>
  <si>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</si>
  <si>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</si>
  <si>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</si>
  <si>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</si>
  <si>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</si>
  <si>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</si>
  <si>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</si>
  <si>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</si>
  <si>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</si>
  <si>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</si>
  <si>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</si>
  <si>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</si>
  <si>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</si>
  <si>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</si>
  <si>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</si>
  <si>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</si>
  <si>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</si>
  <si>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</si>
  <si>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</si>
  <si>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</si>
  <si>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</si>
  <si>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</si>
  <si>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</si>
  <si>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</si>
  <si>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Utility Name: Wasaga Distribution Inc.</t>
  </si>
  <si>
    <t>Y</t>
  </si>
  <si>
    <t>N</t>
  </si>
  <si>
    <t>Deemed Interest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</si>
</sst>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47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3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3" xfId="0" applyNumberFormat="1" applyBorder="1" applyAlignment="1">
      <alignment vertical="top"/>
    </xf>
    <xf numFmtId="37" fontId="0" fillId="0" borderId="13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37" fontId="0" fillId="0" borderId="22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0" fillId="0" borderId="24" xfId="0" applyBorder="1" applyAlignment="1">
      <alignment horizontal="center" vertical="top"/>
    </xf>
    <xf numFmtId="0" fontId="0" fillId="0" borderId="23" xfId="0" applyFont="1" applyBorder="1" applyAlignment="1" applyProtection="1">
      <alignment vertical="top"/>
      <protection/>
    </xf>
    <xf numFmtId="0" fontId="15" fillId="0" borderId="23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7" fillId="0" borderId="23" xfId="0" applyFont="1" applyBorder="1" applyAlignment="1" applyProtection="1">
      <alignment vertical="top"/>
      <protection/>
    </xf>
    <xf numFmtId="0" fontId="0" fillId="0" borderId="23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4" fillId="0" borderId="23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3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 quotePrefix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16" fillId="0" borderId="2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16" fillId="0" borderId="23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3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6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3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41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13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4" xfId="0" applyFill="1" applyBorder="1" applyAlignment="1" applyProtection="1">
      <alignment horizontal="center" vertical="top"/>
      <protection/>
    </xf>
    <xf numFmtId="10" fontId="0" fillId="36" borderId="1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37" fontId="0" fillId="36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 quotePrefix="1">
      <alignment vertical="top"/>
      <protection locked="0"/>
    </xf>
    <xf numFmtId="3" fontId="0" fillId="36" borderId="13" xfId="0" applyNumberFormat="1" applyFill="1" applyBorder="1" applyAlignment="1">
      <alignment vertical="top"/>
    </xf>
    <xf numFmtId="0" fontId="3" fillId="38" borderId="14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6" xfId="0" applyNumberFormat="1" applyFill="1" applyBorder="1" applyAlignment="1" applyProtection="1">
      <alignment horizontal="center" vertical="top"/>
      <protection locked="0"/>
    </xf>
    <xf numFmtId="3" fontId="0" fillId="37" borderId="13" xfId="0" applyNumberFormat="1" applyFill="1" applyBorder="1" applyAlignment="1">
      <alignment vertical="top"/>
    </xf>
    <xf numFmtId="3" fontId="0" fillId="37" borderId="13" xfId="0" applyNumberFormat="1" applyFill="1" applyBorder="1" applyAlignment="1" applyProtection="1">
      <alignment vertical="top"/>
      <protection locked="0"/>
    </xf>
    <xf numFmtId="3" fontId="0" fillId="40" borderId="13" xfId="0" applyNumberFormat="1" applyFill="1" applyBorder="1" applyAlignment="1">
      <alignment vertical="top"/>
    </xf>
    <xf numFmtId="10" fontId="0" fillId="37" borderId="13" xfId="0" applyNumberFormat="1" applyFill="1" applyBorder="1" applyAlignment="1" applyProtection="1" quotePrefix="1">
      <alignment vertical="top"/>
      <protection/>
    </xf>
    <xf numFmtId="37" fontId="0" fillId="37" borderId="13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172" fontId="0" fillId="36" borderId="13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horizontal="right" vertical="top"/>
      <protection/>
    </xf>
    <xf numFmtId="3" fontId="0" fillId="36" borderId="13" xfId="0" applyNumberFormat="1" applyFill="1" applyBorder="1" applyAlignment="1" applyProtection="1">
      <alignment horizontal="right" vertical="top"/>
      <protection/>
    </xf>
    <xf numFmtId="0" fontId="0" fillId="36" borderId="13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vertical="top" wrapText="1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0" fontId="0" fillId="36" borderId="13" xfId="0" applyFont="1" applyFill="1" applyBorder="1" applyAlignment="1" applyProtection="1">
      <alignment horizontal="center" vertical="top"/>
      <protection/>
    </xf>
    <xf numFmtId="0" fontId="0" fillId="36" borderId="13" xfId="0" applyFont="1" applyFill="1" applyBorder="1" applyAlignment="1" applyProtection="1">
      <alignment vertical="top" wrapText="1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>
      <alignment vertical="top"/>
    </xf>
    <xf numFmtId="3" fontId="0" fillId="37" borderId="13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3" xfId="0" applyNumberFormat="1" applyFill="1" applyBorder="1" applyAlignment="1">
      <alignment horizontal="right" vertical="top"/>
    </xf>
    <xf numFmtId="3" fontId="0" fillId="41" borderId="13" xfId="0" applyNumberFormat="1" applyFill="1" applyBorder="1" applyAlignment="1">
      <alignment horizontal="right" vertical="top"/>
    </xf>
    <xf numFmtId="3" fontId="0" fillId="36" borderId="13" xfId="0" applyNumberFormat="1" applyFill="1" applyBorder="1" applyAlignment="1" applyProtection="1">
      <alignment horizontal="right" vertical="top"/>
      <protection locked="0"/>
    </xf>
    <xf numFmtId="0" fontId="0" fillId="36" borderId="13" xfId="0" applyFill="1" applyBorder="1" applyAlignment="1" applyProtection="1" quotePrefix="1">
      <alignment vertical="top" wrapText="1"/>
      <protection/>
    </xf>
    <xf numFmtId="0" fontId="4" fillId="36" borderId="13" xfId="0" applyFon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 quotePrefix="1">
      <alignment vertical="top"/>
      <protection/>
    </xf>
    <xf numFmtId="0" fontId="5" fillId="36" borderId="13" xfId="0" applyFont="1" applyFill="1" applyBorder="1" applyAlignment="1">
      <alignment vertical="top"/>
    </xf>
    <xf numFmtId="37" fontId="0" fillId="36" borderId="14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1" borderId="13" xfId="0" applyNumberFormat="1" applyFill="1" applyBorder="1" applyAlignment="1">
      <alignment vertical="top"/>
    </xf>
    <xf numFmtId="3" fontId="0" fillId="41" borderId="13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3" xfId="0" applyNumberFormat="1" applyFill="1" applyBorder="1" applyAlignment="1" applyProtection="1">
      <alignment horizontal="right" vertical="top"/>
      <protection/>
    </xf>
    <xf numFmtId="37" fontId="0" fillId="41" borderId="13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3" xfId="0" applyNumberFormat="1" applyFill="1" applyBorder="1" applyAlignment="1" applyProtection="1" quotePrefix="1">
      <alignment vertical="top"/>
      <protection/>
    </xf>
    <xf numFmtId="172" fontId="0" fillId="37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>
      <alignment/>
      <protection/>
    </xf>
    <xf numFmtId="3" fontId="0" fillId="37" borderId="13" xfId="0" applyNumberFormat="1" applyFill="1" applyBorder="1" applyAlignment="1" applyProtection="1" quotePrefix="1">
      <alignment/>
      <protection/>
    </xf>
    <xf numFmtId="37" fontId="0" fillId="37" borderId="13" xfId="0" applyNumberFormat="1" applyFill="1" applyBorder="1" applyAlignment="1" applyProtection="1">
      <alignment/>
      <protection locked="0"/>
    </xf>
    <xf numFmtId="37" fontId="0" fillId="37" borderId="14" xfId="0" applyNumberFormat="1" applyFill="1" applyBorder="1" applyAlignment="1" applyProtection="1">
      <alignment/>
      <protection/>
    </xf>
    <xf numFmtId="172" fontId="0" fillId="37" borderId="13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" fontId="0" fillId="37" borderId="13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10" fontId="0" fillId="36" borderId="13" xfId="0" applyNumberFormat="1" applyFill="1" applyBorder="1" applyAlignment="1" applyProtection="1" quotePrefix="1">
      <alignment horizontal="right" vertical="top"/>
      <protection/>
    </xf>
    <xf numFmtId="3" fontId="0" fillId="36" borderId="13" xfId="0" applyNumberFormat="1" applyFill="1" applyBorder="1" applyAlignment="1" applyProtection="1">
      <alignment/>
      <protection/>
    </xf>
    <xf numFmtId="3" fontId="0" fillId="40" borderId="13" xfId="0" applyNumberFormat="1" applyFill="1" applyBorder="1" applyAlignment="1">
      <alignment/>
    </xf>
    <xf numFmtId="3" fontId="0" fillId="36" borderId="13" xfId="0" applyNumberFormat="1" applyFont="1" applyFill="1" applyBorder="1" applyAlignment="1" applyProtection="1">
      <alignment horizontal="right" vertical="top"/>
      <protection/>
    </xf>
    <xf numFmtId="3" fontId="0" fillId="36" borderId="13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3" xfId="0" applyNumberFormat="1" applyFill="1" applyBorder="1" applyAlignment="1" applyProtection="1">
      <alignment horizontal="right" vertical="top"/>
      <protection locked="0"/>
    </xf>
    <xf numFmtId="3" fontId="0" fillId="36" borderId="13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3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7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3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3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3" xfId="0" applyFont="1" applyBorder="1" applyAlignment="1" applyProtection="1">
      <alignment vertical="top"/>
      <protection/>
    </xf>
    <xf numFmtId="10" fontId="0" fillId="41" borderId="13" xfId="0" applyNumberFormat="1" applyFill="1" applyBorder="1" applyAlignment="1">
      <alignment vertical="top"/>
    </xf>
    <xf numFmtId="10" fontId="0" fillId="36" borderId="13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3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3" xfId="0" applyFill="1" applyBorder="1" applyAlignment="1" applyProtection="1">
      <alignment horizontal="center" vertical="top"/>
      <protection locked="0"/>
    </xf>
    <xf numFmtId="37" fontId="19" fillId="36" borderId="13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0" fillId="34" borderId="0" xfId="0" applyFill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3" fontId="0" fillId="36" borderId="13" xfId="0" applyNumberFormat="1" applyFill="1" applyBorder="1" applyAlignment="1">
      <alignment horizontal="right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3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3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3" xfId="0" applyNumberFormat="1" applyFill="1" applyBorder="1" applyAlignment="1" applyProtection="1" quotePrefix="1">
      <alignment/>
      <protection/>
    </xf>
    <xf numFmtId="3" fontId="0" fillId="42" borderId="13" xfId="0" applyNumberFormat="1" applyFill="1" applyBorder="1" applyAlignment="1" applyProtection="1">
      <alignment vertical="top"/>
      <protection/>
    </xf>
    <xf numFmtId="10" fontId="0" fillId="43" borderId="13" xfId="0" applyNumberFormat="1" applyFill="1" applyBorder="1" applyAlignment="1" applyProtection="1" quotePrefix="1">
      <alignment vertical="top"/>
      <protection/>
    </xf>
    <xf numFmtId="37" fontId="0" fillId="43" borderId="13" xfId="0" applyNumberFormat="1" applyFill="1" applyBorder="1" applyAlignment="1" applyProtection="1">
      <alignment/>
      <protection/>
    </xf>
    <xf numFmtId="3" fontId="0" fillId="41" borderId="13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8" fillId="36" borderId="13" xfId="0" applyNumberFormat="1" applyFont="1" applyFill="1" applyBorder="1" applyAlignment="1" applyProtection="1">
      <alignment horizontal="right" vertical="top"/>
      <protection/>
    </xf>
    <xf numFmtId="3" fontId="0" fillId="41" borderId="13" xfId="0" applyNumberFormat="1" applyFill="1" applyBorder="1" applyAlignment="1" applyProtection="1">
      <alignment vertical="top"/>
      <protection/>
    </xf>
    <xf numFmtId="37" fontId="0" fillId="0" borderId="13" xfId="0" applyNumberForma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 vertical="top"/>
      <protection/>
    </xf>
    <xf numFmtId="3" fontId="0" fillId="41" borderId="13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3" xfId="0" applyNumberFormat="1" applyFont="1" applyFill="1" applyBorder="1" applyAlignment="1" applyProtection="1">
      <alignment/>
      <protection/>
    </xf>
    <xf numFmtId="37" fontId="3" fillId="37" borderId="13" xfId="0" applyNumberFormat="1" applyFont="1" applyFill="1" applyBorder="1" applyAlignment="1" applyProtection="1">
      <alignment vertical="top"/>
      <protection/>
    </xf>
    <xf numFmtId="3" fontId="0" fillId="0" borderId="17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41" borderId="16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0" fillId="0" borderId="23" xfId="0" applyFont="1" applyFill="1" applyBorder="1" applyAlignment="1" applyProtection="1">
      <alignment vertical="top"/>
      <protection/>
    </xf>
    <xf numFmtId="0" fontId="57" fillId="0" borderId="0" xfId="0" applyFont="1" applyAlignment="1">
      <alignment vertical="top"/>
    </xf>
    <xf numFmtId="10" fontId="0" fillId="0" borderId="0" xfId="63" applyFont="1" applyFill="1" applyBorder="1" applyAlignment="1" applyProtection="1">
      <alignment vertical="top"/>
      <protection locked="0"/>
    </xf>
    <xf numFmtId="10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2" xfId="0" applyFont="1" applyFill="1" applyBorder="1" applyAlignment="1" applyProtection="1">
      <alignment vertical="top" wrapText="1"/>
      <protection locked="0"/>
    </xf>
    <xf numFmtId="0" fontId="27" fillId="0" borderId="12" xfId="0" applyFont="1" applyBorder="1" applyAlignment="1">
      <alignment vertical="top" wrapText="1"/>
    </xf>
    <xf numFmtId="0" fontId="25" fillId="0" borderId="12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6" xfId="0" applyFont="1" applyFill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/>
    </xf>
    <xf numFmtId="0" fontId="3" fillId="37" borderId="16" xfId="0" applyFon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409</v>
      </c>
      <c r="C1" s="8"/>
      <c r="E1" s="2" t="s">
        <v>410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443</v>
      </c>
      <c r="C3" s="8"/>
      <c r="D3" s="427" t="s">
        <v>397</v>
      </c>
      <c r="E3" s="8"/>
      <c r="F3" s="8"/>
      <c r="G3" s="8"/>
      <c r="H3" s="8"/>
    </row>
    <row r="4" spans="1:8" ht="12.75">
      <c r="A4" s="2" t="s">
        <v>427</v>
      </c>
      <c r="C4" s="8"/>
      <c r="D4" s="426" t="s">
        <v>392</v>
      </c>
      <c r="E4" s="414"/>
      <c r="H4" s="8"/>
    </row>
    <row r="5" spans="1:8" ht="12.75">
      <c r="A5" s="49"/>
      <c r="C5" s="8"/>
      <c r="D5" s="425" t="s">
        <v>393</v>
      </c>
      <c r="E5" s="388"/>
      <c r="H5" s="8"/>
    </row>
    <row r="6" spans="1:8" ht="12.75">
      <c r="A6" s="2" t="s">
        <v>122</v>
      </c>
      <c r="B6" s="385">
        <v>365</v>
      </c>
      <c r="C6" s="8" t="s">
        <v>123</v>
      </c>
      <c r="D6" s="21"/>
      <c r="H6" s="8"/>
    </row>
    <row r="7" spans="1:8" ht="13.5" thickBot="1">
      <c r="A7" s="49" t="s">
        <v>250</v>
      </c>
      <c r="B7" s="245">
        <v>365</v>
      </c>
      <c r="C7" s="8" t="s">
        <v>123</v>
      </c>
      <c r="D7" s="8"/>
      <c r="E7" s="8"/>
      <c r="F7" s="8"/>
      <c r="G7" s="8"/>
      <c r="H7" s="8"/>
    </row>
    <row r="8" spans="1:16" ht="13.5" thickTop="1">
      <c r="A8" s="7"/>
      <c r="B8" s="50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53" t="s">
        <v>444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53" t="s">
        <v>445</v>
      </c>
    </row>
    <row r="16" spans="1:4" ht="7.5" customHeight="1">
      <c r="A16" s="45"/>
      <c r="C16" s="8"/>
      <c r="D16" s="8"/>
    </row>
    <row r="17" spans="1:4" ht="13.5" thickBot="1">
      <c r="A17" s="45" t="s">
        <v>181</v>
      </c>
      <c r="C17" s="8" t="s">
        <v>64</v>
      </c>
      <c r="D17" s="453" t="s">
        <v>445</v>
      </c>
    </row>
    <row r="18" spans="1:4" ht="15" customHeight="1">
      <c r="A18" s="386" t="s">
        <v>309</v>
      </c>
      <c r="C18" s="8"/>
      <c r="D18" s="8"/>
    </row>
    <row r="19" spans="1:4" ht="15" customHeight="1">
      <c r="A19" s="460" t="s">
        <v>310</v>
      </c>
      <c r="B19" s="8" t="s">
        <v>307</v>
      </c>
      <c r="C19" s="8" t="s">
        <v>64</v>
      </c>
      <c r="D19" s="454" t="s">
        <v>445</v>
      </c>
    </row>
    <row r="20" spans="1:4" ht="13.5" thickBot="1">
      <c r="A20" s="461"/>
      <c r="B20" s="8" t="s">
        <v>308</v>
      </c>
      <c r="C20" s="8" t="s">
        <v>64</v>
      </c>
      <c r="D20" s="453" t="s">
        <v>445</v>
      </c>
    </row>
    <row r="21" spans="1:4" ht="12.75">
      <c r="A21" s="460" t="s">
        <v>306</v>
      </c>
      <c r="B21" s="8" t="s">
        <v>307</v>
      </c>
      <c r="C21" s="8"/>
      <c r="D21" s="409">
        <v>0</v>
      </c>
    </row>
    <row r="22" spans="1:4" ht="12.75">
      <c r="A22" s="460"/>
      <c r="B22" s="8" t="s">
        <v>308</v>
      </c>
      <c r="C22" s="8"/>
      <c r="D22" s="409">
        <v>0</v>
      </c>
    </row>
    <row r="23" spans="1:4" ht="7.5" customHeight="1">
      <c r="A23" s="45"/>
      <c r="C23" s="8"/>
      <c r="D23" s="385"/>
    </row>
    <row r="24" spans="1:4" ht="12.75">
      <c r="A24" s="45" t="s">
        <v>207</v>
      </c>
      <c r="C24" s="8" t="s">
        <v>208</v>
      </c>
      <c r="D24" s="410" t="s">
        <v>428</v>
      </c>
    </row>
    <row r="25" ht="6.75" customHeight="1" thickBot="1">
      <c r="A25" s="12"/>
    </row>
    <row r="26" spans="1:5" ht="12.75">
      <c r="A26" s="251" t="s">
        <v>67</v>
      </c>
      <c r="C26" s="8"/>
      <c r="E26" s="419" t="s">
        <v>291</v>
      </c>
    </row>
    <row r="27" spans="1:5" ht="12.75">
      <c r="A27" s="252" t="s">
        <v>68</v>
      </c>
      <c r="C27" s="8"/>
      <c r="E27" s="420" t="s">
        <v>292</v>
      </c>
    </row>
    <row r="28" spans="1:3" ht="12.75">
      <c r="A28" s="252" t="s">
        <v>69</v>
      </c>
      <c r="C28" s="38"/>
    </row>
    <row r="29" ht="12.75">
      <c r="A29" s="253" t="s">
        <v>70</v>
      </c>
    </row>
    <row r="30" ht="12.75">
      <c r="A30" s="35"/>
    </row>
    <row r="31" spans="1:8" ht="12.75">
      <c r="A31" t="s">
        <v>281</v>
      </c>
      <c r="D31" s="407">
        <v>9291089.22</v>
      </c>
      <c r="H31" s="5"/>
    </row>
    <row r="32" ht="6" customHeight="1"/>
    <row r="33" spans="1:8" ht="12.75">
      <c r="A33" t="s">
        <v>71</v>
      </c>
      <c r="D33" s="408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72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8">
        <v>0.0988</v>
      </c>
      <c r="H37" s="41"/>
    </row>
    <row r="38" ht="4.5" customHeight="1">
      <c r="H38" s="34"/>
    </row>
    <row r="39" spans="1:8" ht="12.75">
      <c r="A39" t="s">
        <v>74</v>
      </c>
      <c r="D39" s="408">
        <v>0.0725</v>
      </c>
      <c r="H39" s="41"/>
    </row>
    <row r="40" ht="6" customHeight="1">
      <c r="H40" s="34"/>
    </row>
    <row r="41" spans="1:8" ht="12.75">
      <c r="A41" t="s">
        <v>75</v>
      </c>
      <c r="D41" s="247">
        <f>D31*((D33*D37)+(D35*D39))</f>
        <v>795781.7916930001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1">
        <v>80060.92</v>
      </c>
      <c r="E43" s="384">
        <f>D43</f>
        <v>80060.92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7">
        <f>D41-D43</f>
        <v>715720.8716930001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12">
        <f>D45/3</f>
        <v>238573.6238976667</v>
      </c>
      <c r="E47" s="384">
        <f aca="true" t="shared" si="0" ref="E47:E53">D47</f>
        <v>238573.6238976667</v>
      </c>
      <c r="H47" s="40"/>
      <c r="J47" s="5"/>
      <c r="K47" s="5"/>
    </row>
    <row r="48" spans="1:11" ht="12.75">
      <c r="A48" t="s">
        <v>284</v>
      </c>
      <c r="D48" s="412">
        <f>D45/3</f>
        <v>238573.6238976667</v>
      </c>
      <c r="E48" s="384">
        <f>D48</f>
        <v>238573.6238976667</v>
      </c>
      <c r="F48" s="22"/>
      <c r="H48" s="40"/>
      <c r="J48" s="5"/>
      <c r="K48" s="5"/>
    </row>
    <row r="49" spans="1:11" ht="12.75">
      <c r="A49" t="s">
        <v>285</v>
      </c>
      <c r="D49" s="413">
        <f>D45/3</f>
        <v>238573.6238976667</v>
      </c>
      <c r="E49" s="384">
        <v>0</v>
      </c>
      <c r="F49" s="22"/>
      <c r="H49" s="40"/>
      <c r="J49" s="5"/>
      <c r="K49" s="5"/>
    </row>
    <row r="50" spans="1:11" ht="12.75">
      <c r="A50" t="s">
        <v>286</v>
      </c>
      <c r="D50" s="414"/>
      <c r="E50" s="384">
        <f t="shared" si="0"/>
        <v>0</v>
      </c>
      <c r="H50" s="40"/>
      <c r="J50" s="5"/>
      <c r="K50" s="5"/>
    </row>
    <row r="51" spans="1:11" ht="12.75">
      <c r="A51" t="s">
        <v>390</v>
      </c>
      <c r="D51" s="414"/>
      <c r="E51" s="384">
        <f t="shared" si="0"/>
        <v>0</v>
      </c>
      <c r="H51" s="40"/>
      <c r="J51" s="5"/>
      <c r="K51" s="5"/>
    </row>
    <row r="52" spans="1:11" ht="12.75">
      <c r="A52" t="s">
        <v>411</v>
      </c>
      <c r="D52" s="414"/>
      <c r="E52" s="384">
        <f t="shared" si="0"/>
        <v>0</v>
      </c>
      <c r="H52" s="40"/>
      <c r="J52" s="5"/>
      <c r="K52" s="5"/>
    </row>
    <row r="53" spans="4:11" ht="12.75">
      <c r="D53" s="414"/>
      <c r="E53" s="384">
        <f t="shared" si="0"/>
        <v>0</v>
      </c>
      <c r="H53" s="40"/>
      <c r="J53" s="5"/>
      <c r="K53" s="5"/>
    </row>
    <row r="54" spans="1:11" ht="12.75">
      <c r="A54" s="2" t="s">
        <v>287</v>
      </c>
      <c r="E54" s="250">
        <f>SUM(E43:E53)</f>
        <v>557208.1677953333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8">
        <f>D31*D33</f>
        <v>4645544.61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8">
        <f>D56*D37</f>
        <v>458979.80746800004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8">
        <f>D31*D35</f>
        <v>4645544.61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48">
        <f>D60*D39</f>
        <v>336801.984225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49">
        <f>IF(D41&gt;0,(((D43+D47)/D41)*D62),0)</f>
        <v>134857.00194151097</v>
      </c>
      <c r="F64" s="5"/>
      <c r="H64" s="32"/>
      <c r="J64" s="5"/>
      <c r="K64" s="5"/>
    </row>
    <row r="65" spans="1:11" ht="12.75">
      <c r="A65" s="33" t="s">
        <v>367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49">
        <f>IF(D41&gt;0,(((D43+D47+D48)/D41)*D62),0)</f>
        <v>235829.49308325545</v>
      </c>
      <c r="F66" s="5"/>
      <c r="H66" s="32"/>
      <c r="J66" s="5"/>
      <c r="K66" s="5"/>
    </row>
    <row r="67" spans="1:11" ht="12.75">
      <c r="A67" s="33" t="s">
        <v>368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49">
        <f>IF(D41&gt;0,(((D43+D47+D48)/D41)*D62),0)</f>
        <v>235829.49308325545</v>
      </c>
      <c r="F68" s="5"/>
      <c r="H68" s="32"/>
      <c r="J68" s="5"/>
    </row>
    <row r="69" spans="1:10" ht="12.75">
      <c r="A69" s="33" t="s">
        <v>369</v>
      </c>
      <c r="B69" s="5"/>
      <c r="C69" s="5"/>
      <c r="D69" s="5"/>
      <c r="F69" s="5"/>
      <c r="H69" s="32"/>
      <c r="J69" s="5"/>
    </row>
    <row r="70" spans="1:10" ht="12.75">
      <c r="A70" s="45" t="s">
        <v>398</v>
      </c>
      <c r="B70" s="5"/>
      <c r="C70" s="5"/>
      <c r="D70" s="249">
        <f>D62</f>
        <v>336801.984225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3" r:id="rId1"/>
  <headerFooter alignWithMargins="0">
    <oddHeader>&amp;R&amp;9Wasaga Distribution Inc.
EB-2008-0381
Deferred PILs Combined Proceeding
Appendix 17</oddHeader>
    <oddFooter>&amp;L&amp;8June 30, 2012&amp;R&amp;"Arial,Bold"&amp;9&amp;A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Layout" zoomScaleNormal="90" workbookViewId="0" topLeftCell="A16">
      <selection activeCell="A68" sqref="A6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199" t="str">
        <f>REGINFO!A1</f>
        <v>PILs TAXES - EB-2008-381</v>
      </c>
      <c r="B1" s="200" t="s">
        <v>124</v>
      </c>
      <c r="C1" s="201" t="s">
        <v>34</v>
      </c>
      <c r="D1" s="202"/>
      <c r="E1" s="203" t="s">
        <v>23</v>
      </c>
      <c r="F1" s="204" t="s">
        <v>23</v>
      </c>
      <c r="G1" s="205" t="s">
        <v>413</v>
      </c>
      <c r="H1" s="206"/>
    </row>
    <row r="2" spans="1:8" ht="12.75">
      <c r="A2" s="207" t="s">
        <v>412</v>
      </c>
      <c r="B2" s="208"/>
      <c r="C2" s="209" t="s">
        <v>35</v>
      </c>
      <c r="D2" s="210"/>
      <c r="E2" s="211" t="s">
        <v>24</v>
      </c>
      <c r="F2" s="212" t="s">
        <v>24</v>
      </c>
      <c r="G2" s="179" t="s">
        <v>414</v>
      </c>
      <c r="H2" s="213"/>
    </row>
    <row r="3" spans="1:8" ht="12.75">
      <c r="A3" s="207" t="s">
        <v>49</v>
      </c>
      <c r="B3" s="214"/>
      <c r="C3" s="215"/>
      <c r="D3" s="210"/>
      <c r="E3" s="133" t="s">
        <v>21</v>
      </c>
      <c r="F3" s="216" t="s">
        <v>21</v>
      </c>
      <c r="G3" s="133"/>
      <c r="H3" s="213"/>
    </row>
    <row r="4" spans="1:8" ht="12.75">
      <c r="A4" s="217" t="s">
        <v>41</v>
      </c>
      <c r="B4" s="218"/>
      <c r="C4" s="215"/>
      <c r="D4" s="210"/>
      <c r="E4" s="133" t="s">
        <v>244</v>
      </c>
      <c r="F4" s="216" t="s">
        <v>22</v>
      </c>
      <c r="G4" s="133"/>
      <c r="H4" s="213"/>
    </row>
    <row r="5" spans="1:8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</row>
    <row r="6" spans="1:8" ht="12.75">
      <c r="A6" s="207" t="str">
        <f>REGINFO!A3</f>
        <v>Utility Name: Wasaga Distribution Inc.</v>
      </c>
      <c r="B6" s="111"/>
      <c r="D6" s="133"/>
      <c r="E6" s="111"/>
      <c r="G6" s="111"/>
      <c r="H6" s="429"/>
    </row>
    <row r="7" spans="1:8" ht="12.75">
      <c r="A7" s="207" t="str">
        <f>REGINFO!A4</f>
        <v>Reporting period:  2003</v>
      </c>
      <c r="B7" s="111"/>
      <c r="D7" s="133"/>
      <c r="E7" s="111"/>
      <c r="G7" s="111"/>
      <c r="H7" s="429"/>
    </row>
    <row r="8" spans="2:12" ht="12.75">
      <c r="B8" s="218"/>
      <c r="C8" s="226"/>
      <c r="D8" s="210"/>
      <c r="E8" s="133"/>
      <c r="F8" s="216"/>
      <c r="G8" s="179" t="s">
        <v>87</v>
      </c>
      <c r="H8" s="213"/>
      <c r="J8" s="47" t="s">
        <v>125</v>
      </c>
      <c r="K8" s="47"/>
      <c r="L8" s="47"/>
    </row>
    <row r="9" spans="1:8" ht="12.75">
      <c r="A9" s="207" t="s">
        <v>122</v>
      </c>
      <c r="B9" s="415">
        <f>REGINFO!B6</f>
        <v>365</v>
      </c>
      <c r="C9" s="227" t="s">
        <v>123</v>
      </c>
      <c r="D9" s="210"/>
      <c r="E9" s="133"/>
      <c r="F9" s="216"/>
      <c r="G9" s="179" t="s">
        <v>90</v>
      </c>
      <c r="H9" s="213"/>
    </row>
    <row r="10" spans="1:8" ht="12.75">
      <c r="A10" s="207" t="s">
        <v>250</v>
      </c>
      <c r="B10" s="415">
        <f>REGINFO!B7</f>
        <v>365</v>
      </c>
      <c r="C10" s="227" t="s">
        <v>123</v>
      </c>
      <c r="D10" s="210"/>
      <c r="E10" s="228"/>
      <c r="F10" s="216"/>
      <c r="G10" s="229" t="s">
        <v>88</v>
      </c>
      <c r="H10" s="213"/>
    </row>
    <row r="11" spans="1:8" ht="12.75">
      <c r="A11" s="149"/>
      <c r="B11" s="119"/>
      <c r="C11" s="100"/>
      <c r="D11" s="17"/>
      <c r="E11" s="134"/>
      <c r="F11" s="20"/>
      <c r="G11" s="139" t="s">
        <v>89</v>
      </c>
      <c r="H11" s="147"/>
    </row>
    <row r="12" spans="1:8" ht="13.5" thickBot="1">
      <c r="A12" s="149"/>
      <c r="B12" s="218"/>
      <c r="C12" s="215" t="s">
        <v>25</v>
      </c>
      <c r="D12" s="210"/>
      <c r="E12" s="215" t="s">
        <v>25</v>
      </c>
      <c r="F12" s="216"/>
      <c r="G12" s="215" t="s">
        <v>25</v>
      </c>
      <c r="H12" s="213"/>
    </row>
    <row r="13" spans="1:8" ht="13.5" thickTop="1">
      <c r="A13" s="146"/>
      <c r="B13" s="219"/>
      <c r="C13" s="220"/>
      <c r="D13" s="221"/>
      <c r="E13" s="222"/>
      <c r="F13" s="223"/>
      <c r="G13" s="224"/>
      <c r="H13" s="225"/>
    </row>
    <row r="14" spans="1:8" ht="12.75">
      <c r="A14" s="150" t="s">
        <v>30</v>
      </c>
      <c r="B14" s="117" t="s">
        <v>100</v>
      </c>
      <c r="C14" s="101"/>
      <c r="D14" s="17"/>
      <c r="E14" s="134"/>
      <c r="F14" s="3"/>
      <c r="G14" s="180"/>
      <c r="H14" s="147"/>
    </row>
    <row r="15" spans="2:8" ht="12.75">
      <c r="B15" s="118"/>
      <c r="C15" s="101"/>
      <c r="D15" s="17"/>
      <c r="E15" s="134"/>
      <c r="F15" s="3"/>
      <c r="G15" s="180"/>
      <c r="H15" s="147"/>
    </row>
    <row r="16" spans="1:8" ht="12.75">
      <c r="A16" s="151" t="s">
        <v>334</v>
      </c>
      <c r="B16" s="121">
        <v>1</v>
      </c>
      <c r="C16" s="255">
        <f>REGINFO!E54</f>
        <v>557208.1677953333</v>
      </c>
      <c r="D16" s="17"/>
      <c r="E16" s="263">
        <f>G16-C16</f>
        <v>462220.8322046667</v>
      </c>
      <c r="F16" s="3"/>
      <c r="G16" s="263">
        <f>TAXREC!E50</f>
        <v>1019429</v>
      </c>
      <c r="H16" s="147"/>
    </row>
    <row r="17" spans="1:8" ht="12.75">
      <c r="A17" s="148"/>
      <c r="B17" s="121"/>
      <c r="C17" s="102"/>
      <c r="D17" s="17"/>
      <c r="E17" s="135"/>
      <c r="F17" s="3"/>
      <c r="G17" s="135"/>
      <c r="H17" s="147"/>
    </row>
    <row r="18" spans="1:8" ht="12.75">
      <c r="A18" s="148" t="s">
        <v>26</v>
      </c>
      <c r="B18" s="121"/>
      <c r="C18" s="102"/>
      <c r="D18" s="17"/>
      <c r="E18" s="135"/>
      <c r="F18" s="3"/>
      <c r="G18" s="135"/>
      <c r="H18" s="147"/>
    </row>
    <row r="19" spans="1:8" ht="12.75">
      <c r="A19" s="152" t="s">
        <v>203</v>
      </c>
      <c r="B19" s="122"/>
      <c r="C19" s="101"/>
      <c r="D19" s="18"/>
      <c r="E19" s="135"/>
      <c r="F19" s="6"/>
      <c r="G19" s="135"/>
      <c r="H19" s="147"/>
    </row>
    <row r="20" spans="1:8" ht="12.75">
      <c r="A20" s="153" t="s">
        <v>4</v>
      </c>
      <c r="B20" s="123">
        <v>2</v>
      </c>
      <c r="C20" s="257">
        <v>428779</v>
      </c>
      <c r="D20" s="18"/>
      <c r="E20" s="263">
        <f>G20-C20</f>
        <v>83857</v>
      </c>
      <c r="F20" s="6"/>
      <c r="G20" s="263">
        <f>TAXREC!E61</f>
        <v>512636</v>
      </c>
      <c r="H20" s="147"/>
    </row>
    <row r="21" spans="1:8" ht="12.75">
      <c r="A21" s="154" t="s">
        <v>56</v>
      </c>
      <c r="B21" s="123">
        <v>3</v>
      </c>
      <c r="C21" s="257"/>
      <c r="D21" s="18"/>
      <c r="E21" s="263">
        <f>G21-C21</f>
        <v>0</v>
      </c>
      <c r="F21" s="6"/>
      <c r="G21" s="263">
        <f>TAXREC!E62</f>
        <v>0</v>
      </c>
      <c r="H21" s="147"/>
    </row>
    <row r="22" spans="1:8" ht="12.75">
      <c r="A22" s="154" t="s">
        <v>258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</row>
    <row r="23" spans="1:8" ht="12.75">
      <c r="A23" s="154" t="s">
        <v>257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</row>
    <row r="24" spans="1:8" ht="12.75">
      <c r="A24" s="154" t="s">
        <v>259</v>
      </c>
      <c r="B24" s="123">
        <v>5</v>
      </c>
      <c r="C24" s="257">
        <v>139716</v>
      </c>
      <c r="D24" s="18"/>
      <c r="E24" s="263">
        <f>G24-C24</f>
        <v>-139716</v>
      </c>
      <c r="F24" s="6"/>
      <c r="G24" s="263">
        <f>TAXREC!E65</f>
        <v>0</v>
      </c>
      <c r="H24" s="147"/>
    </row>
    <row r="25" spans="1:8" ht="12.75">
      <c r="A25" s="154" t="s">
        <v>53</v>
      </c>
      <c r="B25" s="123"/>
      <c r="C25" s="101" t="s">
        <v>100</v>
      </c>
      <c r="D25" s="18"/>
      <c r="E25" s="182"/>
      <c r="F25" s="33"/>
      <c r="G25" s="182"/>
      <c r="H25" s="147"/>
    </row>
    <row r="26" spans="1:8" ht="12.75">
      <c r="A26" s="154" t="s">
        <v>152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</row>
    <row r="27" spans="1:8" ht="12.75">
      <c r="A27" s="154" t="s">
        <v>155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</row>
    <row r="28" spans="1:8" ht="12.75">
      <c r="A28" s="154" t="s">
        <v>154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</row>
    <row r="29" spans="1:8" ht="12.75">
      <c r="A29" s="154" t="s">
        <v>153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</row>
    <row r="30" spans="1:8" ht="15.75">
      <c r="A30" s="445" t="s">
        <v>380</v>
      </c>
      <c r="B30" s="123"/>
      <c r="C30" s="255"/>
      <c r="D30" s="18"/>
      <c r="E30" s="263">
        <f>G30-C30</f>
        <v>0</v>
      </c>
      <c r="F30" s="6"/>
      <c r="G30" s="263">
        <f>TAXREC!E66</f>
        <v>0</v>
      </c>
      <c r="H30" s="147"/>
    </row>
    <row r="31" spans="1:8" ht="12.75">
      <c r="A31" s="154"/>
      <c r="B31" s="123"/>
      <c r="C31" s="101"/>
      <c r="D31" s="18"/>
      <c r="E31" s="135"/>
      <c r="F31" s="6"/>
      <c r="G31" s="135"/>
      <c r="H31" s="147"/>
    </row>
    <row r="32" spans="1:8" ht="12.75">
      <c r="A32" s="152" t="s">
        <v>335</v>
      </c>
      <c r="B32" s="122"/>
      <c r="C32" s="101"/>
      <c r="D32" s="128"/>
      <c r="E32" s="135"/>
      <c r="F32" s="6"/>
      <c r="G32" s="135"/>
      <c r="H32" s="147"/>
    </row>
    <row r="33" spans="1:8" ht="12.75">
      <c r="A33" s="151" t="s">
        <v>101</v>
      </c>
      <c r="B33" s="123">
        <v>7</v>
      </c>
      <c r="C33" s="257">
        <v>312654</v>
      </c>
      <c r="D33" s="128"/>
      <c r="E33" s="263">
        <f aca="true" t="shared" si="0" ref="E33:E42">G33-C33</f>
        <v>40385</v>
      </c>
      <c r="F33" s="6"/>
      <c r="G33" s="263">
        <f>TAXREC!E97+TAXREC!E98</f>
        <v>353039</v>
      </c>
      <c r="H33" s="147"/>
    </row>
    <row r="34" spans="1:8" ht="12.75">
      <c r="A34" s="154" t="s">
        <v>57</v>
      </c>
      <c r="B34" s="123">
        <v>8</v>
      </c>
      <c r="C34" s="257"/>
      <c r="D34" s="128"/>
      <c r="E34" s="263">
        <f t="shared" si="0"/>
        <v>0</v>
      </c>
      <c r="F34" s="6"/>
      <c r="G34" s="263">
        <f>TAXREC!E99</f>
        <v>0</v>
      </c>
      <c r="H34" s="147"/>
    </row>
    <row r="35" spans="1:8" ht="12.75">
      <c r="A35" s="154" t="s">
        <v>45</v>
      </c>
      <c r="B35" s="123">
        <v>9</v>
      </c>
      <c r="C35" s="257">
        <v>0</v>
      </c>
      <c r="D35" s="128"/>
      <c r="E35" s="263">
        <f t="shared" si="0"/>
        <v>0</v>
      </c>
      <c r="F35" s="6"/>
      <c r="G35" s="263">
        <f>TAXREC!E100</f>
        <v>0</v>
      </c>
      <c r="H35" s="147"/>
    </row>
    <row r="36" spans="1:8" ht="12.75">
      <c r="A36" s="154" t="s">
        <v>260</v>
      </c>
      <c r="B36" s="123">
        <v>10</v>
      </c>
      <c r="C36" s="257">
        <v>10215</v>
      </c>
      <c r="D36" s="128"/>
      <c r="E36" s="263">
        <f t="shared" si="0"/>
        <v>-10215</v>
      </c>
      <c r="F36" s="6"/>
      <c r="G36" s="263">
        <f>TAXREC!E102+TAXREC!E103</f>
        <v>0</v>
      </c>
      <c r="H36" s="147"/>
    </row>
    <row r="37" spans="1:8" ht="12.75">
      <c r="A37" s="151" t="s">
        <v>86</v>
      </c>
      <c r="B37" s="121">
        <v>11</v>
      </c>
      <c r="C37" s="256">
        <f>REGINFO!D66</f>
        <v>235829.49308325545</v>
      </c>
      <c r="D37" s="128"/>
      <c r="E37" s="263">
        <f t="shared" si="0"/>
        <v>-63526.49308325545</v>
      </c>
      <c r="F37" s="6"/>
      <c r="G37" s="263">
        <f>TAXREC!E51</f>
        <v>172303</v>
      </c>
      <c r="H37" s="147"/>
    </row>
    <row r="38" spans="1:8" ht="12.75">
      <c r="A38" s="151" t="s">
        <v>256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</row>
    <row r="39" spans="1:8" ht="12.75">
      <c r="A39" s="151" t="s">
        <v>255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</row>
    <row r="40" spans="1:8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</row>
    <row r="41" spans="1:8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</row>
    <row r="42" spans="1:8" ht="12.75">
      <c r="A42" s="151" t="s">
        <v>180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</row>
    <row r="43" spans="1:8" ht="12.75">
      <c r="A43" s="154" t="s">
        <v>54</v>
      </c>
      <c r="B43" s="123"/>
      <c r="C43" s="101"/>
      <c r="D43" s="128"/>
      <c r="E43" s="135"/>
      <c r="F43" s="6"/>
      <c r="G43" s="135"/>
      <c r="H43" s="147"/>
    </row>
    <row r="44" spans="1:8" ht="12.75">
      <c r="A44" s="154" t="s">
        <v>152</v>
      </c>
      <c r="B44" s="123">
        <v>12</v>
      </c>
      <c r="C44" s="257"/>
      <c r="D44" s="128"/>
      <c r="E44" s="263">
        <f>G44-C44</f>
        <v>0</v>
      </c>
      <c r="F44" s="6"/>
      <c r="G44" s="247">
        <f>TAXREC!E130</f>
        <v>0</v>
      </c>
      <c r="H44" s="147"/>
    </row>
    <row r="45" spans="1:8" ht="12.75">
      <c r="A45" s="154" t="s">
        <v>149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</row>
    <row r="46" spans="1:8" ht="12.75">
      <c r="A46" s="154" t="s">
        <v>151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</row>
    <row r="47" spans="1:8" ht="12.75">
      <c r="A47" s="154" t="s">
        <v>150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</row>
    <row r="48" spans="1:8" ht="15.75">
      <c r="A48" s="445" t="s">
        <v>380</v>
      </c>
      <c r="B48" s="123"/>
      <c r="C48" s="255"/>
      <c r="D48" s="128"/>
      <c r="E48" s="263">
        <f>G48-C48</f>
        <v>31260</v>
      </c>
      <c r="F48" s="6"/>
      <c r="G48" s="247">
        <f>TAXREC!E108</f>
        <v>31260</v>
      </c>
      <c r="H48" s="147"/>
    </row>
    <row r="49" spans="1:8" ht="12.75">
      <c r="A49" s="154"/>
      <c r="B49" s="123"/>
      <c r="C49" s="101"/>
      <c r="D49" s="128"/>
      <c r="E49" s="135"/>
      <c r="F49" s="6"/>
      <c r="G49" s="135"/>
      <c r="H49" s="147"/>
    </row>
    <row r="50" spans="1:8" ht="12.75">
      <c r="A50" s="148" t="s">
        <v>321</v>
      </c>
      <c r="B50" s="121"/>
      <c r="C50" s="259">
        <f>C16+SUM(C20:C30)-SUM(C33:C48)</f>
        <v>567004.6747120778</v>
      </c>
      <c r="D50" s="98"/>
      <c r="E50" s="259">
        <f>E16+SUM(E20:E30)-SUM(E33:E48)</f>
        <v>408458.32528792217</v>
      </c>
      <c r="F50" s="417" t="s">
        <v>360</v>
      </c>
      <c r="G50" s="259">
        <f>G16+SUM(G20:G30)-SUM(G33:G48)</f>
        <v>975463</v>
      </c>
      <c r="H50" s="156"/>
    </row>
    <row r="51" spans="1:9" ht="12.75">
      <c r="A51" s="155"/>
      <c r="B51" s="121"/>
      <c r="C51" s="103"/>
      <c r="D51" s="128"/>
      <c r="E51" s="103"/>
      <c r="F51" s="6"/>
      <c r="G51" s="103"/>
      <c r="H51" s="147"/>
      <c r="I51" s="112"/>
    </row>
    <row r="52" spans="1:8" ht="12.75">
      <c r="A52" s="154" t="s">
        <v>329</v>
      </c>
      <c r="B52" s="123"/>
      <c r="C52" s="104"/>
      <c r="D52" s="128"/>
      <c r="E52" s="135"/>
      <c r="F52" s="6"/>
      <c r="G52" s="135"/>
      <c r="H52" s="147"/>
    </row>
    <row r="53" spans="1:9" ht="12.75">
      <c r="A53" s="154" t="s">
        <v>333</v>
      </c>
      <c r="B53" s="123">
        <v>13</v>
      </c>
      <c r="C53" s="258">
        <f>IF($C$50&gt;'Tax Rates'!$E$11,'Tax Rates'!$F$16,IF($C$50&gt;'Tax Rates'!$C$11,'Tax Rates'!$E$16,'Tax Rates'!$C$16))</f>
        <v>0.3412</v>
      </c>
      <c r="D53" s="98"/>
      <c r="E53" s="264">
        <f>+G53-C53</f>
        <v>-0.003053957980885258</v>
      </c>
      <c r="F53" s="110"/>
      <c r="G53" s="437">
        <f>TAXREC!E151</f>
        <v>0.33814604201911475</v>
      </c>
      <c r="H53" s="147"/>
      <c r="I53" s="434"/>
    </row>
    <row r="54" spans="1:8" ht="12.75">
      <c r="A54" s="154"/>
      <c r="B54" s="123"/>
      <c r="C54" s="101"/>
      <c r="D54" s="128"/>
      <c r="E54" s="135"/>
      <c r="F54" s="6"/>
      <c r="G54" s="135"/>
      <c r="H54" s="147"/>
    </row>
    <row r="55" spans="1:8" ht="12.75">
      <c r="A55" s="154" t="s">
        <v>28</v>
      </c>
      <c r="B55" s="123"/>
      <c r="C55" s="260">
        <f>IF(C50&gt;0,C50*C53,0)</f>
        <v>193461.99501176097</v>
      </c>
      <c r="D55" s="98"/>
      <c r="E55" s="263">
        <f>G55-C55</f>
        <v>122947.00498823903</v>
      </c>
      <c r="F55" s="417" t="s">
        <v>361</v>
      </c>
      <c r="G55" s="260">
        <f>TAXREC!E144</f>
        <v>316409</v>
      </c>
      <c r="H55" s="157"/>
    </row>
    <row r="56" spans="1:8" ht="12.75">
      <c r="A56" s="154"/>
      <c r="B56" s="123"/>
      <c r="C56" s="101"/>
      <c r="D56" s="128"/>
      <c r="E56" s="135"/>
      <c r="F56" s="110"/>
      <c r="G56" s="135"/>
      <c r="H56" s="147"/>
    </row>
    <row r="57" spans="1:8" ht="12.75">
      <c r="A57" s="154"/>
      <c r="B57" s="123"/>
      <c r="C57" s="101"/>
      <c r="D57" s="128"/>
      <c r="E57" s="135"/>
      <c r="F57" s="6"/>
      <c r="G57" s="135"/>
      <c r="H57" s="147"/>
    </row>
    <row r="58" spans="1:8" ht="12.75">
      <c r="A58" s="154" t="s">
        <v>36</v>
      </c>
      <c r="B58" s="123">
        <v>14</v>
      </c>
      <c r="C58" s="261"/>
      <c r="D58" s="128"/>
      <c r="E58" s="263">
        <f>+G58-C58</f>
        <v>0</v>
      </c>
      <c r="F58" s="417" t="s">
        <v>361</v>
      </c>
      <c r="G58" s="266">
        <f>TAXREC!E145</f>
        <v>0</v>
      </c>
      <c r="H58" s="147"/>
    </row>
    <row r="59" spans="1:8" ht="13.5" thickBot="1">
      <c r="A59" s="154"/>
      <c r="B59" s="123"/>
      <c r="C59" s="101"/>
      <c r="D59" s="18"/>
      <c r="E59" s="135"/>
      <c r="F59" s="6"/>
      <c r="G59" s="135"/>
      <c r="H59" s="147"/>
    </row>
    <row r="60" spans="1:8" ht="13.5" thickBot="1">
      <c r="A60" s="146" t="s">
        <v>37</v>
      </c>
      <c r="B60" s="130"/>
      <c r="C60" s="262">
        <f>+C55-C58</f>
        <v>193461.99501176097</v>
      </c>
      <c r="D60" s="129"/>
      <c r="E60" s="265">
        <f>+E55-E58</f>
        <v>122947.00498823903</v>
      </c>
      <c r="F60" s="417" t="s">
        <v>361</v>
      </c>
      <c r="G60" s="265">
        <f>+G55-G58</f>
        <v>316409</v>
      </c>
      <c r="H60" s="131"/>
    </row>
    <row r="61" spans="1:8" ht="12.75">
      <c r="A61" s="154"/>
      <c r="B61" s="123"/>
      <c r="C61" s="101"/>
      <c r="D61" s="18"/>
      <c r="E61" s="135"/>
      <c r="F61" s="6"/>
      <c r="G61" s="135"/>
      <c r="H61" s="147"/>
    </row>
    <row r="62" spans="1:8" ht="12.75">
      <c r="A62" s="154"/>
      <c r="B62" s="119"/>
      <c r="C62" s="101"/>
      <c r="D62" s="18"/>
      <c r="E62" s="135"/>
      <c r="F62" s="6"/>
      <c r="G62" s="135"/>
      <c r="H62" s="147"/>
    </row>
    <row r="63" spans="1:8" ht="12.75">
      <c r="A63" s="150" t="s">
        <v>31</v>
      </c>
      <c r="B63" s="124"/>
      <c r="C63" s="101"/>
      <c r="D63" s="18"/>
      <c r="E63" s="135"/>
      <c r="F63" s="6"/>
      <c r="G63" s="135"/>
      <c r="H63" s="147"/>
    </row>
    <row r="64" spans="1:8" ht="12.75">
      <c r="A64" s="154"/>
      <c r="B64" s="123"/>
      <c r="C64" s="101"/>
      <c r="D64" s="18"/>
      <c r="E64" s="135"/>
      <c r="F64" s="6"/>
      <c r="G64" s="135"/>
      <c r="H64" s="147"/>
    </row>
    <row r="65" spans="1:8" ht="12.75">
      <c r="A65" s="152" t="s">
        <v>29</v>
      </c>
      <c r="B65" s="122"/>
      <c r="C65" s="101"/>
      <c r="D65" s="18"/>
      <c r="E65" s="135"/>
      <c r="F65" s="6"/>
      <c r="G65" s="135"/>
      <c r="H65" s="147"/>
    </row>
    <row r="66" spans="1:9" ht="12.75">
      <c r="A66" s="148" t="s">
        <v>17</v>
      </c>
      <c r="B66" s="121">
        <v>15</v>
      </c>
      <c r="C66" s="260">
        <f>Ratebase</f>
        <v>9291089.22</v>
      </c>
      <c r="D66" s="98"/>
      <c r="E66" s="263">
        <f>G66-C66</f>
        <v>58029.77999999933</v>
      </c>
      <c r="F66" s="6"/>
      <c r="G66" s="439">
        <v>9349119</v>
      </c>
      <c r="H66" s="147"/>
      <c r="I66" s="440" t="s">
        <v>423</v>
      </c>
    </row>
    <row r="67" spans="1:10" ht="12.75">
      <c r="A67" s="148" t="s">
        <v>353</v>
      </c>
      <c r="B67" s="121">
        <v>16</v>
      </c>
      <c r="C67" s="256">
        <f>IF(C66&gt;0,'Tax Rates'!C21,0)</f>
        <v>5000000</v>
      </c>
      <c r="D67" s="98"/>
      <c r="E67" s="263">
        <f>G67-C67</f>
        <v>-1309947</v>
      </c>
      <c r="F67" s="6"/>
      <c r="G67" s="263">
        <f>'Tax Rates'!C57</f>
        <v>3690053</v>
      </c>
      <c r="H67" s="147"/>
      <c r="I67" s="440" t="s">
        <v>423</v>
      </c>
      <c r="J67" s="455"/>
    </row>
    <row r="68" spans="1:8" ht="12.75">
      <c r="A68" s="148" t="s">
        <v>42</v>
      </c>
      <c r="B68" s="121"/>
      <c r="C68" s="260">
        <f>IF((C66-C67)&gt;0,C66-C67,0)</f>
        <v>4291089.220000001</v>
      </c>
      <c r="D68" s="98"/>
      <c r="E68" s="263">
        <f>SUM(E66:E67)</f>
        <v>-1251917.2200000007</v>
      </c>
      <c r="F68" s="110"/>
      <c r="G68" s="260">
        <f>G66-G67</f>
        <v>5659066</v>
      </c>
      <c r="H68" s="156"/>
    </row>
    <row r="69" spans="1:8" ht="12.75">
      <c r="A69" s="148"/>
      <c r="B69" s="121"/>
      <c r="C69" s="106"/>
      <c r="D69" s="18"/>
      <c r="E69" s="135"/>
      <c r="F69" s="6"/>
      <c r="G69" s="135"/>
      <c r="H69" s="147"/>
    </row>
    <row r="70" spans="1:8" ht="12.75">
      <c r="A70" s="148" t="s">
        <v>354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</row>
    <row r="71" spans="1:8" ht="12.75">
      <c r="A71" s="148"/>
      <c r="B71" s="121"/>
      <c r="C71" s="181"/>
      <c r="D71" s="18"/>
      <c r="E71" s="136"/>
      <c r="F71" s="6"/>
      <c r="G71" s="181"/>
      <c r="H71" s="147"/>
    </row>
    <row r="72" spans="1:8" ht="12.75">
      <c r="A72" s="148" t="s">
        <v>311</v>
      </c>
      <c r="B72" s="121"/>
      <c r="C72" s="260">
        <f>IF(C68&gt;0,C68*C70,0)*REGINFO!$B$6/REGINFO!$B$7</f>
        <v>12873.267660000005</v>
      </c>
      <c r="D72" s="97"/>
      <c r="E72" s="263">
        <f>+G72-C72</f>
        <v>4103.930339999995</v>
      </c>
      <c r="F72" s="441"/>
      <c r="G72" s="260">
        <f>IF(G68&gt;0,G68*G70,0)*REGINFO!$B$6/REGINFO!$B$7</f>
        <v>16977.198</v>
      </c>
      <c r="H72" s="157"/>
    </row>
    <row r="73" spans="1:8" ht="12.75">
      <c r="A73" s="146"/>
      <c r="B73" s="125"/>
      <c r="C73" s="106"/>
      <c r="D73" s="132"/>
      <c r="E73" s="135"/>
      <c r="F73" s="6"/>
      <c r="G73" s="135"/>
      <c r="H73" s="147"/>
    </row>
    <row r="74" spans="1:8" ht="12.75">
      <c r="A74" s="152" t="s">
        <v>213</v>
      </c>
      <c r="B74" s="122"/>
      <c r="C74" s="106"/>
      <c r="D74" s="18"/>
      <c r="E74" s="135"/>
      <c r="F74" s="6"/>
      <c r="G74" s="135"/>
      <c r="H74" s="147"/>
    </row>
    <row r="75" spans="1:9" ht="12.75">
      <c r="A75" s="148" t="s">
        <v>17</v>
      </c>
      <c r="B75" s="121">
        <v>18</v>
      </c>
      <c r="C75" s="260">
        <f>Ratebase</f>
        <v>9291089.22</v>
      </c>
      <c r="D75" s="98"/>
      <c r="E75" s="263">
        <f>+G75-C75</f>
        <v>-9291089.22</v>
      </c>
      <c r="F75" s="6"/>
      <c r="G75" s="439"/>
      <c r="H75" s="147"/>
      <c r="I75" s="440" t="s">
        <v>423</v>
      </c>
    </row>
    <row r="76" spans="1:9" ht="12.75">
      <c r="A76" s="148" t="s">
        <v>353</v>
      </c>
      <c r="B76" s="121">
        <v>19</v>
      </c>
      <c r="C76" s="256">
        <f>IF(C75&gt;0,'Tax Rates'!C22,0)</f>
        <v>10000000</v>
      </c>
      <c r="D76" s="18"/>
      <c r="E76" s="263">
        <f>+G76-C76</f>
        <v>-10000000</v>
      </c>
      <c r="F76" s="6"/>
      <c r="G76" s="263"/>
      <c r="H76" s="147"/>
      <c r="I76" s="440" t="s">
        <v>423</v>
      </c>
    </row>
    <row r="77" spans="1:8" ht="12.75">
      <c r="A77" s="148" t="s">
        <v>42</v>
      </c>
      <c r="B77" s="121"/>
      <c r="C77" s="260">
        <f>IF((C75-C76)&gt;0,C75-C76,0)</f>
        <v>0</v>
      </c>
      <c r="D77" s="19"/>
      <c r="E77" s="263">
        <f>SUM(E75:E76)</f>
        <v>-19291089.22</v>
      </c>
      <c r="F77" s="110"/>
      <c r="G77" s="260">
        <f>G75-G76</f>
        <v>0</v>
      </c>
      <c r="H77" s="156"/>
    </row>
    <row r="78" spans="1:8" ht="12.75">
      <c r="A78" s="148"/>
      <c r="B78" s="121"/>
      <c r="C78" s="106"/>
      <c r="D78" s="18"/>
      <c r="E78" s="135"/>
      <c r="F78" s="6"/>
      <c r="G78" s="135"/>
      <c r="H78" s="147"/>
    </row>
    <row r="79" spans="1:8" ht="12.75">
      <c r="A79" s="148" t="s">
        <v>354</v>
      </c>
      <c r="B79" s="121">
        <v>20</v>
      </c>
      <c r="C79" s="297">
        <f>'Tax Rates'!C19</f>
        <v>0.00225</v>
      </c>
      <c r="D79" s="98"/>
      <c r="E79" s="264">
        <f>G79-C79</f>
        <v>0</v>
      </c>
      <c r="F79" s="6"/>
      <c r="G79" s="264">
        <f>'Tax Rates'!C55</f>
        <v>0.00225</v>
      </c>
      <c r="H79" s="147"/>
    </row>
    <row r="80" spans="1:8" ht="12.75">
      <c r="A80" s="148"/>
      <c r="B80" s="121"/>
      <c r="C80" s="106"/>
      <c r="D80" s="18"/>
      <c r="E80" s="135"/>
      <c r="F80" s="6"/>
      <c r="G80" s="135"/>
      <c r="H80" s="147"/>
    </row>
    <row r="81" spans="1:8" ht="12.75">
      <c r="A81" s="148" t="s">
        <v>312</v>
      </c>
      <c r="B81" s="121"/>
      <c r="C81" s="260">
        <f>IF(C77&gt;0,C77*C79,0)*REGINFO!$B$6/REGINFO!$B$7</f>
        <v>0</v>
      </c>
      <c r="D81" s="98"/>
      <c r="E81" s="263">
        <f>+G81-C81</f>
        <v>0</v>
      </c>
      <c r="F81" s="6"/>
      <c r="G81" s="260">
        <f>G77*G79*B9/B10</f>
        <v>0</v>
      </c>
      <c r="H81" s="147"/>
    </row>
    <row r="82" spans="1:8" ht="12.75">
      <c r="A82" s="148" t="s">
        <v>313</v>
      </c>
      <c r="B82" s="121">
        <v>21</v>
      </c>
      <c r="C82" s="296">
        <f>IF(C77&gt;0,IF(C60&gt;0,C50*'Tax Rates'!C20,0),0)</f>
        <v>0</v>
      </c>
      <c r="D82" s="98"/>
      <c r="E82" s="263">
        <f>+G82-C82</f>
        <v>0</v>
      </c>
      <c r="F82" s="6"/>
      <c r="G82" s="296">
        <f>IF(G77&gt;0,IF(G60&gt;0,G50*'Tax Rates'!G20,0),0)</f>
        <v>0</v>
      </c>
      <c r="H82" s="147"/>
    </row>
    <row r="83" spans="1:8" ht="12.75">
      <c r="A83" s="148"/>
      <c r="B83" s="121"/>
      <c r="C83" s="106"/>
      <c r="D83" s="18"/>
      <c r="E83" s="135"/>
      <c r="F83" s="6"/>
      <c r="G83" s="135"/>
      <c r="H83" s="147"/>
    </row>
    <row r="84" spans="1:12" ht="12.75">
      <c r="A84" s="148" t="s">
        <v>32</v>
      </c>
      <c r="B84" s="121"/>
      <c r="C84" s="260">
        <f>C81-C82</f>
        <v>0</v>
      </c>
      <c r="D84" s="16"/>
      <c r="E84" s="263">
        <f>E81-E82</f>
        <v>0</v>
      </c>
      <c r="F84" s="99"/>
      <c r="G84" s="260">
        <f>G81-G82</f>
        <v>0</v>
      </c>
      <c r="H84" s="157"/>
      <c r="L84" s="22"/>
    </row>
    <row r="85" spans="1:8" ht="12.75">
      <c r="A85" s="148"/>
      <c r="B85" s="121"/>
      <c r="C85" s="101"/>
      <c r="D85" s="11"/>
      <c r="E85" s="137"/>
      <c r="F85" s="6"/>
      <c r="G85" s="137"/>
      <c r="H85" s="159"/>
    </row>
    <row r="86" spans="1:8" ht="12.75">
      <c r="A86" s="150" t="s">
        <v>114</v>
      </c>
      <c r="B86" s="124"/>
      <c r="C86" s="101"/>
      <c r="D86" s="11"/>
      <c r="E86" s="111"/>
      <c r="F86" s="3"/>
      <c r="G86" s="119"/>
      <c r="H86" s="147"/>
    </row>
    <row r="87" spans="1:8" ht="12.75">
      <c r="A87" s="150"/>
      <c r="B87" s="124"/>
      <c r="C87" s="101"/>
      <c r="D87" s="11"/>
      <c r="E87" s="110"/>
      <c r="F87" s="6"/>
      <c r="G87" s="194"/>
      <c r="H87" s="147"/>
    </row>
    <row r="88" spans="1:8" ht="12.75">
      <c r="A88" s="148" t="s">
        <v>221</v>
      </c>
      <c r="B88" s="121"/>
      <c r="C88" s="258">
        <f>IF($C$50&gt;'Tax Rates'!$E$11,'Tax Rates'!$F$16,IF(AND($C$50&gt;='Tax Rates'!$C$11,$C$50&lt;='Tax Rates'!E11),'Tax Rates'!$E$16,'Tax Rates'!$C$16))</f>
        <v>0.3412</v>
      </c>
      <c r="D88" s="11"/>
      <c r="E88" s="110"/>
      <c r="F88" s="6"/>
      <c r="G88" s="194"/>
      <c r="H88" s="147"/>
    </row>
    <row r="89" spans="1:8" ht="12.75">
      <c r="A89" s="146"/>
      <c r="B89" s="125"/>
      <c r="C89" s="106"/>
      <c r="D89" s="11"/>
      <c r="E89" s="110"/>
      <c r="F89" s="6"/>
      <c r="G89" s="194"/>
      <c r="H89" s="147"/>
    </row>
    <row r="90" spans="1:8" ht="12.75">
      <c r="A90" s="154" t="s">
        <v>362</v>
      </c>
      <c r="B90" s="123">
        <v>22</v>
      </c>
      <c r="C90" s="260">
        <f>C60/(1-C88)</f>
        <v>293658.1587913797</v>
      </c>
      <c r="D90" s="20"/>
      <c r="E90" s="135"/>
      <c r="F90" s="416" t="s">
        <v>429</v>
      </c>
      <c r="G90" s="266">
        <f>TAXREC!E156</f>
        <v>316409</v>
      </c>
      <c r="H90" s="147"/>
    </row>
    <row r="91" spans="1:8" ht="12.75">
      <c r="A91" s="154" t="s">
        <v>363</v>
      </c>
      <c r="B91" s="123">
        <v>23</v>
      </c>
      <c r="C91" s="260">
        <f>C84/(1-C88)</f>
        <v>0</v>
      </c>
      <c r="D91" s="20"/>
      <c r="E91" s="135"/>
      <c r="F91" s="416" t="s">
        <v>429</v>
      </c>
      <c r="G91" s="266">
        <f>TAXREC!E158</f>
        <v>0</v>
      </c>
      <c r="H91" s="147"/>
    </row>
    <row r="92" spans="1:8" ht="12.75">
      <c r="A92" s="154" t="s">
        <v>341</v>
      </c>
      <c r="B92" s="123">
        <v>24</v>
      </c>
      <c r="C92" s="260">
        <f>C72</f>
        <v>12873.267660000005</v>
      </c>
      <c r="D92" s="20"/>
      <c r="E92" s="135"/>
      <c r="F92" s="416" t="s">
        <v>429</v>
      </c>
      <c r="G92" s="266">
        <f>TAXREC!E157</f>
        <v>16977</v>
      </c>
      <c r="H92" s="147"/>
    </row>
    <row r="93" spans="1:8" ht="12.75">
      <c r="A93" s="154"/>
      <c r="B93" s="123"/>
      <c r="C93" s="106"/>
      <c r="D93" s="11"/>
      <c r="E93" s="135"/>
      <c r="F93" s="6"/>
      <c r="G93" s="135"/>
      <c r="H93" s="147"/>
    </row>
    <row r="94" spans="1:8" ht="13.5" thickBot="1">
      <c r="A94" s="154"/>
      <c r="B94" s="123"/>
      <c r="C94" s="106"/>
      <c r="D94" s="11"/>
      <c r="E94" s="135"/>
      <c r="F94" s="6"/>
      <c r="G94" s="135"/>
      <c r="H94" s="147"/>
    </row>
    <row r="95" spans="1:8" ht="13.5" thickBot="1">
      <c r="A95" s="152" t="s">
        <v>430</v>
      </c>
      <c r="B95" s="121">
        <v>25</v>
      </c>
      <c r="C95" s="265">
        <f>SUM(C90:C93)</f>
        <v>306531.4264513797</v>
      </c>
      <c r="D95" s="6"/>
      <c r="E95" s="135"/>
      <c r="F95" s="416" t="s">
        <v>429</v>
      </c>
      <c r="G95" s="403">
        <f>SUM(G90:G94)</f>
        <v>333386</v>
      </c>
      <c r="H95" s="160"/>
    </row>
    <row r="96" spans="1:8" ht="12.75">
      <c r="A96" s="393" t="s">
        <v>302</v>
      </c>
      <c r="B96" s="121"/>
      <c r="C96" s="101"/>
      <c r="D96" s="6"/>
      <c r="E96" s="105"/>
      <c r="F96" s="6"/>
      <c r="G96" s="135"/>
      <c r="H96" s="160"/>
    </row>
    <row r="97" spans="1:8" ht="13.5" thickBot="1">
      <c r="A97" s="148"/>
      <c r="B97" s="121"/>
      <c r="C97" s="101"/>
      <c r="D97" s="6"/>
      <c r="E97" s="105"/>
      <c r="F97" s="6"/>
      <c r="G97" s="135"/>
      <c r="H97" s="178"/>
    </row>
    <row r="98" spans="1:8" ht="13.5" thickTop="1">
      <c r="A98" s="161"/>
      <c r="B98" s="120"/>
      <c r="C98" s="107"/>
      <c r="D98" s="7"/>
      <c r="E98" s="138"/>
      <c r="F98" s="7"/>
      <c r="G98" s="195"/>
      <c r="H98" s="160"/>
    </row>
    <row r="99" spans="1:8" ht="12.75">
      <c r="A99" s="152" t="s">
        <v>299</v>
      </c>
      <c r="B99" s="119"/>
      <c r="C99" s="108"/>
      <c r="D99" s="3"/>
      <c r="E99" s="108"/>
      <c r="F99" s="3"/>
      <c r="G99" s="196"/>
      <c r="H99" s="160"/>
    </row>
    <row r="100" spans="1:8" ht="15">
      <c r="A100" s="162" t="s">
        <v>241</v>
      </c>
      <c r="B100" s="119"/>
      <c r="C100" s="108"/>
      <c r="D100" s="3"/>
      <c r="E100" s="139" t="s">
        <v>243</v>
      </c>
      <c r="F100" s="37"/>
      <c r="G100" s="196"/>
      <c r="H100" s="160"/>
    </row>
    <row r="101" spans="1:8" ht="12.75">
      <c r="A101" s="152" t="s">
        <v>339</v>
      </c>
      <c r="B101" s="119"/>
      <c r="C101" s="108"/>
      <c r="D101" s="3"/>
      <c r="E101" s="108"/>
      <c r="F101" s="37"/>
      <c r="G101" s="196"/>
      <c r="H101" s="160"/>
    </row>
    <row r="102" spans="1:8" ht="12.75">
      <c r="A102" s="154" t="s">
        <v>56</v>
      </c>
      <c r="B102" s="123">
        <v>3</v>
      </c>
      <c r="C102" s="108"/>
      <c r="D102" s="3"/>
      <c r="E102" s="247">
        <f>E21</f>
        <v>0</v>
      </c>
      <c r="F102" s="37"/>
      <c r="G102" s="197"/>
      <c r="H102" s="160"/>
    </row>
    <row r="103" spans="1:8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</row>
    <row r="104" spans="1:8" ht="12.75">
      <c r="A104" s="154" t="s">
        <v>98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</row>
    <row r="105" spans="1:8" ht="12.75">
      <c r="A105" s="154" t="s">
        <v>44</v>
      </c>
      <c r="B105" s="123">
        <v>5</v>
      </c>
      <c r="C105" s="108"/>
      <c r="D105" s="3"/>
      <c r="E105" s="247">
        <f>E24</f>
        <v>-139716</v>
      </c>
      <c r="F105" s="37"/>
      <c r="G105" s="197"/>
      <c r="H105" s="160"/>
    </row>
    <row r="106" spans="1:8" ht="12.75">
      <c r="A106" s="154" t="s">
        <v>356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</row>
    <row r="107" spans="1:8" ht="12.75">
      <c r="A107" s="154" t="s">
        <v>357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</row>
    <row r="108" spans="1:8" ht="12.75">
      <c r="A108" s="152" t="s">
        <v>355</v>
      </c>
      <c r="B108" s="123"/>
      <c r="C108" s="108"/>
      <c r="D108" s="3"/>
      <c r="E108" s="30"/>
      <c r="F108" s="37"/>
      <c r="G108" s="197"/>
      <c r="H108" s="160"/>
    </row>
    <row r="109" spans="1:8" ht="12.75">
      <c r="A109" s="154" t="s">
        <v>57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</row>
    <row r="110" spans="1:8" ht="12.75">
      <c r="A110" s="154" t="s">
        <v>45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</row>
    <row r="111" spans="1:8" ht="12.75">
      <c r="A111" s="154" t="s">
        <v>44</v>
      </c>
      <c r="B111" s="123">
        <v>10</v>
      </c>
      <c r="C111" s="108"/>
      <c r="D111" s="3"/>
      <c r="E111" s="247">
        <f>E36</f>
        <v>-10215</v>
      </c>
      <c r="F111" s="37"/>
      <c r="G111" s="197"/>
      <c r="H111" s="160"/>
    </row>
    <row r="112" spans="1:8" ht="12.75">
      <c r="A112" s="151" t="s">
        <v>439</v>
      </c>
      <c r="B112" s="123">
        <v>11</v>
      </c>
      <c r="C112" s="108"/>
      <c r="D112" s="3"/>
      <c r="E112" s="436">
        <f>E206</f>
        <v>0</v>
      </c>
      <c r="F112" s="183"/>
      <c r="G112" s="197"/>
      <c r="H112" s="160"/>
    </row>
    <row r="113" spans="1:8" ht="12.75">
      <c r="A113" s="151" t="s">
        <v>15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</row>
    <row r="114" spans="1:8" ht="12.75">
      <c r="A114" s="151" t="s">
        <v>99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</row>
    <row r="115" spans="1:8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</row>
    <row r="116" spans="1:8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</row>
    <row r="117" spans="1:8" ht="12.75">
      <c r="A117" s="154" t="s">
        <v>358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</row>
    <row r="118" spans="1:8" ht="12.75">
      <c r="A118" s="154" t="s">
        <v>359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</row>
    <row r="119" spans="1:8" ht="12.75">
      <c r="A119" s="154"/>
      <c r="B119" s="123"/>
      <c r="C119" s="108"/>
      <c r="D119" s="3"/>
      <c r="E119" s="106"/>
      <c r="F119" s="37"/>
      <c r="G119" s="197"/>
      <c r="H119" s="160"/>
    </row>
    <row r="120" spans="1:8" ht="12.75">
      <c r="A120" s="148" t="s">
        <v>215</v>
      </c>
      <c r="B120" s="123">
        <v>26</v>
      </c>
      <c r="C120" s="108"/>
      <c r="D120" s="113" t="s">
        <v>185</v>
      </c>
      <c r="E120" s="260">
        <f>SUM(E102:E107)-SUM(E109:E118)</f>
        <v>-129501</v>
      </c>
      <c r="F120" s="37"/>
      <c r="G120" s="197"/>
      <c r="H120" s="160"/>
    </row>
    <row r="121" spans="1:8" ht="12.75">
      <c r="A121" s="148"/>
      <c r="B121" s="123"/>
      <c r="C121" s="108"/>
      <c r="D121" s="113"/>
      <c r="E121" s="106"/>
      <c r="F121" s="37"/>
      <c r="G121" s="197"/>
      <c r="H121" s="160"/>
    </row>
    <row r="122" spans="1:9" ht="12.75">
      <c r="A122" s="153" t="s">
        <v>431</v>
      </c>
      <c r="B122" s="123"/>
      <c r="C122" s="108"/>
      <c r="D122" s="3" t="s">
        <v>225</v>
      </c>
      <c r="E122" s="433">
        <f>TAXREC!C151</f>
        <v>0.33814604201911475</v>
      </c>
      <c r="F122" s="434"/>
      <c r="G122" s="197" t="s">
        <v>100</v>
      </c>
      <c r="H122" s="160"/>
      <c r="I122" s="457"/>
    </row>
    <row r="123" spans="1:8" ht="12.75">
      <c r="A123" s="154"/>
      <c r="B123" s="123"/>
      <c r="C123" s="108"/>
      <c r="D123" s="3"/>
      <c r="E123" s="106"/>
      <c r="F123" s="37"/>
      <c r="G123" s="197" t="s">
        <v>100</v>
      </c>
      <c r="H123" s="160"/>
    </row>
    <row r="124" spans="1:8" ht="12.75">
      <c r="A124" s="154" t="s">
        <v>240</v>
      </c>
      <c r="B124" s="123"/>
      <c r="C124" s="108"/>
      <c r="D124" s="3" t="s">
        <v>185</v>
      </c>
      <c r="E124" s="260">
        <f>E120*E122</f>
        <v>-43790.25058751738</v>
      </c>
      <c r="F124" s="37"/>
      <c r="G124" s="197"/>
      <c r="H124" s="160"/>
    </row>
    <row r="125" spans="1:8" ht="12.75">
      <c r="A125" s="154"/>
      <c r="B125" s="123"/>
      <c r="C125" s="108"/>
      <c r="D125" s="3"/>
      <c r="E125" s="106"/>
      <c r="F125" s="37"/>
      <c r="G125" s="197"/>
      <c r="H125" s="160"/>
    </row>
    <row r="126" spans="1:8" ht="12.75">
      <c r="A126" s="154" t="s">
        <v>110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</row>
    <row r="127" spans="1:8" ht="12.75">
      <c r="A127" s="154"/>
      <c r="B127" s="123"/>
      <c r="C127" s="108"/>
      <c r="D127" s="3"/>
      <c r="E127" s="106"/>
      <c r="F127" s="37"/>
      <c r="G127" s="197"/>
      <c r="H127" s="160"/>
    </row>
    <row r="128" spans="1:8" ht="12.75">
      <c r="A128" s="154" t="s">
        <v>113</v>
      </c>
      <c r="B128" s="123"/>
      <c r="C128" s="108"/>
      <c r="D128" s="3"/>
      <c r="E128" s="260">
        <f>E124-E126</f>
        <v>-43790.25058751738</v>
      </c>
      <c r="F128" s="37"/>
      <c r="G128" s="197"/>
      <c r="H128" s="160"/>
    </row>
    <row r="129" spans="1:8" ht="12.75">
      <c r="A129" s="163"/>
      <c r="B129" s="123"/>
      <c r="C129" s="108"/>
      <c r="D129" s="3"/>
      <c r="E129" s="106"/>
      <c r="F129" s="37"/>
      <c r="G129" s="197"/>
      <c r="H129" s="160"/>
    </row>
    <row r="130" spans="1:8" ht="12.75">
      <c r="A130" s="148" t="s">
        <v>191</v>
      </c>
      <c r="B130" s="123"/>
      <c r="C130" s="108"/>
      <c r="D130" s="3"/>
      <c r="E130" s="308">
        <f>E122-1.12%</f>
        <v>0.32694604201911476</v>
      </c>
      <c r="F130" s="37"/>
      <c r="G130" s="197"/>
      <c r="H130" s="160"/>
    </row>
    <row r="131" spans="1:8" ht="12.75">
      <c r="A131" s="146"/>
      <c r="B131" s="123"/>
      <c r="C131" s="108"/>
      <c r="D131" s="3"/>
      <c r="E131" s="106"/>
      <c r="F131" s="37"/>
      <c r="G131" s="197"/>
      <c r="H131" s="160"/>
    </row>
    <row r="132" spans="1:8" ht="12.75">
      <c r="A132" s="164" t="s">
        <v>345</v>
      </c>
      <c r="B132" s="126"/>
      <c r="C132" s="108"/>
      <c r="D132" s="3"/>
      <c r="E132" s="449">
        <f>E128/(1-E130)</f>
        <v>-65062.0207611364</v>
      </c>
      <c r="F132" s="37"/>
      <c r="G132" s="197"/>
      <c r="H132" s="160"/>
    </row>
    <row r="133" spans="1:8" ht="12.75">
      <c r="A133" s="164"/>
      <c r="B133" s="126"/>
      <c r="C133" s="108"/>
      <c r="D133" s="3"/>
      <c r="E133" s="103"/>
      <c r="F133" s="37"/>
      <c r="G133" s="197"/>
      <c r="H133" s="160"/>
    </row>
    <row r="134" spans="1:8" ht="30">
      <c r="A134" s="165" t="s">
        <v>348</v>
      </c>
      <c r="B134" s="126"/>
      <c r="C134" s="108"/>
      <c r="D134" s="3"/>
      <c r="E134" s="103"/>
      <c r="F134" s="37"/>
      <c r="G134" s="197"/>
      <c r="H134" s="160"/>
    </row>
    <row r="135" spans="1:8" ht="12.75">
      <c r="A135" s="166"/>
      <c r="B135" s="126"/>
      <c r="C135" s="108"/>
      <c r="D135" s="3"/>
      <c r="E135" s="103"/>
      <c r="F135" s="37"/>
      <c r="G135" s="197"/>
      <c r="H135" s="160"/>
    </row>
    <row r="136" spans="1:8" ht="25.5">
      <c r="A136" s="167" t="s">
        <v>229</v>
      </c>
      <c r="B136" s="126"/>
      <c r="C136" s="108"/>
      <c r="D136" s="114" t="s">
        <v>185</v>
      </c>
      <c r="E136" s="298">
        <f>C50</f>
        <v>567004.6747120778</v>
      </c>
      <c r="F136" s="37"/>
      <c r="G136" s="197"/>
      <c r="H136" s="160"/>
    </row>
    <row r="137" spans="1:8" ht="12.75">
      <c r="A137" s="167"/>
      <c r="B137" s="126"/>
      <c r="C137" s="108"/>
      <c r="D137" s="115"/>
      <c r="E137" s="141"/>
      <c r="F137" s="37"/>
      <c r="G137" s="197"/>
      <c r="H137" s="160"/>
    </row>
    <row r="138" spans="1:8" ht="12.75">
      <c r="A138" s="167" t="s">
        <v>231</v>
      </c>
      <c r="B138" s="126"/>
      <c r="C138" s="108"/>
      <c r="D138" s="115" t="s">
        <v>225</v>
      </c>
      <c r="E138" s="308">
        <f>E122</f>
        <v>0.33814604201911475</v>
      </c>
      <c r="F138" s="193" t="s">
        <v>100</v>
      </c>
      <c r="G138" s="197"/>
      <c r="H138" s="160"/>
    </row>
    <row r="139" spans="1:8" ht="12.75">
      <c r="A139" s="167"/>
      <c r="B139" s="126"/>
      <c r="C139" s="108"/>
      <c r="D139" s="115"/>
      <c r="E139" s="140"/>
      <c r="F139" s="37"/>
      <c r="G139" s="197"/>
      <c r="H139" s="160"/>
    </row>
    <row r="140" spans="1:8" ht="12.75">
      <c r="A140" s="167" t="s">
        <v>223</v>
      </c>
      <c r="B140" s="126"/>
      <c r="C140" s="108"/>
      <c r="D140" s="114" t="s">
        <v>185</v>
      </c>
      <c r="E140" s="299">
        <f>IF(E136&gt;0,E136*E138,0)</f>
        <v>191730.38656022475</v>
      </c>
      <c r="F140" s="37"/>
      <c r="G140" s="197"/>
      <c r="H140" s="160"/>
    </row>
    <row r="141" spans="1:8" ht="12.75">
      <c r="A141" s="167"/>
      <c r="B141" s="126"/>
      <c r="C141" s="108"/>
      <c r="D141" s="115"/>
      <c r="E141" s="140"/>
      <c r="F141" s="37"/>
      <c r="G141" s="197"/>
      <c r="H141" s="160"/>
    </row>
    <row r="142" spans="1:8" ht="12.75">
      <c r="A142" s="167" t="s">
        <v>232</v>
      </c>
      <c r="B142" s="126"/>
      <c r="C142" s="108"/>
      <c r="D142" s="114" t="s">
        <v>184</v>
      </c>
      <c r="E142" s="300">
        <f>TAXREC!E145</f>
        <v>0</v>
      </c>
      <c r="F142" s="37"/>
      <c r="G142" s="197"/>
      <c r="H142" s="160"/>
    </row>
    <row r="143" spans="1:8" ht="12.75">
      <c r="A143" s="167"/>
      <c r="B143" s="126"/>
      <c r="C143" s="108"/>
      <c r="D143" s="115"/>
      <c r="E143" s="140"/>
      <c r="F143" s="37"/>
      <c r="G143" s="197"/>
      <c r="H143" s="160"/>
    </row>
    <row r="144" spans="1:8" ht="12.75">
      <c r="A144" s="167" t="s">
        <v>224</v>
      </c>
      <c r="B144" s="126"/>
      <c r="C144" s="108"/>
      <c r="D144" s="115" t="s">
        <v>185</v>
      </c>
      <c r="E144" s="298">
        <f>E140-E142</f>
        <v>191730.38656022475</v>
      </c>
      <c r="F144" s="37"/>
      <c r="G144" s="197"/>
      <c r="H144" s="160"/>
    </row>
    <row r="145" spans="1:8" ht="12.75">
      <c r="A145" s="167"/>
      <c r="B145" s="126"/>
      <c r="C145" s="108"/>
      <c r="D145" s="115"/>
      <c r="E145" s="140"/>
      <c r="F145" s="37"/>
      <c r="G145" s="197"/>
      <c r="H145" s="160"/>
    </row>
    <row r="146" spans="1:8" ht="25.5">
      <c r="A146" s="167" t="s">
        <v>233</v>
      </c>
      <c r="B146" s="126"/>
      <c r="C146" s="108"/>
      <c r="D146" s="114" t="s">
        <v>184</v>
      </c>
      <c r="E146" s="298">
        <f>C60</f>
        <v>193461.99501176097</v>
      </c>
      <c r="F146" s="37"/>
      <c r="G146" s="197"/>
      <c r="H146" s="160"/>
    </row>
    <row r="147" spans="1:8" ht="12.75">
      <c r="A147" s="167"/>
      <c r="B147" s="126"/>
      <c r="C147" s="108"/>
      <c r="D147" s="115"/>
      <c r="E147" s="140"/>
      <c r="F147" s="37"/>
      <c r="G147" s="197"/>
      <c r="H147" s="160"/>
    </row>
    <row r="148" spans="1:8" ht="12.75">
      <c r="A148" s="167" t="s">
        <v>226</v>
      </c>
      <c r="B148" s="126"/>
      <c r="C148" s="108"/>
      <c r="D148" s="114" t="s">
        <v>185</v>
      </c>
      <c r="E148" s="298">
        <f>E144-E146</f>
        <v>-1731.6084515362163</v>
      </c>
      <c r="F148" s="37"/>
      <c r="G148" s="197"/>
      <c r="H148" s="160"/>
    </row>
    <row r="149" spans="1:8" ht="12.75">
      <c r="A149" s="167"/>
      <c r="B149" s="126"/>
      <c r="C149" s="108"/>
      <c r="D149" s="115"/>
      <c r="E149" s="140"/>
      <c r="F149" s="37"/>
      <c r="G149" s="197"/>
      <c r="H149" s="160"/>
    </row>
    <row r="150" spans="1:8" ht="12.75">
      <c r="A150" s="383" t="s">
        <v>20</v>
      </c>
      <c r="B150" s="126"/>
      <c r="C150" s="108"/>
      <c r="D150" s="115"/>
      <c r="E150" s="444"/>
      <c r="F150" s="37"/>
      <c r="G150" s="197"/>
      <c r="H150" s="160"/>
    </row>
    <row r="151" spans="1:8" ht="12.75">
      <c r="A151" s="167" t="s">
        <v>17</v>
      </c>
      <c r="B151" s="126"/>
      <c r="C151" s="108"/>
      <c r="D151" s="115" t="s">
        <v>185</v>
      </c>
      <c r="E151" s="298">
        <f>C66</f>
        <v>9291089.22</v>
      </c>
      <c r="F151" s="37"/>
      <c r="G151" s="197"/>
      <c r="H151" s="160"/>
    </row>
    <row r="152" spans="1:8" ht="12.75">
      <c r="A152" s="167" t="s">
        <v>351</v>
      </c>
      <c r="B152" s="126"/>
      <c r="C152" s="108"/>
      <c r="D152" s="114" t="s">
        <v>184</v>
      </c>
      <c r="E152" s="301">
        <f>IF(E151&gt;0,'Tax Rates'!C39,0)</f>
        <v>5000000</v>
      </c>
      <c r="F152" s="37"/>
      <c r="G152" s="197"/>
      <c r="H152" s="160"/>
    </row>
    <row r="153" spans="1:8" ht="12.75">
      <c r="A153" s="167" t="s">
        <v>227</v>
      </c>
      <c r="B153" s="126"/>
      <c r="C153" s="108"/>
      <c r="D153" s="114" t="s">
        <v>185</v>
      </c>
      <c r="E153" s="298">
        <f>E151-E152</f>
        <v>4291089.220000001</v>
      </c>
      <c r="F153" s="37"/>
      <c r="G153" s="197"/>
      <c r="H153" s="160"/>
    </row>
    <row r="154" spans="1:8" ht="12.75">
      <c r="A154" s="167"/>
      <c r="B154" s="126"/>
      <c r="C154" s="108"/>
      <c r="D154" s="115"/>
      <c r="E154" s="140"/>
      <c r="F154" s="37"/>
      <c r="G154" s="197"/>
      <c r="H154" s="160"/>
    </row>
    <row r="155" spans="1:8" ht="12.75">
      <c r="A155" s="167" t="s">
        <v>352</v>
      </c>
      <c r="B155" s="126"/>
      <c r="C155" s="108"/>
      <c r="D155" s="115" t="s">
        <v>225</v>
      </c>
      <c r="E155" s="302">
        <f>'Tax Rates'!C54</f>
        <v>0.003</v>
      </c>
      <c r="F155" s="37"/>
      <c r="G155" s="197"/>
      <c r="H155" s="160"/>
    </row>
    <row r="156" spans="1:8" ht="12.75">
      <c r="A156" s="167"/>
      <c r="B156" s="126"/>
      <c r="C156" s="108"/>
      <c r="D156" s="115"/>
      <c r="E156" s="140"/>
      <c r="F156" s="37"/>
      <c r="G156" s="197"/>
      <c r="H156" s="160"/>
    </row>
    <row r="157" spans="1:8" ht="12.75">
      <c r="A157" s="167" t="s">
        <v>228</v>
      </c>
      <c r="B157" s="126"/>
      <c r="C157" s="108"/>
      <c r="D157" s="115" t="s">
        <v>185</v>
      </c>
      <c r="E157" s="298">
        <f>IF(E153&gt;0,E153*E155*B9/B10,0)</f>
        <v>12873.267660000005</v>
      </c>
      <c r="F157" s="37"/>
      <c r="G157" s="197"/>
      <c r="H157" s="160"/>
    </row>
    <row r="158" spans="1:8" ht="25.5">
      <c r="A158" s="167" t="s">
        <v>303</v>
      </c>
      <c r="B158" s="126"/>
      <c r="C158" s="108"/>
      <c r="D158" s="114" t="s">
        <v>184</v>
      </c>
      <c r="E158" s="301">
        <f>C72</f>
        <v>12873.267660000005</v>
      </c>
      <c r="F158" s="37"/>
      <c r="G158" s="197"/>
      <c r="H158" s="160"/>
    </row>
    <row r="159" spans="1:8" ht="12.75" customHeight="1">
      <c r="A159" s="168" t="s">
        <v>238</v>
      </c>
      <c r="B159" s="126"/>
      <c r="C159" s="108"/>
      <c r="D159" s="114" t="s">
        <v>185</v>
      </c>
      <c r="E159" s="438">
        <f>E157-E158</f>
        <v>0</v>
      </c>
      <c r="F159" s="37"/>
      <c r="G159" s="197"/>
      <c r="H159" s="160"/>
    </row>
    <row r="160" spans="1:8" ht="12.75">
      <c r="A160" s="167"/>
      <c r="B160" s="126"/>
      <c r="C160" s="108"/>
      <c r="D160" s="115"/>
      <c r="E160" s="140"/>
      <c r="F160" s="37"/>
      <c r="G160" s="197"/>
      <c r="H160" s="160"/>
    </row>
    <row r="161" spans="1:8" ht="12.75">
      <c r="A161" s="383" t="s">
        <v>230</v>
      </c>
      <c r="B161" s="126"/>
      <c r="C161" s="108"/>
      <c r="D161" s="115"/>
      <c r="E161" s="300"/>
      <c r="F161" s="37"/>
      <c r="G161" s="197"/>
      <c r="H161" s="160"/>
    </row>
    <row r="162" spans="1:8" ht="12.75">
      <c r="A162" s="167" t="s">
        <v>17</v>
      </c>
      <c r="B162" s="126"/>
      <c r="C162" s="108"/>
      <c r="D162" s="115"/>
      <c r="E162" s="298">
        <f>C75</f>
        <v>9291089.22</v>
      </c>
      <c r="F162" s="37"/>
      <c r="G162" s="197"/>
      <c r="H162" s="160"/>
    </row>
    <row r="163" spans="1:8" ht="12.75">
      <c r="A163" s="167" t="s">
        <v>350</v>
      </c>
      <c r="B163" s="126"/>
      <c r="C163" s="108"/>
      <c r="D163" s="114" t="s">
        <v>184</v>
      </c>
      <c r="E163" s="301">
        <f>IF(E162&gt;0,'Tax Rates'!C40,0)</f>
        <v>10000000</v>
      </c>
      <c r="F163" s="37"/>
      <c r="G163" s="197"/>
      <c r="H163" s="160"/>
    </row>
    <row r="164" spans="1:8" ht="12.75">
      <c r="A164" s="167" t="s">
        <v>234</v>
      </c>
      <c r="B164" s="126"/>
      <c r="C164" s="108"/>
      <c r="D164" s="115" t="s">
        <v>185</v>
      </c>
      <c r="E164" s="298">
        <f>E162-E163</f>
        <v>-708910.7799999993</v>
      </c>
      <c r="F164" s="37"/>
      <c r="G164" s="197"/>
      <c r="H164" s="160"/>
    </row>
    <row r="165" spans="1:8" ht="12.75">
      <c r="A165" s="167"/>
      <c r="B165" s="126"/>
      <c r="C165" s="108"/>
      <c r="D165" s="115"/>
      <c r="E165" s="140"/>
      <c r="F165" s="37"/>
      <c r="G165" s="197"/>
      <c r="H165" s="160"/>
    </row>
    <row r="166" spans="1:8" ht="12.75">
      <c r="A166" s="167" t="s">
        <v>304</v>
      </c>
      <c r="B166" s="126"/>
      <c r="C166" s="108"/>
      <c r="D166" s="115"/>
      <c r="E166" s="302">
        <f>'Tax Rates'!C55</f>
        <v>0.00225</v>
      </c>
      <c r="F166" s="37"/>
      <c r="G166" s="197"/>
      <c r="H166" s="160"/>
    </row>
    <row r="167" spans="1:8" ht="12.75">
      <c r="A167" s="167"/>
      <c r="B167" s="126"/>
      <c r="C167" s="108"/>
      <c r="D167" s="115"/>
      <c r="E167" s="140"/>
      <c r="F167" s="37"/>
      <c r="G167" s="197"/>
      <c r="H167" s="160"/>
    </row>
    <row r="168" spans="1:8" ht="12.75">
      <c r="A168" s="167" t="s">
        <v>235</v>
      </c>
      <c r="B168" s="126"/>
      <c r="C168" s="108"/>
      <c r="D168" s="115"/>
      <c r="E168" s="298">
        <f>IF(E164&gt;0,E164*E166*B9/B10,0)</f>
        <v>0</v>
      </c>
      <c r="F168" s="37"/>
      <c r="G168" s="197"/>
      <c r="H168" s="160"/>
    </row>
    <row r="169" spans="1:8" ht="12.75">
      <c r="A169" s="167" t="s">
        <v>314</v>
      </c>
      <c r="B169" s="126"/>
      <c r="C169" s="108"/>
      <c r="D169" s="114" t="s">
        <v>184</v>
      </c>
      <c r="E169" s="303">
        <f>IF(E164&gt;0,IF(E144&gt;0,E136*'Tax Rates'!C56,0),0)</f>
        <v>0</v>
      </c>
      <c r="F169" s="37"/>
      <c r="G169" s="197"/>
      <c r="H169" s="160"/>
    </row>
    <row r="170" spans="1:8" ht="12.75">
      <c r="A170" s="167" t="s">
        <v>236</v>
      </c>
      <c r="B170" s="126"/>
      <c r="C170" s="108"/>
      <c r="D170" s="115" t="s">
        <v>185</v>
      </c>
      <c r="E170" s="298">
        <f>E168-E169</f>
        <v>0</v>
      </c>
      <c r="F170" s="37"/>
      <c r="G170" s="197"/>
      <c r="H170" s="160"/>
    </row>
    <row r="171" spans="1:8" ht="12.75">
      <c r="A171" s="167"/>
      <c r="B171" s="126"/>
      <c r="C171" s="108"/>
      <c r="D171" s="115"/>
      <c r="E171" s="237"/>
      <c r="F171" s="37"/>
      <c r="G171" s="197"/>
      <c r="H171" s="160"/>
    </row>
    <row r="172" spans="1:8" ht="12.75">
      <c r="A172" s="404" t="s">
        <v>340</v>
      </c>
      <c r="B172" s="126"/>
      <c r="C172" s="108"/>
      <c r="D172" s="114" t="s">
        <v>184</v>
      </c>
      <c r="E172" s="301">
        <f>C84</f>
        <v>0</v>
      </c>
      <c r="F172" s="37"/>
      <c r="G172" s="197"/>
      <c r="H172" s="160"/>
    </row>
    <row r="173" spans="1:8" ht="12.75">
      <c r="A173" s="151" t="s">
        <v>239</v>
      </c>
      <c r="B173" s="126"/>
      <c r="C173" s="108"/>
      <c r="D173" s="115" t="s">
        <v>185</v>
      </c>
      <c r="E173" s="438">
        <f>E170-E172</f>
        <v>0</v>
      </c>
      <c r="F173" s="37"/>
      <c r="G173" s="197"/>
      <c r="H173" s="160"/>
    </row>
    <row r="174" spans="1:8" ht="12.75">
      <c r="A174" s="151"/>
      <c r="B174" s="126"/>
      <c r="C174" s="108"/>
      <c r="D174" s="115"/>
      <c r="E174" s="140"/>
      <c r="F174" s="37"/>
      <c r="G174" s="197"/>
      <c r="H174" s="160"/>
    </row>
    <row r="175" spans="1:8" ht="12.75">
      <c r="A175" s="151" t="s">
        <v>338</v>
      </c>
      <c r="B175" s="126"/>
      <c r="C175" s="108"/>
      <c r="D175" s="115"/>
      <c r="E175" s="433">
        <f>E138-1.12%</f>
        <v>0.32694604201911476</v>
      </c>
      <c r="F175" s="434"/>
      <c r="G175" s="197"/>
      <c r="H175" s="160"/>
    </row>
    <row r="176" spans="1:8" ht="12.75">
      <c r="A176" s="151"/>
      <c r="B176" s="126"/>
      <c r="C176" s="108"/>
      <c r="D176" s="115"/>
      <c r="E176" s="140"/>
      <c r="F176" s="37"/>
      <c r="G176" s="197"/>
      <c r="H176" s="160"/>
    </row>
    <row r="177" spans="1:8" ht="12.75">
      <c r="A177" s="164" t="s">
        <v>237</v>
      </c>
      <c r="B177" s="126"/>
      <c r="C177" s="108"/>
      <c r="D177" s="115" t="s">
        <v>183</v>
      </c>
      <c r="E177" s="298">
        <f>E148/(1-E175)</f>
        <v>-2572.763195288117</v>
      </c>
      <c r="F177" s="37"/>
      <c r="G177" s="197"/>
      <c r="H177" s="160"/>
    </row>
    <row r="178" spans="1:8" ht="12.75">
      <c r="A178" s="164" t="s">
        <v>33</v>
      </c>
      <c r="B178" s="126"/>
      <c r="C178" s="108"/>
      <c r="D178" s="115" t="s">
        <v>183</v>
      </c>
      <c r="E178" s="298">
        <f>E173/(1-E175)</f>
        <v>0</v>
      </c>
      <c r="F178" s="37"/>
      <c r="G178" s="197"/>
      <c r="H178" s="160"/>
    </row>
    <row r="179" spans="1:8" ht="12.75">
      <c r="A179" s="164" t="s">
        <v>20</v>
      </c>
      <c r="B179" s="126"/>
      <c r="C179" s="108"/>
      <c r="D179" s="115" t="s">
        <v>183</v>
      </c>
      <c r="E179" s="298">
        <f>E159</f>
        <v>0</v>
      </c>
      <c r="F179" s="37"/>
      <c r="G179" s="197"/>
      <c r="H179" s="160"/>
    </row>
    <row r="180" spans="1:8" ht="12.75">
      <c r="A180" s="151"/>
      <c r="B180" s="126"/>
      <c r="C180" s="108"/>
      <c r="D180" s="115"/>
      <c r="E180" s="140"/>
      <c r="F180" s="37"/>
      <c r="G180" s="197"/>
      <c r="H180" s="160"/>
    </row>
    <row r="181" spans="1:8" ht="12.75">
      <c r="A181" s="164" t="s">
        <v>346</v>
      </c>
      <c r="B181" s="126"/>
      <c r="C181" s="108"/>
      <c r="D181" s="115" t="s">
        <v>185</v>
      </c>
      <c r="E181" s="448">
        <f>SUM(E177:E179)</f>
        <v>-2572.763195288117</v>
      </c>
      <c r="F181" s="37"/>
      <c r="G181" s="197"/>
      <c r="H181" s="160"/>
    </row>
    <row r="182" spans="1:8" ht="12.75">
      <c r="A182" s="151"/>
      <c r="B182" s="126"/>
      <c r="C182" s="108"/>
      <c r="D182" s="115"/>
      <c r="E182" s="140"/>
      <c r="F182" s="37"/>
      <c r="G182" s="197"/>
      <c r="H182" s="160"/>
    </row>
    <row r="183" spans="1:8" ht="12.75">
      <c r="A183" s="164" t="s">
        <v>438</v>
      </c>
      <c r="B183" s="126"/>
      <c r="C183" s="108"/>
      <c r="D183" s="115" t="s">
        <v>183</v>
      </c>
      <c r="E183" s="448">
        <f>E132</f>
        <v>-65062.0207611364</v>
      </c>
      <c r="F183" s="37" t="s">
        <v>100</v>
      </c>
      <c r="G183" s="197"/>
      <c r="H183" s="160"/>
    </row>
    <row r="184" spans="1:8" ht="12.75">
      <c r="A184" s="164"/>
      <c r="B184" s="126"/>
      <c r="C184" s="108"/>
      <c r="D184" s="115"/>
      <c r="E184" s="140"/>
      <c r="F184" s="37"/>
      <c r="G184" s="197"/>
      <c r="H184" s="160"/>
    </row>
    <row r="185" spans="1:8" ht="15">
      <c r="A185" s="169" t="s">
        <v>347</v>
      </c>
      <c r="B185" s="126"/>
      <c r="C185" s="108"/>
      <c r="D185" s="115" t="s">
        <v>185</v>
      </c>
      <c r="E185" s="448">
        <f>E181+E183</f>
        <v>-67634.78395642452</v>
      </c>
      <c r="F185" s="37"/>
      <c r="G185" s="197"/>
      <c r="H185" s="160"/>
    </row>
    <row r="186" spans="1:8" ht="12.75">
      <c r="A186" s="158" t="s">
        <v>242</v>
      </c>
      <c r="B186" s="123"/>
      <c r="C186" s="108"/>
      <c r="D186" s="115"/>
      <c r="E186" s="142"/>
      <c r="F186" s="37"/>
      <c r="G186" s="197"/>
      <c r="H186" s="160"/>
    </row>
    <row r="187" spans="1:8" ht="12.75">
      <c r="A187" s="158"/>
      <c r="B187" s="123"/>
      <c r="C187" s="108"/>
      <c r="D187" s="115"/>
      <c r="E187" s="143"/>
      <c r="F187" s="37"/>
      <c r="G187" s="197"/>
      <c r="H187" s="160"/>
    </row>
    <row r="188" spans="1:8" ht="13.5" thickBot="1">
      <c r="A188" s="146"/>
      <c r="B188" s="123"/>
      <c r="C188" s="108"/>
      <c r="D188" s="115"/>
      <c r="E188" s="143"/>
      <c r="F188" s="37"/>
      <c r="G188" s="197"/>
      <c r="H188" s="160"/>
    </row>
    <row r="189" spans="1:8" ht="13.5" thickTop="1">
      <c r="A189" s="170"/>
      <c r="B189" s="127"/>
      <c r="C189" s="109"/>
      <c r="D189" s="95"/>
      <c r="E189" s="144"/>
      <c r="F189" s="7"/>
      <c r="G189" s="120"/>
      <c r="H189" s="171"/>
    </row>
    <row r="190" spans="1:8" ht="12.75">
      <c r="A190" s="164" t="s">
        <v>58</v>
      </c>
      <c r="B190" s="123"/>
      <c r="C190" s="110"/>
      <c r="D190" s="115"/>
      <c r="E190" s="142"/>
      <c r="F190" s="3"/>
      <c r="G190" s="119"/>
      <c r="H190" s="160"/>
    </row>
    <row r="191" spans="1:8" ht="12.75">
      <c r="A191" s="150" t="s">
        <v>83</v>
      </c>
      <c r="B191" s="119"/>
      <c r="C191" s="111"/>
      <c r="D191" s="115"/>
      <c r="E191" s="143"/>
      <c r="F191" s="3"/>
      <c r="G191" s="119"/>
      <c r="H191" s="160"/>
    </row>
    <row r="192" spans="1:8" ht="12.75">
      <c r="A192" s="150"/>
      <c r="B192" s="119"/>
      <c r="C192" s="111"/>
      <c r="D192" s="115"/>
      <c r="E192" s="143"/>
      <c r="F192" s="3"/>
      <c r="G192" s="119"/>
      <c r="H192" s="160"/>
    </row>
    <row r="193" spans="1:8" ht="12.75">
      <c r="A193" s="151" t="s">
        <v>218</v>
      </c>
      <c r="B193" s="123"/>
      <c r="C193" s="108"/>
      <c r="D193" s="116"/>
      <c r="E193" s="304">
        <f>REGINFO!D62</f>
        <v>336801.984225</v>
      </c>
      <c r="F193" s="3"/>
      <c r="G193" s="119"/>
      <c r="H193" s="160"/>
    </row>
    <row r="194" spans="1:8" ht="12.75">
      <c r="A194" s="151" t="s">
        <v>245</v>
      </c>
      <c r="B194" s="123"/>
      <c r="C194" s="108"/>
      <c r="D194" s="116"/>
      <c r="E194" s="304">
        <f>REGINFO!D66</f>
        <v>235829.49308325545</v>
      </c>
      <c r="F194" s="3"/>
      <c r="G194" s="119"/>
      <c r="H194" s="160"/>
    </row>
    <row r="195" spans="1:8" ht="12.75">
      <c r="A195" s="151"/>
      <c r="B195" s="123"/>
      <c r="C195" s="108"/>
      <c r="D195" s="116"/>
      <c r="E195" s="145"/>
      <c r="F195" s="3"/>
      <c r="G195" s="119"/>
      <c r="H195" s="160"/>
    </row>
    <row r="196" spans="1:8" ht="12.75">
      <c r="A196" s="151" t="s">
        <v>336</v>
      </c>
      <c r="B196" s="123"/>
      <c r="C196" s="108"/>
      <c r="D196" s="116"/>
      <c r="E196" s="304">
        <f>E193-E194</f>
        <v>100972.49114174457</v>
      </c>
      <c r="F196" s="3"/>
      <c r="G196" s="119"/>
      <c r="H196" s="160"/>
    </row>
    <row r="197" spans="1:8" ht="12.75">
      <c r="A197" s="151" t="s">
        <v>337</v>
      </c>
      <c r="B197" s="123"/>
      <c r="C197" s="108"/>
      <c r="D197" s="116"/>
      <c r="E197" s="143"/>
      <c r="F197" s="3"/>
      <c r="G197" s="119"/>
      <c r="H197" s="160"/>
    </row>
    <row r="198" spans="1:8" ht="12.75">
      <c r="A198" s="151"/>
      <c r="B198" s="123"/>
      <c r="C198" s="108"/>
      <c r="D198" s="116"/>
      <c r="E198" s="143"/>
      <c r="F198" s="3"/>
      <c r="G198" s="119"/>
      <c r="H198" s="160"/>
    </row>
    <row r="199" spans="1:8" ht="12.75">
      <c r="A199" s="164" t="s">
        <v>251</v>
      </c>
      <c r="B199" s="123"/>
      <c r="C199" s="108"/>
      <c r="D199" s="116"/>
      <c r="E199" s="143"/>
      <c r="F199" s="3"/>
      <c r="G199" s="450"/>
      <c r="H199" s="160"/>
    </row>
    <row r="200" spans="1:8" ht="12.75">
      <c r="A200" s="172" t="s">
        <v>85</v>
      </c>
      <c r="B200" s="123"/>
      <c r="C200" s="108"/>
      <c r="D200" s="116"/>
      <c r="E200" s="143"/>
      <c r="H200" s="160"/>
    </row>
    <row r="201" spans="1:8" ht="12.75">
      <c r="A201" s="151" t="s">
        <v>246</v>
      </c>
      <c r="B201" s="123"/>
      <c r="C201" s="108"/>
      <c r="D201" s="116"/>
      <c r="E201" s="304">
        <f>G37+G42</f>
        <v>172303</v>
      </c>
      <c r="F201" s="3"/>
      <c r="G201" s="450"/>
      <c r="H201" s="160"/>
    </row>
    <row r="202" spans="1:8" ht="12.75">
      <c r="A202" s="456" t="s">
        <v>446</v>
      </c>
      <c r="B202" s="123"/>
      <c r="C202" s="108"/>
      <c r="D202" s="116"/>
      <c r="E202" s="304">
        <f>REGINFO!D62</f>
        <v>336801.984225</v>
      </c>
      <c r="F202" s="3"/>
      <c r="G202" s="119"/>
      <c r="H202" s="160"/>
    </row>
    <row r="203" spans="1:8" ht="12.75">
      <c r="A203" s="151"/>
      <c r="B203" s="123"/>
      <c r="C203" s="108"/>
      <c r="D203" s="116"/>
      <c r="E203" s="145"/>
      <c r="F203" s="3"/>
      <c r="G203" s="119"/>
      <c r="H203" s="160"/>
    </row>
    <row r="204" spans="1:8" ht="12.75">
      <c r="A204" s="151" t="s">
        <v>84</v>
      </c>
      <c r="B204" s="123"/>
      <c r="C204" s="108"/>
      <c r="D204" s="116"/>
      <c r="E204" s="299">
        <f>IF((E201-E202)&gt;0,E201-E202,0)</f>
        <v>0</v>
      </c>
      <c r="F204" s="3"/>
      <c r="G204" s="119"/>
      <c r="H204" s="160"/>
    </row>
    <row r="205" spans="1:8" ht="12.75">
      <c r="A205" s="151"/>
      <c r="B205" s="123"/>
      <c r="C205" s="108"/>
      <c r="D205" s="116"/>
      <c r="E205" s="145"/>
      <c r="F205" s="3"/>
      <c r="G205" s="119"/>
      <c r="H205" s="160"/>
    </row>
    <row r="206" spans="1:8" ht="12.75">
      <c r="A206" s="164" t="s">
        <v>440</v>
      </c>
      <c r="B206" s="123"/>
      <c r="C206" s="108"/>
      <c r="D206" s="116"/>
      <c r="E206" s="435">
        <f>IF((E201-E202)&gt;0,E201-E202,0)</f>
        <v>0</v>
      </c>
      <c r="F206" s="3"/>
      <c r="G206" s="119"/>
      <c r="H206" s="160"/>
    </row>
    <row r="207" spans="1:8" ht="12.75">
      <c r="A207" s="151"/>
      <c r="B207" s="123"/>
      <c r="C207" s="108"/>
      <c r="D207" s="116"/>
      <c r="E207" s="145"/>
      <c r="F207" s="3"/>
      <c r="G207" s="119"/>
      <c r="H207" s="160"/>
    </row>
    <row r="208" spans="1:8" ht="13.5" thickBot="1">
      <c r="A208" s="173" t="s">
        <v>219</v>
      </c>
      <c r="B208" s="174"/>
      <c r="C208" s="175"/>
      <c r="D208" s="176"/>
      <c r="E208" s="305">
        <f>+E196-E204</f>
        <v>100972.49114174457</v>
      </c>
      <c r="F208" s="71"/>
      <c r="G208" s="198"/>
      <c r="H208" s="177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69"/>
    </row>
    <row r="220" spans="4:5" ht="12.75">
      <c r="D220" s="81"/>
      <c r="E220" s="69"/>
    </row>
    <row r="221" spans="3:5" ht="12.75">
      <c r="C221" t="s">
        <v>100</v>
      </c>
      <c r="D221" s="81"/>
      <c r="E221" s="69"/>
    </row>
    <row r="222" spans="3:5" ht="12.75">
      <c r="C222" t="s">
        <v>100</v>
      </c>
      <c r="D222" s="81"/>
      <c r="E222" s="69"/>
    </row>
    <row r="223" spans="3:5" ht="12.75">
      <c r="C223" t="s">
        <v>100</v>
      </c>
      <c r="D223" s="81"/>
      <c r="E223" s="69"/>
    </row>
    <row r="224" spans="4:5" ht="12.75">
      <c r="D224" s="81"/>
      <c r="E224" s="69"/>
    </row>
    <row r="225" spans="4:5" ht="12.75">
      <c r="D225" s="81"/>
      <c r="E225" s="69"/>
    </row>
    <row r="226" spans="4:5" ht="12.75">
      <c r="D226" s="81"/>
      <c r="E226" s="69"/>
    </row>
    <row r="227" spans="4:5" ht="12.75">
      <c r="D227" s="81"/>
      <c r="E227" s="69"/>
    </row>
    <row r="228" spans="4:5" ht="12.75">
      <c r="D228" s="81"/>
      <c r="E228" s="69"/>
    </row>
    <row r="229" spans="4:5" ht="12.75">
      <c r="D229" s="81"/>
      <c r="E229" s="69"/>
    </row>
    <row r="230" spans="4:5" ht="12.75">
      <c r="D230" s="81"/>
      <c r="E230" s="69"/>
    </row>
    <row r="231" spans="4:5" ht="12.75">
      <c r="D231" s="81"/>
      <c r="E231" s="69"/>
    </row>
    <row r="232" spans="4:5" ht="12.75">
      <c r="D232" s="81"/>
      <c r="E232" s="69"/>
    </row>
    <row r="233" spans="4:5" ht="12.75">
      <c r="D233" s="81"/>
      <c r="E233" s="69"/>
    </row>
    <row r="234" spans="4:5" ht="12.75">
      <c r="D234" s="81"/>
      <c r="E234" s="69"/>
    </row>
    <row r="235" spans="4:5" ht="12.75">
      <c r="D235" s="81"/>
      <c r="E235" s="69"/>
    </row>
    <row r="236" spans="4:5" ht="12.75">
      <c r="D236" s="81"/>
      <c r="E236" s="69"/>
    </row>
    <row r="237" spans="4:5" ht="12.75">
      <c r="D237" s="81"/>
      <c r="E237" s="69"/>
    </row>
    <row r="238" spans="4:5" ht="12.75">
      <c r="D238" s="81"/>
      <c r="E238" s="69"/>
    </row>
    <row r="239" spans="4:5" ht="12.75">
      <c r="D239" s="81"/>
      <c r="E239" s="69"/>
    </row>
    <row r="240" spans="4:5" ht="12.75">
      <c r="D240" s="81"/>
      <c r="E240" s="69"/>
    </row>
    <row r="241" spans="4:5" ht="12.75">
      <c r="D241" s="81"/>
      <c r="E241" s="69"/>
    </row>
    <row r="242" spans="4:5" ht="12.75">
      <c r="D242" s="81"/>
      <c r="E242" s="69"/>
    </row>
    <row r="243" spans="4:5" ht="12.75">
      <c r="D243" s="81"/>
      <c r="E243" s="69"/>
    </row>
    <row r="244" spans="4:5" ht="12.75">
      <c r="D244" s="81"/>
      <c r="E244" s="69"/>
    </row>
    <row r="245" spans="4:5" ht="12.75">
      <c r="D245" s="81"/>
      <c r="E245" s="69"/>
    </row>
    <row r="246" spans="4:5" ht="12.75">
      <c r="D246" s="81"/>
      <c r="E246" s="69"/>
    </row>
    <row r="247" spans="4:5" ht="12.75">
      <c r="D247" s="81"/>
      <c r="E247" s="69"/>
    </row>
    <row r="248" spans="4:5" ht="12.75">
      <c r="D248" s="81"/>
      <c r="E248" s="69"/>
    </row>
    <row r="249" spans="4:5" ht="12.75">
      <c r="D249" s="81"/>
      <c r="E249" s="69"/>
    </row>
    <row r="250" spans="4:5" ht="12.75">
      <c r="D250" s="81"/>
      <c r="E250" s="69"/>
    </row>
  </sheetData>
  <sheetProtection/>
  <printOptions gridLines="1" headings="1"/>
  <pageMargins left="0.35433070866141736" right="0.03937007874015748" top="0.7" bottom="0.34" header="0.19" footer="0"/>
  <pageSetup fitToHeight="2" horizontalDpi="600" verticalDpi="600" orientation="portrait" scale="85" r:id="rId1"/>
  <headerFooter alignWithMargins="0">
    <oddHeader>&amp;R&amp;9Wasaga Distribution Inc.
EB-2008-0381
Deferred PILs Combined Proceeding
Appendix 17</oddHeader>
    <oddFooter>&amp;L&amp;8June 30, 2012&amp;R&amp;"Arial,Bold"&amp;9&amp;A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workbookViewId="0" topLeftCell="A127">
      <selection activeCell="A68" sqref="A6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1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174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Wasaga Distribution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210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211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118</v>
      </c>
      <c r="B11" s="20"/>
      <c r="C11" s="421">
        <f>REGINFO!B6</f>
        <v>365</v>
      </c>
      <c r="D11" s="37" t="s">
        <v>123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212</v>
      </c>
      <c r="C13" s="254">
        <f>0.25%*Ratebase*REGINFO!D33</f>
        <v>11613.861525</v>
      </c>
      <c r="D13" s="79" t="s">
        <v>182</v>
      </c>
      <c r="E13" s="25"/>
      <c r="F13" s="20"/>
      <c r="G13" s="3"/>
      <c r="H13" s="3"/>
      <c r="I13" s="3"/>
    </row>
    <row r="14" spans="1:9" ht="12.75">
      <c r="A14" s="2" t="s">
        <v>116</v>
      </c>
      <c r="B14" s="20" t="s">
        <v>64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117</v>
      </c>
      <c r="B15" s="20" t="s">
        <v>64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5" t="s">
        <v>222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64</v>
      </c>
      <c r="C17" s="8"/>
      <c r="E17" s="26"/>
      <c r="F17" s="8"/>
    </row>
    <row r="18" spans="1:6" ht="12.75">
      <c r="A18" s="52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145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5" t="s">
        <v>146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9" t="s">
        <v>319</v>
      </c>
      <c r="B23" s="390"/>
      <c r="C23" s="391"/>
      <c r="D23" s="392"/>
      <c r="E23" s="28"/>
      <c r="F23" s="11"/>
      <c r="G23" s="11"/>
      <c r="H23" s="6"/>
      <c r="I23" s="6"/>
    </row>
    <row r="24" spans="1:9" ht="12.75">
      <c r="A24" s="389" t="s">
        <v>253</v>
      </c>
      <c r="B24" s="390"/>
      <c r="C24" s="391"/>
      <c r="D24" s="392"/>
      <c r="E24" s="28"/>
      <c r="F24" s="11"/>
      <c r="G24" s="11"/>
      <c r="H24" s="6"/>
      <c r="I24" s="6"/>
    </row>
    <row r="25" spans="1:9" ht="12.75">
      <c r="A25" s="389" t="s">
        <v>217</v>
      </c>
      <c r="B25" s="390"/>
      <c r="C25" s="391"/>
      <c r="D25" s="392"/>
      <c r="E25" s="28"/>
      <c r="F25" s="11"/>
      <c r="G25" s="11"/>
      <c r="H25" s="6"/>
      <c r="I25" s="6"/>
    </row>
    <row r="26" spans="1:9" ht="12.75">
      <c r="A26" s="56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9" t="s">
        <v>317</v>
      </c>
      <c r="B27" s="390"/>
      <c r="C27" s="391"/>
      <c r="D27" s="392"/>
      <c r="E27" s="28"/>
      <c r="F27" s="11"/>
      <c r="G27" s="11"/>
      <c r="H27" s="6"/>
      <c r="I27" s="6"/>
    </row>
    <row r="28" spans="1:9" ht="12.75">
      <c r="A28" s="389" t="s">
        <v>318</v>
      </c>
      <c r="B28" s="390"/>
      <c r="C28" s="391"/>
      <c r="D28" s="39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175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4" t="s">
        <v>268</v>
      </c>
      <c r="B31" s="23" t="s">
        <v>183</v>
      </c>
      <c r="C31" s="281">
        <v>6085829</v>
      </c>
      <c r="D31" s="282"/>
      <c r="E31" s="280">
        <f>C31-D31</f>
        <v>6085829</v>
      </c>
      <c r="F31" s="11"/>
      <c r="G31" s="11"/>
      <c r="H31" s="6"/>
      <c r="I31" s="6"/>
    </row>
    <row r="32" spans="1:9" ht="12.75">
      <c r="A32" s="4" t="s">
        <v>216</v>
      </c>
      <c r="B32" s="23" t="s">
        <v>183</v>
      </c>
      <c r="C32" s="281">
        <v>2536911</v>
      </c>
      <c r="D32" s="282"/>
      <c r="E32" s="280">
        <f>C32-D32</f>
        <v>2536911</v>
      </c>
      <c r="F32" s="11"/>
      <c r="G32" s="11"/>
      <c r="H32" s="6"/>
      <c r="I32" s="6"/>
    </row>
    <row r="33" spans="1:9" ht="12.75">
      <c r="A33" s="4" t="s">
        <v>206</v>
      </c>
      <c r="B33" s="23" t="s">
        <v>183</v>
      </c>
      <c r="C33" s="281">
        <v>228049</v>
      </c>
      <c r="D33" s="282"/>
      <c r="E33" s="280">
        <f>C33-D33</f>
        <v>228049</v>
      </c>
      <c r="F33" s="11"/>
      <c r="G33" s="11"/>
      <c r="H33" s="6"/>
      <c r="I33" s="6"/>
    </row>
    <row r="34" spans="1:9" ht="12.75">
      <c r="A34" s="4" t="s">
        <v>220</v>
      </c>
      <c r="B34" s="23" t="s">
        <v>183</v>
      </c>
      <c r="C34" s="281"/>
      <c r="D34" s="282"/>
      <c r="E34" s="280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183</v>
      </c>
      <c r="C35" s="281"/>
      <c r="D35" s="282"/>
      <c r="E35" s="280">
        <f>C35-D35</f>
        <v>0</v>
      </c>
      <c r="F35" s="11"/>
      <c r="G35" s="11"/>
      <c r="H35" s="6"/>
      <c r="I35" s="6"/>
    </row>
    <row r="36" spans="1:9" ht="12.75">
      <c r="A36" s="54" t="s">
        <v>177</v>
      </c>
      <c r="B36" s="23"/>
      <c r="C36" s="42"/>
      <c r="D36" s="42"/>
      <c r="E36" s="230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6"/>
      <c r="F38" s="11"/>
      <c r="G38" s="11"/>
      <c r="H38" s="6"/>
      <c r="I38" s="6"/>
    </row>
    <row r="39" spans="1:9" ht="12.75">
      <c r="A39" s="46" t="s">
        <v>204</v>
      </c>
      <c r="B39" s="23" t="s">
        <v>184</v>
      </c>
      <c r="C39" s="281">
        <v>6085829</v>
      </c>
      <c r="D39" s="282"/>
      <c r="E39" s="280">
        <f>C39-D39</f>
        <v>6085829</v>
      </c>
      <c r="F39" s="11"/>
      <c r="G39" s="11"/>
      <c r="H39" s="6"/>
      <c r="I39" s="6"/>
    </row>
    <row r="40" spans="1:9" ht="12.75">
      <c r="A40" s="46" t="s">
        <v>205</v>
      </c>
      <c r="B40" s="23" t="s">
        <v>184</v>
      </c>
      <c r="C40" s="281">
        <v>1056324</v>
      </c>
      <c r="D40" s="282"/>
      <c r="E40" s="280">
        <f aca="true" t="shared" si="0" ref="E40:E48">C40-D40</f>
        <v>1056324</v>
      </c>
      <c r="F40" s="11"/>
      <c r="G40" s="11"/>
      <c r="H40" s="6"/>
      <c r="I40" s="6"/>
    </row>
    <row r="41" spans="1:9" ht="12.75">
      <c r="A41" s="4" t="s">
        <v>269</v>
      </c>
      <c r="B41" s="23" t="s">
        <v>184</v>
      </c>
      <c r="C41" s="281"/>
      <c r="D41" s="282"/>
      <c r="E41" s="280">
        <f t="shared" si="0"/>
        <v>0</v>
      </c>
      <c r="F41" s="11"/>
      <c r="G41" s="11"/>
      <c r="H41" s="6"/>
      <c r="I41" s="6"/>
    </row>
    <row r="42" spans="1:9" ht="12.75">
      <c r="A42" s="4" t="s">
        <v>270</v>
      </c>
      <c r="B42" s="23" t="s">
        <v>184</v>
      </c>
      <c r="C42" s="281">
        <f>43588+39525+8207+85251</f>
        <v>176571</v>
      </c>
      <c r="D42" s="282"/>
      <c r="E42" s="280">
        <f t="shared" si="0"/>
        <v>176571</v>
      </c>
      <c r="F42" s="11"/>
      <c r="G42" s="11"/>
      <c r="H42" s="6"/>
      <c r="I42" s="6"/>
    </row>
    <row r="43" spans="1:9" ht="12.75">
      <c r="A43" s="4" t="s">
        <v>271</v>
      </c>
      <c r="B43" s="23" t="s">
        <v>184</v>
      </c>
      <c r="C43" s="281">
        <v>512636</v>
      </c>
      <c r="D43" s="282"/>
      <c r="E43" s="280">
        <f t="shared" si="0"/>
        <v>512636</v>
      </c>
      <c r="F43" s="11"/>
      <c r="G43" s="11"/>
      <c r="H43" s="6"/>
      <c r="I43" s="6"/>
    </row>
    <row r="44" spans="1:9" ht="12.75">
      <c r="A44" s="4" t="s">
        <v>272</v>
      </c>
      <c r="B44" s="23" t="s">
        <v>184</v>
      </c>
      <c r="C44" s="281"/>
      <c r="D44" s="282"/>
      <c r="E44" s="280">
        <f t="shared" si="0"/>
        <v>0</v>
      </c>
      <c r="F44" s="11"/>
      <c r="G44" s="11"/>
      <c r="H44" s="6"/>
      <c r="I44" s="6"/>
    </row>
    <row r="45" spans="1:11" ht="12.75">
      <c r="A45" s="405"/>
      <c r="B45" s="23" t="s">
        <v>184</v>
      </c>
      <c r="C45" s="281"/>
      <c r="D45" s="282"/>
      <c r="E45" s="280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184</v>
      </c>
      <c r="C46" s="281"/>
      <c r="D46" s="282"/>
      <c r="E46" s="280">
        <f t="shared" si="0"/>
        <v>0</v>
      </c>
      <c r="F46" s="11"/>
      <c r="G46" s="80"/>
      <c r="H46" s="33"/>
      <c r="I46" s="33"/>
      <c r="J46" s="32"/>
      <c r="K46" s="32"/>
    </row>
    <row r="47" spans="1:11" ht="12.75">
      <c r="A47" s="48"/>
      <c r="B47" s="23" t="s">
        <v>184</v>
      </c>
      <c r="C47" s="281"/>
      <c r="D47" s="282"/>
      <c r="E47" s="280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184</v>
      </c>
      <c r="C48" s="281"/>
      <c r="D48" s="282"/>
      <c r="E48" s="280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4"/>
      <c r="B49" s="23"/>
      <c r="C49" s="42"/>
      <c r="D49" s="43"/>
      <c r="E49" s="60"/>
      <c r="F49" s="11"/>
      <c r="G49" s="11"/>
      <c r="H49" s="6"/>
      <c r="I49" s="6"/>
    </row>
    <row r="50" spans="1:9" ht="12.75">
      <c r="A50" s="2" t="s">
        <v>82</v>
      </c>
      <c r="B50" s="23" t="s">
        <v>185</v>
      </c>
      <c r="C50" s="277">
        <f>SUM(C31:C36)-SUM(C39:C49)</f>
        <v>1019429</v>
      </c>
      <c r="D50" s="277">
        <f>SUM(D31:D36)-SUM(D39:D49)</f>
        <v>0</v>
      </c>
      <c r="E50" s="277">
        <f>SUM(E31:E35)-SUM(E39:E48)</f>
        <v>1019429</v>
      </c>
      <c r="F50" s="11"/>
      <c r="G50" s="11"/>
      <c r="H50" s="6"/>
      <c r="I50" s="6"/>
    </row>
    <row r="51" spans="1:9" ht="12.75">
      <c r="A51" s="4" t="s">
        <v>91</v>
      </c>
      <c r="B51" s="23" t="s">
        <v>184</v>
      </c>
      <c r="C51" s="281">
        <v>172303</v>
      </c>
      <c r="D51" s="281"/>
      <c r="E51" s="278">
        <f>+C51-D51</f>
        <v>172303</v>
      </c>
      <c r="F51" s="11"/>
      <c r="G51" s="11"/>
      <c r="H51" s="6"/>
      <c r="I51" s="6"/>
    </row>
    <row r="52" spans="1:7" ht="12.75">
      <c r="A52" t="s">
        <v>178</v>
      </c>
      <c r="B52" s="8" t="s">
        <v>184</v>
      </c>
      <c r="C52" s="281">
        <v>324328</v>
      </c>
      <c r="D52" s="281"/>
      <c r="E52" s="279">
        <f>+C52-D52</f>
        <v>324328</v>
      </c>
      <c r="F52" s="8"/>
      <c r="G52" s="405"/>
    </row>
    <row r="53" spans="1:6" ht="12.75">
      <c r="A53" s="2" t="s">
        <v>127</v>
      </c>
      <c r="B53" s="8" t="s">
        <v>185</v>
      </c>
      <c r="C53" s="277">
        <f>C50-C51-C52</f>
        <v>522798</v>
      </c>
      <c r="D53" s="277">
        <f>D50-D51-D52</f>
        <v>0</v>
      </c>
      <c r="E53" s="277">
        <f>E50-E51-E52</f>
        <v>522798</v>
      </c>
      <c r="F53" s="8"/>
    </row>
    <row r="54" spans="1:6" ht="24">
      <c r="A54" s="83" t="s">
        <v>209</v>
      </c>
      <c r="B54" s="8"/>
      <c r="C54" s="29"/>
      <c r="D54" s="29"/>
      <c r="E54" s="29"/>
      <c r="F54" s="8"/>
    </row>
    <row r="55" spans="1:6" ht="12.75">
      <c r="A55" s="78"/>
      <c r="B55" s="8"/>
      <c r="C55" s="29"/>
      <c r="D55" s="29"/>
      <c r="E55" s="29"/>
      <c r="F55" s="8"/>
    </row>
    <row r="56" spans="1:6" ht="12.75">
      <c r="A56" s="14" t="s">
        <v>173</v>
      </c>
      <c r="B56" s="8"/>
      <c r="C56" s="29"/>
      <c r="D56" s="29"/>
      <c r="E56" s="29"/>
      <c r="F56" s="8"/>
    </row>
    <row r="57" spans="1:6" ht="12.75">
      <c r="A57" s="15" t="s">
        <v>161</v>
      </c>
      <c r="B57" s="8"/>
      <c r="C57" s="29"/>
      <c r="D57" s="29"/>
      <c r="E57" s="29"/>
      <c r="F57" s="8"/>
    </row>
    <row r="58" spans="1:6" ht="12.75">
      <c r="A58" s="2" t="s">
        <v>162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183</v>
      </c>
      <c r="C59" s="283">
        <f>C52</f>
        <v>324328</v>
      </c>
      <c r="D59" s="283">
        <f>D52</f>
        <v>0</v>
      </c>
      <c r="E59" s="268">
        <f>+C59-D59</f>
        <v>324328</v>
      </c>
      <c r="F59" s="8"/>
      <c r="G59" s="405"/>
    </row>
    <row r="60" spans="1:6" ht="12.75">
      <c r="A60" s="4" t="s">
        <v>320</v>
      </c>
      <c r="B60" s="8" t="s">
        <v>183</v>
      </c>
      <c r="C60" s="314"/>
      <c r="D60" s="314"/>
      <c r="E60" s="268">
        <f>+C60-D60</f>
        <v>0</v>
      </c>
      <c r="F60" s="8"/>
    </row>
    <row r="61" spans="1:7" ht="12.75">
      <c r="A61" t="s">
        <v>4</v>
      </c>
      <c r="B61" s="8" t="s">
        <v>183</v>
      </c>
      <c r="C61" s="283">
        <f>C43</f>
        <v>512636</v>
      </c>
      <c r="D61" s="283">
        <f>D43</f>
        <v>0</v>
      </c>
      <c r="E61" s="268">
        <f>+C61-D61</f>
        <v>512636</v>
      </c>
      <c r="F61" s="8"/>
      <c r="G61" s="405"/>
    </row>
    <row r="62" spans="1:6" ht="12.75">
      <c r="A62" t="s">
        <v>6</v>
      </c>
      <c r="B62" s="8" t="s">
        <v>183</v>
      </c>
      <c r="C62" s="314"/>
      <c r="D62" s="283">
        <v>0</v>
      </c>
      <c r="E62" s="268">
        <f>+C62-D62</f>
        <v>0</v>
      </c>
      <c r="F62" s="8"/>
    </row>
    <row r="63" spans="1:6" ht="12.75">
      <c r="A63" s="31" t="s">
        <v>273</v>
      </c>
      <c r="B63" s="8" t="s">
        <v>183</v>
      </c>
      <c r="C63" s="312">
        <f>'Tax Reserves'!C22</f>
        <v>0</v>
      </c>
      <c r="D63" s="313">
        <f>'Tax Reserves'!D22</f>
        <v>0</v>
      </c>
      <c r="E63" s="268">
        <f>C63-D63</f>
        <v>0</v>
      </c>
      <c r="F63" s="8"/>
    </row>
    <row r="64" spans="1:6" ht="12.75">
      <c r="A64" s="4" t="s">
        <v>52</v>
      </c>
      <c r="B64" s="8" t="s">
        <v>183</v>
      </c>
      <c r="C64" s="312">
        <f>'Tax Reserves'!C63</f>
        <v>0</v>
      </c>
      <c r="D64" s="313">
        <f>'Tax Reserves'!D63</f>
        <v>0</v>
      </c>
      <c r="E64" s="268">
        <f>+C64-D64</f>
        <v>0</v>
      </c>
      <c r="F64" s="8"/>
    </row>
    <row r="65" spans="1:6" ht="12.75">
      <c r="A65" t="s">
        <v>394</v>
      </c>
      <c r="B65" s="8" t="s">
        <v>183</v>
      </c>
      <c r="C65" s="282"/>
      <c r="D65" s="282"/>
      <c r="E65" s="268">
        <f>+C65-D65</f>
        <v>0</v>
      </c>
      <c r="F65" s="8"/>
    </row>
    <row r="66" spans="1:6" ht="15">
      <c r="A66" s="431" t="s">
        <v>380</v>
      </c>
      <c r="B66" s="8"/>
      <c r="C66" s="422">
        <f>'TAXREC 3 No True-up'!C47</f>
        <v>0</v>
      </c>
      <c r="D66" s="422">
        <f>'TAXREC 3 No True-up'!D47</f>
        <v>0</v>
      </c>
      <c r="E66" s="268">
        <f>+C66-D66</f>
        <v>0</v>
      </c>
      <c r="F66" s="8"/>
    </row>
    <row r="67" spans="1:6" ht="12.75">
      <c r="A67" t="s">
        <v>156</v>
      </c>
      <c r="B67" s="8" t="s">
        <v>183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11" ht="12.75">
      <c r="A68" t="s">
        <v>157</v>
      </c>
      <c r="B68" s="8" t="s">
        <v>183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45"/>
      <c r="H68" s="45"/>
      <c r="I68" s="23"/>
      <c r="J68" s="23"/>
      <c r="K68" s="72"/>
    </row>
    <row r="69" spans="3:11" ht="12.75">
      <c r="C69" s="22"/>
      <c r="D69" s="22"/>
      <c r="E69" s="293"/>
      <c r="F69" s="8"/>
      <c r="G69" s="45"/>
      <c r="H69" s="45"/>
      <c r="I69" s="23"/>
      <c r="J69" s="23"/>
      <c r="K69" s="72"/>
    </row>
    <row r="70" spans="1:11" ht="12.75">
      <c r="A70" s="10" t="s">
        <v>102</v>
      </c>
      <c r="B70" s="8"/>
      <c r="C70" s="268">
        <f>SUM(C59:C68)</f>
        <v>836964</v>
      </c>
      <c r="D70" s="268">
        <f>SUM(D59:D68)</f>
        <v>0</v>
      </c>
      <c r="E70" s="268">
        <f>SUM(E59:E68)</f>
        <v>836964</v>
      </c>
      <c r="F70" s="8"/>
      <c r="G70" s="45"/>
      <c r="H70" s="45"/>
      <c r="I70" s="23"/>
      <c r="J70" s="45"/>
      <c r="K70" s="72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202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183</v>
      </c>
      <c r="C73" s="290"/>
      <c r="D73" s="290"/>
      <c r="E73" s="268">
        <f aca="true" t="shared" si="1" ref="E73:E79">+C73-D73</f>
        <v>0</v>
      </c>
      <c r="F73" s="8"/>
      <c r="G73" s="73"/>
      <c r="H73" s="74"/>
      <c r="I73" s="75"/>
      <c r="J73" s="75"/>
      <c r="K73" s="75"/>
    </row>
    <row r="74" spans="1:11" ht="12.75">
      <c r="A74" t="s">
        <v>144</v>
      </c>
      <c r="B74" s="8" t="s">
        <v>183</v>
      </c>
      <c r="C74" s="290"/>
      <c r="D74" s="290"/>
      <c r="E74" s="268">
        <f t="shared" si="1"/>
        <v>0</v>
      </c>
      <c r="F74" s="8"/>
      <c r="G74" s="73"/>
      <c r="H74" s="74"/>
      <c r="I74" s="75"/>
      <c r="J74" s="74"/>
      <c r="K74" s="74"/>
    </row>
    <row r="75" spans="1:11" ht="12.75">
      <c r="A75" t="s">
        <v>7</v>
      </c>
      <c r="B75" s="8" t="s">
        <v>183</v>
      </c>
      <c r="C75" s="290"/>
      <c r="D75" s="290"/>
      <c r="E75" s="268">
        <f t="shared" si="1"/>
        <v>0</v>
      </c>
      <c r="F75" s="8"/>
      <c r="G75" s="73"/>
      <c r="H75" s="74"/>
      <c r="I75" s="75"/>
      <c r="J75" s="74"/>
      <c r="K75" s="74"/>
    </row>
    <row r="76" spans="1:11" ht="12.75">
      <c r="A76" s="62"/>
      <c r="B76" s="8" t="s">
        <v>183</v>
      </c>
      <c r="C76" s="446">
        <v>0</v>
      </c>
      <c r="D76" s="290"/>
      <c r="E76" s="442">
        <f t="shared" si="1"/>
        <v>0</v>
      </c>
      <c r="F76" s="8"/>
      <c r="G76" s="73"/>
      <c r="H76" s="74"/>
      <c r="I76" s="75"/>
      <c r="J76" s="74"/>
      <c r="K76" s="74"/>
    </row>
    <row r="77" spans="1:11" ht="12.75">
      <c r="A77" s="65"/>
      <c r="B77" s="8" t="s">
        <v>183</v>
      </c>
      <c r="C77" s="290"/>
      <c r="D77" s="290"/>
      <c r="E77" s="268">
        <f t="shared" si="1"/>
        <v>0</v>
      </c>
      <c r="F77" s="8"/>
      <c r="G77" s="73"/>
      <c r="H77" s="74"/>
      <c r="I77" s="75"/>
      <c r="J77" s="74"/>
      <c r="K77" s="74"/>
    </row>
    <row r="78" spans="1:11" ht="12.75">
      <c r="A78" s="62"/>
      <c r="B78" s="8" t="s">
        <v>183</v>
      </c>
      <c r="C78" s="290"/>
      <c r="D78" s="290"/>
      <c r="E78" s="268">
        <f t="shared" si="1"/>
        <v>0</v>
      </c>
      <c r="F78" s="8"/>
      <c r="G78" s="73"/>
      <c r="H78" s="74"/>
      <c r="I78" s="75"/>
      <c r="J78" s="74"/>
      <c r="K78" s="74"/>
    </row>
    <row r="79" spans="1:11" ht="12.75">
      <c r="A79" s="66"/>
      <c r="B79" s="8" t="s">
        <v>183</v>
      </c>
      <c r="C79" s="290"/>
      <c r="D79" s="290"/>
      <c r="E79" s="268">
        <f t="shared" si="1"/>
        <v>0</v>
      </c>
      <c r="F79" s="8"/>
      <c r="G79" s="73"/>
      <c r="H79" s="74"/>
      <c r="I79" s="75"/>
      <c r="J79" s="74"/>
      <c r="K79" s="74"/>
    </row>
    <row r="80" spans="1:11" ht="12.75">
      <c r="A80" s="61" t="s">
        <v>50</v>
      </c>
      <c r="B80" s="8" t="s">
        <v>185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4"/>
      <c r="I80" s="75"/>
      <c r="J80" s="75"/>
      <c r="K80" s="74"/>
    </row>
    <row r="81" spans="1:11" ht="12.75">
      <c r="A81" s="10"/>
      <c r="C81" s="22"/>
      <c r="D81" s="22"/>
      <c r="E81" s="22"/>
      <c r="F81" s="8"/>
      <c r="G81" s="74"/>
      <c r="H81" s="74"/>
      <c r="I81" s="70"/>
      <c r="J81" s="70"/>
      <c r="K81" s="70"/>
    </row>
    <row r="82" spans="1:11" ht="12.75">
      <c r="A82" s="4" t="s">
        <v>18</v>
      </c>
      <c r="B82" s="8" t="s">
        <v>185</v>
      </c>
      <c r="C82" s="247">
        <f>C70+C80</f>
        <v>836964</v>
      </c>
      <c r="D82" s="247">
        <f>D70+D80</f>
        <v>0</v>
      </c>
      <c r="E82" s="247">
        <f>E70+E80</f>
        <v>836964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0"/>
      <c r="D83" s="70"/>
      <c r="E83" s="70"/>
      <c r="F83" s="8"/>
      <c r="G83" s="45"/>
      <c r="H83" s="45"/>
      <c r="I83" s="45"/>
      <c r="J83" s="45"/>
      <c r="K83" s="45"/>
    </row>
    <row r="84" spans="1:11" ht="12.75">
      <c r="A84" s="276" t="s">
        <v>171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5" t="s">
        <v>147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69" t="s">
        <v>383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69" t="s">
        <v>192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184</v>
      </c>
      <c r="C97" s="290">
        <v>351566</v>
      </c>
      <c r="D97" s="290"/>
      <c r="E97" s="268">
        <f>+C97-D97</f>
        <v>351566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184</v>
      </c>
      <c r="C98" s="290">
        <v>1473</v>
      </c>
      <c r="D98" s="290"/>
      <c r="E98" s="268">
        <f>+C98-D98</f>
        <v>1473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184</v>
      </c>
      <c r="C99" s="290"/>
      <c r="D99" s="290"/>
      <c r="E99" s="268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184</v>
      </c>
      <c r="C100" s="290"/>
      <c r="D100" s="290"/>
      <c r="E100" s="268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184</v>
      </c>
      <c r="C101" s="290"/>
      <c r="D101" s="290"/>
      <c r="E101" s="283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184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184</v>
      </c>
      <c r="C103" s="290"/>
      <c r="D103" s="290"/>
      <c r="E103" s="279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184</v>
      </c>
      <c r="C104" s="315">
        <f>'Tax Reserves'!C35</f>
        <v>0</v>
      </c>
      <c r="D104" s="315">
        <f>'Tax Reserves'!D35</f>
        <v>0</v>
      </c>
      <c r="E104" s="268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184</v>
      </c>
      <c r="C105" s="315">
        <f>'Tax Reserves'!C50</f>
        <v>0</v>
      </c>
      <c r="D105" s="315">
        <f>'Tax Reserves'!D50</f>
        <v>0</v>
      </c>
      <c r="E105" s="278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184</v>
      </c>
      <c r="C106" s="290"/>
      <c r="D106" s="290"/>
      <c r="E106" s="268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184</v>
      </c>
      <c r="C107" s="290"/>
      <c r="D107" s="290"/>
      <c r="E107" s="268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31" t="s">
        <v>380</v>
      </c>
      <c r="B108" s="8"/>
      <c r="C108" s="250">
        <f>'TAXREC 3 No True-up'!C73</f>
        <v>31260</v>
      </c>
      <c r="D108" s="250">
        <f>'TAXREC 3 No True-up'!D73</f>
        <v>0</v>
      </c>
      <c r="E108" s="268">
        <f t="shared" si="5"/>
        <v>31260</v>
      </c>
      <c r="F108" s="8"/>
      <c r="G108" s="45"/>
      <c r="H108" s="45"/>
      <c r="I108" s="45"/>
      <c r="J108" s="45"/>
      <c r="K108" s="45"/>
    </row>
    <row r="109" spans="1:11" ht="12.75">
      <c r="A109" s="31" t="s">
        <v>179</v>
      </c>
      <c r="B109" s="8" t="s">
        <v>184</v>
      </c>
      <c r="C109" s="290"/>
      <c r="D109" s="290"/>
      <c r="E109" s="279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158</v>
      </c>
      <c r="B110" s="8" t="s">
        <v>184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159</v>
      </c>
      <c r="B111" s="8" t="s">
        <v>184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45"/>
      <c r="H111" s="45"/>
      <c r="I111" s="23"/>
      <c r="J111" s="23"/>
      <c r="K111" s="72"/>
    </row>
    <row r="112" spans="1:11" ht="12.75">
      <c r="A112" s="4"/>
      <c r="B112" s="8"/>
      <c r="C112" s="22"/>
      <c r="D112" s="22"/>
      <c r="E112" s="292"/>
      <c r="F112" s="8"/>
      <c r="G112" s="45"/>
      <c r="H112" s="45"/>
      <c r="I112" s="23"/>
      <c r="J112" s="45"/>
      <c r="K112" s="72"/>
    </row>
    <row r="113" spans="1:11" ht="12.75">
      <c r="A113" s="4" t="s">
        <v>160</v>
      </c>
      <c r="B113" s="8" t="s">
        <v>185</v>
      </c>
      <c r="C113" s="247">
        <f>SUM(C97:C111)</f>
        <v>384299</v>
      </c>
      <c r="D113" s="247">
        <f>SUM(D97:D111)</f>
        <v>0</v>
      </c>
      <c r="E113" s="247">
        <f>SUM(E97:E111)</f>
        <v>384299</v>
      </c>
      <c r="F113" s="8"/>
      <c r="G113" s="45"/>
      <c r="H113" s="45"/>
      <c r="I113" s="23"/>
      <c r="J113" s="45"/>
      <c r="K113" s="23"/>
    </row>
    <row r="114" spans="1:11" ht="12.75">
      <c r="A114" s="10" t="s">
        <v>201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184</v>
      </c>
      <c r="C115" s="290"/>
      <c r="D115" s="290"/>
      <c r="E115" s="268">
        <f>+C115-D115</f>
        <v>0</v>
      </c>
      <c r="F115" s="8"/>
      <c r="G115" s="73"/>
      <c r="H115" s="74"/>
      <c r="I115" s="75"/>
      <c r="J115" s="75"/>
      <c r="K115" s="75"/>
    </row>
    <row r="116" spans="1:11" ht="12.75">
      <c r="A116" s="65"/>
      <c r="B116" s="8" t="s">
        <v>184</v>
      </c>
      <c r="C116" s="290"/>
      <c r="D116" s="290"/>
      <c r="E116" s="268">
        <f>+C116-D116</f>
        <v>0</v>
      </c>
      <c r="F116" s="8"/>
      <c r="G116" s="73"/>
      <c r="H116" s="74"/>
      <c r="I116" s="74"/>
      <c r="J116" s="74"/>
      <c r="K116" s="74"/>
    </row>
    <row r="117" spans="1:11" ht="12.75">
      <c r="A117" s="65"/>
      <c r="B117" s="8" t="s">
        <v>184</v>
      </c>
      <c r="C117" s="290"/>
      <c r="D117" s="290"/>
      <c r="E117" s="268">
        <f>+C117-D117</f>
        <v>0</v>
      </c>
      <c r="F117" s="8"/>
      <c r="G117" s="73"/>
      <c r="H117" s="74"/>
      <c r="I117" s="74"/>
      <c r="J117" s="74"/>
      <c r="K117" s="74"/>
    </row>
    <row r="118" spans="1:11" ht="12.75">
      <c r="A118" s="65"/>
      <c r="B118" s="8"/>
      <c r="C118" s="290"/>
      <c r="D118" s="290"/>
      <c r="E118" s="268">
        <f>+C118-D118</f>
        <v>0</v>
      </c>
      <c r="F118" s="8"/>
      <c r="G118" s="73"/>
      <c r="H118" s="74"/>
      <c r="I118" s="74"/>
      <c r="J118" s="74"/>
      <c r="K118" s="74"/>
    </row>
    <row r="119" spans="1:11" ht="12.75">
      <c r="A119" s="66"/>
      <c r="B119" s="8" t="s">
        <v>184</v>
      </c>
      <c r="C119" s="290"/>
      <c r="D119" s="290"/>
      <c r="E119" s="268">
        <f>+C119-D119</f>
        <v>0</v>
      </c>
      <c r="F119" s="8"/>
      <c r="G119" s="73"/>
      <c r="H119" s="74"/>
      <c r="I119" s="74"/>
      <c r="J119" s="74"/>
      <c r="K119" s="74"/>
    </row>
    <row r="120" spans="1:11" ht="12.75">
      <c r="A120" s="10" t="s">
        <v>51</v>
      </c>
      <c r="B120" s="8" t="s">
        <v>185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6"/>
      <c r="H120" s="74"/>
      <c r="I120" s="74"/>
      <c r="J120" s="74"/>
      <c r="K120" s="74"/>
    </row>
    <row r="121" spans="2:11" ht="12.75">
      <c r="B121" s="8"/>
      <c r="C121" s="22"/>
      <c r="D121" s="22"/>
      <c r="E121" s="22"/>
      <c r="F121" s="8"/>
      <c r="G121" s="74"/>
      <c r="H121" s="74"/>
      <c r="I121" s="70"/>
      <c r="J121" s="70"/>
      <c r="K121" s="70"/>
    </row>
    <row r="122" spans="1:11" ht="12.75">
      <c r="A122" s="4" t="s">
        <v>19</v>
      </c>
      <c r="B122" s="8" t="s">
        <v>185</v>
      </c>
      <c r="C122" s="247">
        <f>C113+C120</f>
        <v>384299</v>
      </c>
      <c r="D122" s="247">
        <f>D113+D120</f>
        <v>0</v>
      </c>
      <c r="E122" s="247">
        <f>+E113+E120</f>
        <v>384299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7" t="s">
        <v>172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5" t="s">
        <v>194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69" t="s">
        <v>195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69" t="s">
        <v>193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185</v>
      </c>
      <c r="C134" s="247">
        <f>+C53+C82-C122</f>
        <v>975463</v>
      </c>
      <c r="D134" s="247">
        <f>D53+D82-D122</f>
        <v>0</v>
      </c>
      <c r="E134" s="247">
        <f>E53+E82-E122</f>
        <v>975463</v>
      </c>
      <c r="F134" s="8"/>
      <c r="G134" s="45"/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364</v>
      </c>
      <c r="B136" s="8" t="s">
        <v>184</v>
      </c>
      <c r="C136" s="290">
        <v>39746</v>
      </c>
      <c r="D136" s="290"/>
      <c r="E136" s="260">
        <f>C136-D136</f>
        <v>39746</v>
      </c>
      <c r="F136" s="8"/>
      <c r="G136" s="45"/>
      <c r="H136" s="45"/>
      <c r="I136" s="30"/>
      <c r="J136" s="45"/>
      <c r="K136" s="45"/>
    </row>
    <row r="137" spans="1:11" ht="12.75">
      <c r="A137" s="46" t="s">
        <v>365</v>
      </c>
      <c r="B137" s="8" t="s">
        <v>184</v>
      </c>
      <c r="C137" s="306"/>
      <c r="D137" s="306"/>
      <c r="E137" s="38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6"/>
      <c r="D138" s="306"/>
      <c r="E138" s="38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185</v>
      </c>
      <c r="C139" s="248">
        <f>C134-C136-C137-C138</f>
        <v>935717</v>
      </c>
      <c r="D139" s="248">
        <f>D134-D136-D137-D138</f>
        <v>0</v>
      </c>
      <c r="E139" s="248">
        <f>E134-E136-E137-E138</f>
        <v>935717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6" t="s">
        <v>300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316</v>
      </c>
      <c r="B142" s="8" t="s">
        <v>183</v>
      </c>
      <c r="C142" s="294">
        <v>199444</v>
      </c>
      <c r="D142" s="294"/>
      <c r="E142" s="248">
        <f>C142-D142</f>
        <v>199444</v>
      </c>
      <c r="F142" s="8"/>
      <c r="G142" s="45"/>
      <c r="H142" s="45"/>
      <c r="I142" s="45"/>
      <c r="J142" s="45"/>
      <c r="K142" s="45"/>
    </row>
    <row r="143" spans="1:11" ht="12.75">
      <c r="A143" s="46" t="s">
        <v>315</v>
      </c>
      <c r="B143" s="8" t="s">
        <v>183</v>
      </c>
      <c r="C143" s="294">
        <v>116965</v>
      </c>
      <c r="D143" s="294"/>
      <c r="E143" s="288">
        <f>C143-D143</f>
        <v>116965</v>
      </c>
      <c r="F143" s="8"/>
      <c r="G143" s="45"/>
      <c r="H143" s="45"/>
      <c r="I143" s="45"/>
      <c r="J143" s="45"/>
      <c r="K143" s="45"/>
    </row>
    <row r="144" spans="1:11" ht="12.75">
      <c r="A144" s="46" t="s">
        <v>169</v>
      </c>
      <c r="B144" s="8" t="s">
        <v>185</v>
      </c>
      <c r="C144" s="248">
        <f>C142+C143</f>
        <v>316409</v>
      </c>
      <c r="D144" s="248">
        <f>D142+D143</f>
        <v>0</v>
      </c>
      <c r="E144" s="248">
        <f>E142+E143</f>
        <v>316409</v>
      </c>
      <c r="F144" s="8"/>
      <c r="G144" s="45"/>
      <c r="H144" s="45"/>
      <c r="I144" s="45"/>
      <c r="J144" s="45"/>
      <c r="K144" s="45"/>
    </row>
    <row r="145" spans="1:11" ht="12.75">
      <c r="A145" s="46" t="s">
        <v>327</v>
      </c>
      <c r="B145" s="8" t="s">
        <v>184</v>
      </c>
      <c r="C145" s="294">
        <v>0</v>
      </c>
      <c r="D145" s="294"/>
      <c r="E145" s="289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6" t="s">
        <v>97</v>
      </c>
      <c r="B146" s="8" t="s">
        <v>185</v>
      </c>
      <c r="C146" s="248">
        <f>C144-C145</f>
        <v>316409</v>
      </c>
      <c r="D146" s="248">
        <f>D144-D145</f>
        <v>0</v>
      </c>
      <c r="E146" s="248">
        <f>E144-E145</f>
        <v>316409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6" t="s">
        <v>300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322</v>
      </c>
      <c r="B149" s="8"/>
      <c r="C149" s="394">
        <f>C142/C139</f>
        <v>0.21314564125691848</v>
      </c>
      <c r="D149" s="5"/>
      <c r="E149" s="395">
        <f>C149</f>
        <v>0.21314564125691848</v>
      </c>
      <c r="F149" s="8"/>
      <c r="G149" s="447" t="s">
        <v>418</v>
      </c>
      <c r="H149" s="45"/>
      <c r="I149" s="45"/>
      <c r="J149" s="458"/>
      <c r="K149" s="45"/>
    </row>
    <row r="150" spans="1:11" ht="12.75">
      <c r="A150" s="46" t="s">
        <v>323</v>
      </c>
      <c r="B150" s="8"/>
      <c r="C150" s="394">
        <f>C143/C139</f>
        <v>0.12500040076219626</v>
      </c>
      <c r="D150" s="452"/>
      <c r="E150" s="395">
        <f>C150</f>
        <v>0.12500040076219626</v>
      </c>
      <c r="F150" s="8"/>
      <c r="G150" s="447" t="s">
        <v>419</v>
      </c>
      <c r="H150" s="45"/>
      <c r="I150" s="45"/>
      <c r="J150" s="458"/>
      <c r="K150" s="45"/>
    </row>
    <row r="151" spans="1:11" ht="12.75">
      <c r="A151" t="s">
        <v>324</v>
      </c>
      <c r="B151" s="8"/>
      <c r="C151" s="395">
        <f>SUM(C149:C150)</f>
        <v>0.33814604201911475</v>
      </c>
      <c r="D151" s="5"/>
      <c r="E151" s="395">
        <f>SUM(E149:E150)</f>
        <v>0.33814604201911475</v>
      </c>
      <c r="F151" s="8"/>
      <c r="G151" s="45"/>
      <c r="H151" s="45"/>
      <c r="I151" s="45"/>
      <c r="J151" s="459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349</v>
      </c>
      <c r="B153" s="8"/>
    </row>
    <row r="154" spans="1:2" ht="12.75">
      <c r="A154" s="14"/>
      <c r="B154" s="8"/>
    </row>
    <row r="155" spans="1:2" ht="12.75">
      <c r="A155" s="2" t="s">
        <v>426</v>
      </c>
      <c r="B155" s="8"/>
    </row>
    <row r="156" spans="1:5" ht="12.75">
      <c r="A156" t="s">
        <v>214</v>
      </c>
      <c r="B156" s="82" t="s">
        <v>183</v>
      </c>
      <c r="C156" s="247">
        <f>C146</f>
        <v>316409</v>
      </c>
      <c r="D156" s="247">
        <f>D146</f>
        <v>0</v>
      </c>
      <c r="E156" s="247">
        <f>E146</f>
        <v>316409</v>
      </c>
    </row>
    <row r="157" spans="1:5" ht="12.75">
      <c r="A157" t="s">
        <v>20</v>
      </c>
      <c r="B157" s="82" t="s">
        <v>183</v>
      </c>
      <c r="C157" s="443">
        <v>16977</v>
      </c>
      <c r="D157" s="247"/>
      <c r="E157" s="247">
        <f>C157+D157</f>
        <v>16977</v>
      </c>
    </row>
    <row r="158" spans="1:5" ht="12.75">
      <c r="A158" t="s">
        <v>213</v>
      </c>
      <c r="B158" s="82" t="s">
        <v>183</v>
      </c>
      <c r="C158" s="443"/>
      <c r="D158" s="247"/>
      <c r="E158" s="247">
        <f>C158+D158</f>
        <v>0</v>
      </c>
    </row>
    <row r="159" ht="12.75">
      <c r="B159" s="8"/>
    </row>
    <row r="160" spans="1:5" ht="12.75">
      <c r="A160" s="2" t="s">
        <v>297</v>
      </c>
      <c r="B160" s="63" t="s">
        <v>185</v>
      </c>
      <c r="C160" s="247">
        <f>C156+C157+C158</f>
        <v>333386</v>
      </c>
      <c r="D160" s="247">
        <f>D156+D157+D158</f>
        <v>0</v>
      </c>
      <c r="E160" s="247">
        <f>E156+E157+E158</f>
        <v>333386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horizontalDpi="600" verticalDpi="600" orientation="portrait" scale="85" r:id="rId1"/>
  <headerFooter alignWithMargins="0">
    <oddHeader>&amp;R&amp;9Wasaga Distribution Inc.
EB-2008-0381
Deferred PILs Combined Proceeding
Appendix 17</oddHeader>
    <oddFooter>&amp;L&amp;8June 30, 2012&amp;R&amp;"Arial,Bold"&amp;9&amp;A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Layout" workbookViewId="0" topLeftCell="A1">
      <selection activeCell="A68" sqref="A6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296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Wasaga Distribution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126</v>
      </c>
    </row>
    <row r="11" ht="12.75">
      <c r="A11" s="2"/>
    </row>
    <row r="12" spans="1:5" ht="12.75">
      <c r="A12" s="243" t="s">
        <v>267</v>
      </c>
      <c r="B12" s="58"/>
      <c r="C12" s="307"/>
      <c r="D12" s="307"/>
      <c r="E12" s="58"/>
    </row>
    <row r="13" spans="1:5" ht="12.75">
      <c r="A13" s="58"/>
      <c r="B13" s="58"/>
      <c r="C13" s="290"/>
      <c r="D13" s="290"/>
      <c r="E13" s="247">
        <f>C13-D13</f>
        <v>0</v>
      </c>
    </row>
    <row r="14" spans="1:5" ht="12.75">
      <c r="A14" s="58" t="s">
        <v>275</v>
      </c>
      <c r="B14" s="58"/>
      <c r="C14" s="290"/>
      <c r="D14" s="290"/>
      <c r="E14" s="247">
        <f aca="true" t="shared" si="0" ref="E14:E21">C14-D14</f>
        <v>0</v>
      </c>
    </row>
    <row r="15" spans="1:5" ht="12.75">
      <c r="A15" s="58" t="s">
        <v>276</v>
      </c>
      <c r="B15" s="58"/>
      <c r="C15" s="290"/>
      <c r="D15" s="290"/>
      <c r="E15" s="247">
        <f t="shared" si="0"/>
        <v>0</v>
      </c>
    </row>
    <row r="16" spans="1:5" ht="12.75">
      <c r="A16" s="58" t="s">
        <v>277</v>
      </c>
      <c r="B16" s="58"/>
      <c r="C16" s="290"/>
      <c r="D16" s="290"/>
      <c r="E16" s="247">
        <f t="shared" si="0"/>
        <v>0</v>
      </c>
    </row>
    <row r="17" spans="1:5" ht="12.75">
      <c r="A17" s="58" t="s">
        <v>278</v>
      </c>
      <c r="B17" s="58"/>
      <c r="C17" s="290"/>
      <c r="D17" s="290"/>
      <c r="E17" s="247">
        <f t="shared" si="0"/>
        <v>0</v>
      </c>
    </row>
    <row r="18" spans="1:5" ht="12.75">
      <c r="A18" s="58" t="s">
        <v>399</v>
      </c>
      <c r="B18" s="58"/>
      <c r="C18" s="290"/>
      <c r="D18" s="290"/>
      <c r="E18" s="247">
        <f t="shared" si="0"/>
        <v>0</v>
      </c>
    </row>
    <row r="19" spans="1:5" ht="12.75">
      <c r="A19" s="58" t="s">
        <v>399</v>
      </c>
      <c r="B19" s="58"/>
      <c r="C19" s="290"/>
      <c r="D19" s="290"/>
      <c r="E19" s="247">
        <f t="shared" si="0"/>
        <v>0</v>
      </c>
    </row>
    <row r="20" spans="1:5" ht="12.75">
      <c r="A20" s="58"/>
      <c r="B20" s="58"/>
      <c r="C20" s="290"/>
      <c r="D20" s="290"/>
      <c r="E20" s="247">
        <f t="shared" si="0"/>
        <v>0</v>
      </c>
    </row>
    <row r="21" spans="1:5" ht="12.75">
      <c r="A21" s="58"/>
      <c r="B21" s="58"/>
      <c r="C21" s="306"/>
      <c r="D21" s="306"/>
      <c r="E21" s="275">
        <f t="shared" si="0"/>
        <v>0</v>
      </c>
    </row>
    <row r="22" spans="1:5" ht="12.75">
      <c r="A22" s="2" t="s">
        <v>176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266</v>
      </c>
      <c r="B24" s="58"/>
      <c r="C24" s="87"/>
      <c r="D24" s="87"/>
      <c r="E24" s="87"/>
    </row>
    <row r="25" spans="1:5" ht="12.75">
      <c r="A25" s="58"/>
      <c r="B25" s="58"/>
      <c r="C25" s="290"/>
      <c r="D25" s="290"/>
      <c r="E25" s="247">
        <f>C25-D25</f>
        <v>0</v>
      </c>
    </row>
    <row r="26" spans="1:5" ht="12.75">
      <c r="A26" s="58" t="s">
        <v>275</v>
      </c>
      <c r="B26" s="58"/>
      <c r="C26" s="290"/>
      <c r="D26" s="290"/>
      <c r="E26" s="247">
        <f aca="true" t="shared" si="1" ref="E26:E33">C26-D26</f>
        <v>0</v>
      </c>
    </row>
    <row r="27" spans="1:5" ht="12.75">
      <c r="A27" s="58" t="s">
        <v>276</v>
      </c>
      <c r="B27" s="58"/>
      <c r="C27" s="290"/>
      <c r="D27" s="290"/>
      <c r="E27" s="247">
        <f t="shared" si="1"/>
        <v>0</v>
      </c>
    </row>
    <row r="28" spans="1:5" ht="12.75">
      <c r="A28" s="58" t="s">
        <v>277</v>
      </c>
      <c r="B28" s="58"/>
      <c r="C28" s="290"/>
      <c r="D28" s="290"/>
      <c r="E28" s="247">
        <f t="shared" si="1"/>
        <v>0</v>
      </c>
    </row>
    <row r="29" spans="1:5" ht="12.75">
      <c r="A29" s="58" t="s">
        <v>278</v>
      </c>
      <c r="B29" s="58"/>
      <c r="C29" s="290"/>
      <c r="D29" s="290"/>
      <c r="E29" s="247">
        <f t="shared" si="1"/>
        <v>0</v>
      </c>
    </row>
    <row r="30" spans="1:5" ht="12.75">
      <c r="A30" s="58" t="s">
        <v>399</v>
      </c>
      <c r="B30" s="58"/>
      <c r="C30" s="290"/>
      <c r="D30" s="290"/>
      <c r="E30" s="247">
        <f t="shared" si="1"/>
        <v>0</v>
      </c>
    </row>
    <row r="31" spans="1:5" ht="12.75">
      <c r="A31" s="58" t="s">
        <v>399</v>
      </c>
      <c r="B31" s="58"/>
      <c r="C31" s="290"/>
      <c r="D31" s="290"/>
      <c r="E31" s="247">
        <f t="shared" si="1"/>
        <v>0</v>
      </c>
    </row>
    <row r="32" spans="1:5" ht="12.75">
      <c r="A32" s="58"/>
      <c r="B32" s="58"/>
      <c r="C32" s="290"/>
      <c r="D32" s="290"/>
      <c r="E32" s="247">
        <f t="shared" si="1"/>
        <v>0</v>
      </c>
    </row>
    <row r="33" spans="1:5" ht="13.5" thickBot="1">
      <c r="A33" s="59"/>
      <c r="B33" s="58"/>
      <c r="C33" s="290"/>
      <c r="D33" s="290"/>
      <c r="E33" s="247">
        <f t="shared" si="1"/>
        <v>0</v>
      </c>
    </row>
    <row r="34" spans="1:5" ht="12.75">
      <c r="A34" s="53" t="s">
        <v>128</v>
      </c>
      <c r="C34" s="22"/>
      <c r="D34" s="22"/>
      <c r="E34" s="275"/>
    </row>
    <row r="35" spans="1:5" ht="12.75">
      <c r="A35" s="2" t="s">
        <v>176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267</v>
      </c>
      <c r="B40" s="58"/>
      <c r="C40" s="87"/>
      <c r="D40" s="87"/>
      <c r="E40" s="87"/>
    </row>
    <row r="41" spans="1:5" ht="12.75">
      <c r="A41" s="58"/>
      <c r="B41" s="58"/>
      <c r="C41" s="290"/>
      <c r="D41" s="290"/>
      <c r="E41" s="247">
        <f>C41-D41</f>
        <v>0</v>
      </c>
    </row>
    <row r="42" spans="1:5" ht="12.75">
      <c r="A42" s="58"/>
      <c r="B42" s="58"/>
      <c r="C42" s="290"/>
      <c r="D42" s="290"/>
      <c r="E42" s="247">
        <f aca="true" t="shared" si="2" ref="E42:E49">C42-D42</f>
        <v>0</v>
      </c>
    </row>
    <row r="43" spans="1:5" ht="12.75">
      <c r="A43" s="58" t="s">
        <v>261</v>
      </c>
      <c r="B43" s="58"/>
      <c r="C43" s="290"/>
      <c r="D43" s="290"/>
      <c r="E43" s="247">
        <f t="shared" si="2"/>
        <v>0</v>
      </c>
    </row>
    <row r="44" spans="1:5" ht="12.75">
      <c r="A44" s="58" t="s">
        <v>262</v>
      </c>
      <c r="B44" s="58"/>
      <c r="C44" s="290"/>
      <c r="D44" s="290"/>
      <c r="E44" s="247">
        <f t="shared" si="2"/>
        <v>0</v>
      </c>
    </row>
    <row r="45" spans="1:5" ht="12.75">
      <c r="A45" s="58" t="s">
        <v>263</v>
      </c>
      <c r="B45" s="58"/>
      <c r="C45" s="290"/>
      <c r="D45" s="290"/>
      <c r="E45" s="247">
        <f t="shared" si="2"/>
        <v>0</v>
      </c>
    </row>
    <row r="46" spans="1:5" ht="12.75">
      <c r="A46" s="58" t="s">
        <v>264</v>
      </c>
      <c r="B46" s="58"/>
      <c r="C46" s="290"/>
      <c r="D46" s="290"/>
      <c r="E46" s="247">
        <f t="shared" si="2"/>
        <v>0</v>
      </c>
    </row>
    <row r="47" spans="1:5" ht="12.75">
      <c r="A47" s="58" t="s">
        <v>399</v>
      </c>
      <c r="B47" s="58"/>
      <c r="C47" s="290"/>
      <c r="D47" s="290"/>
      <c r="E47" s="247">
        <f t="shared" si="2"/>
        <v>0</v>
      </c>
    </row>
    <row r="48" spans="1:5" ht="12.75">
      <c r="A48" s="58" t="s">
        <v>399</v>
      </c>
      <c r="B48" s="58"/>
      <c r="C48" s="290"/>
      <c r="D48" s="290"/>
      <c r="E48" s="247">
        <f t="shared" si="2"/>
        <v>0</v>
      </c>
    </row>
    <row r="49" spans="1:5" ht="12.75">
      <c r="A49" s="58"/>
      <c r="B49" s="58"/>
      <c r="C49" s="306"/>
      <c r="D49" s="306"/>
      <c r="E49" s="275">
        <f t="shared" si="2"/>
        <v>0</v>
      </c>
    </row>
    <row r="50" spans="1:5" ht="12.75">
      <c r="A50" s="2" t="s">
        <v>176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266</v>
      </c>
      <c r="B52" s="58"/>
      <c r="C52" s="87"/>
      <c r="D52" s="87"/>
      <c r="E52" s="87"/>
    </row>
    <row r="53" spans="1:5" ht="12.75">
      <c r="A53" s="58"/>
      <c r="B53" s="58"/>
      <c r="C53" s="290"/>
      <c r="D53" s="290"/>
      <c r="E53" s="247">
        <f>C53-D53</f>
        <v>0</v>
      </c>
    </row>
    <row r="54" spans="1:5" ht="12.75">
      <c r="A54" s="242"/>
      <c r="B54" s="58"/>
      <c r="C54" s="290"/>
      <c r="D54" s="290"/>
      <c r="E54" s="247">
        <f aca="true" t="shared" si="3" ref="E54:E61">C54-D54</f>
        <v>0</v>
      </c>
    </row>
    <row r="55" spans="1:5" ht="12.75">
      <c r="A55" s="242" t="s">
        <v>261</v>
      </c>
      <c r="B55" s="58"/>
      <c r="C55" s="290"/>
      <c r="D55" s="290"/>
      <c r="E55" s="247">
        <f t="shared" si="3"/>
        <v>0</v>
      </c>
    </row>
    <row r="56" spans="1:5" ht="12.75">
      <c r="A56" s="242" t="s">
        <v>262</v>
      </c>
      <c r="B56" s="58"/>
      <c r="C56" s="290"/>
      <c r="D56" s="290"/>
      <c r="E56" s="247">
        <f t="shared" si="3"/>
        <v>0</v>
      </c>
    </row>
    <row r="57" spans="1:5" ht="12.75">
      <c r="A57" s="242" t="s">
        <v>263</v>
      </c>
      <c r="B57" s="58"/>
      <c r="C57" s="290"/>
      <c r="D57" s="290"/>
      <c r="E57" s="247">
        <f t="shared" si="3"/>
        <v>0</v>
      </c>
    </row>
    <row r="58" spans="1:5" ht="12.75">
      <c r="A58" s="242" t="s">
        <v>264</v>
      </c>
      <c r="B58" s="58"/>
      <c r="C58" s="290"/>
      <c r="D58" s="290"/>
      <c r="E58" s="247">
        <f t="shared" si="3"/>
        <v>0</v>
      </c>
    </row>
    <row r="59" spans="1:5" ht="12.75">
      <c r="A59" s="58" t="s">
        <v>399</v>
      </c>
      <c r="B59" s="58"/>
      <c r="C59" s="290"/>
      <c r="D59" s="290"/>
      <c r="E59" s="247">
        <f t="shared" si="3"/>
        <v>0</v>
      </c>
    </row>
    <row r="60" spans="1:5" ht="12.75">
      <c r="A60" s="58" t="s">
        <v>399</v>
      </c>
      <c r="B60" s="58"/>
      <c r="C60" s="290"/>
      <c r="D60" s="290"/>
      <c r="E60" s="247">
        <f t="shared" si="3"/>
        <v>0</v>
      </c>
    </row>
    <row r="61" spans="1:5" ht="13.5" thickBot="1">
      <c r="A61" s="59"/>
      <c r="B61" s="58"/>
      <c r="C61" s="290"/>
      <c r="D61" s="290"/>
      <c r="E61" s="247">
        <f t="shared" si="3"/>
        <v>0</v>
      </c>
    </row>
    <row r="62" spans="1:5" ht="12.75">
      <c r="A62" s="53" t="s">
        <v>128</v>
      </c>
      <c r="C62" s="22"/>
      <c r="D62" s="22"/>
      <c r="E62" s="275"/>
    </row>
    <row r="63" spans="1:5" ht="12.75">
      <c r="A63" s="2" t="s">
        <v>176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horizontalDpi="600" verticalDpi="600" orientation="portrait" scale="85" r:id="rId1"/>
  <headerFooter alignWithMargins="0">
    <oddHeader>&amp;R&amp;9Wasaga Distribution Inc.
EB-2008-0381
Deferred PILs Combined Proceeding
Appendix 17</oddHeader>
    <oddFooter>&amp;L&amp;8June 30, 2012&amp;R&amp;"Arial,Bold"&amp;9&amp;A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Layout" workbookViewId="0" topLeftCell="A1">
      <selection activeCell="A68" sqref="A6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416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5" t="s">
        <v>415</v>
      </c>
      <c r="B5" s="8"/>
      <c r="C5" s="8" t="s">
        <v>2</v>
      </c>
      <c r="D5" s="8"/>
      <c r="E5" s="8"/>
      <c r="F5" s="8"/>
    </row>
    <row r="6" spans="1:6" ht="12.75">
      <c r="A6" s="405" t="s">
        <v>396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Wasaga Distribution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118</v>
      </c>
      <c r="B10" s="20"/>
      <c r="C10" s="267">
        <f>TAXREC!C11</f>
        <v>365</v>
      </c>
      <c r="D10" s="57"/>
      <c r="E10" s="25"/>
      <c r="F10" s="20"/>
    </row>
    <row r="11" spans="1:6" ht="12.75">
      <c r="A11" s="2" t="s">
        <v>115</v>
      </c>
      <c r="B11" s="20"/>
      <c r="C11" s="268">
        <f>TAXREC!C13</f>
        <v>11613.861525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173</v>
      </c>
      <c r="B15" s="20"/>
      <c r="C15" s="25"/>
      <c r="D15" s="25"/>
      <c r="E15" s="26"/>
      <c r="F15" s="8"/>
    </row>
    <row r="16" ht="12.75">
      <c r="A16" s="2" t="s">
        <v>119</v>
      </c>
    </row>
    <row r="17" spans="1:5" ht="12.75">
      <c r="A17" s="64"/>
      <c r="B17" t="s">
        <v>183</v>
      </c>
      <c r="C17" s="291"/>
      <c r="D17" s="291"/>
      <c r="E17" s="309">
        <f>C17-D17</f>
        <v>0</v>
      </c>
    </row>
    <row r="18" spans="1:5" ht="12.75">
      <c r="A18" s="64" t="s">
        <v>247</v>
      </c>
      <c r="B18" t="s">
        <v>183</v>
      </c>
      <c r="C18" s="291"/>
      <c r="D18" s="291"/>
      <c r="E18" s="309">
        <f aca="true" t="shared" si="0" ref="E18:E44">C18-D18</f>
        <v>0</v>
      </c>
    </row>
    <row r="19" spans="1:5" ht="12.75">
      <c r="A19" s="64" t="s">
        <v>131</v>
      </c>
      <c r="B19" t="s">
        <v>183</v>
      </c>
      <c r="C19" s="291"/>
      <c r="D19" s="291"/>
      <c r="E19" s="309">
        <f t="shared" si="0"/>
        <v>0</v>
      </c>
    </row>
    <row r="20" spans="1:5" ht="12.75">
      <c r="A20" s="64" t="s">
        <v>400</v>
      </c>
      <c r="B20" t="s">
        <v>183</v>
      </c>
      <c r="C20" s="291"/>
      <c r="D20" s="310"/>
      <c r="E20" s="309">
        <f t="shared" si="0"/>
        <v>0</v>
      </c>
    </row>
    <row r="21" spans="1:5" ht="12.75">
      <c r="A21" s="64" t="s">
        <v>8</v>
      </c>
      <c r="B21" t="s">
        <v>183</v>
      </c>
      <c r="C21" s="291"/>
      <c r="D21" s="291"/>
      <c r="E21" s="309">
        <f t="shared" si="0"/>
        <v>0</v>
      </c>
    </row>
    <row r="22" spans="1:5" ht="12.75">
      <c r="A22" s="64"/>
      <c r="B22" t="s">
        <v>183</v>
      </c>
      <c r="C22" s="291"/>
      <c r="D22" s="291"/>
      <c r="E22" s="309">
        <f t="shared" si="0"/>
        <v>0</v>
      </c>
    </row>
    <row r="23" spans="1:5" ht="12.75">
      <c r="A23" s="64" t="s">
        <v>133</v>
      </c>
      <c r="B23" t="s">
        <v>183</v>
      </c>
      <c r="C23" s="291"/>
      <c r="D23" s="291"/>
      <c r="E23" s="309">
        <f t="shared" si="0"/>
        <v>0</v>
      </c>
    </row>
    <row r="24" spans="1:5" ht="12.75">
      <c r="A24" s="64" t="s">
        <v>134</v>
      </c>
      <c r="B24" t="s">
        <v>183</v>
      </c>
      <c r="C24" s="291"/>
      <c r="D24" s="291"/>
      <c r="E24" s="309">
        <f t="shared" si="0"/>
        <v>0</v>
      </c>
    </row>
    <row r="25" spans="1:5" ht="12.75">
      <c r="A25" s="64" t="s">
        <v>9</v>
      </c>
      <c r="B25" t="s">
        <v>183</v>
      </c>
      <c r="C25" s="291"/>
      <c r="D25" s="291"/>
      <c r="E25" s="309">
        <f t="shared" si="0"/>
        <v>0</v>
      </c>
    </row>
    <row r="26" spans="1:5" ht="12.75">
      <c r="A26" s="64" t="s">
        <v>186</v>
      </c>
      <c r="B26" t="s">
        <v>183</v>
      </c>
      <c r="C26" s="291"/>
      <c r="D26" s="291"/>
      <c r="E26" s="309">
        <f t="shared" si="0"/>
        <v>0</v>
      </c>
    </row>
    <row r="27" spans="1:5" ht="12.75">
      <c r="A27" s="64" t="s">
        <v>7</v>
      </c>
      <c r="B27" t="s">
        <v>183</v>
      </c>
      <c r="C27" s="291"/>
      <c r="D27" s="291"/>
      <c r="E27" s="309">
        <f t="shared" si="0"/>
        <v>0</v>
      </c>
    </row>
    <row r="28" spans="1:5" ht="12.75">
      <c r="A28" s="64" t="s">
        <v>120</v>
      </c>
      <c r="B28" t="s">
        <v>183</v>
      </c>
      <c r="C28" s="291"/>
      <c r="D28" s="291"/>
      <c r="E28" s="309">
        <f t="shared" si="0"/>
        <v>0</v>
      </c>
    </row>
    <row r="29" spans="1:5" ht="12.75">
      <c r="A29" s="64" t="s">
        <v>135</v>
      </c>
      <c r="B29" t="s">
        <v>183</v>
      </c>
      <c r="C29" s="291"/>
      <c r="D29" s="291"/>
      <c r="E29" s="309">
        <f t="shared" si="0"/>
        <v>0</v>
      </c>
    </row>
    <row r="30" spans="1:5" ht="12.75">
      <c r="A30" s="64" t="s">
        <v>136</v>
      </c>
      <c r="B30" t="s">
        <v>183</v>
      </c>
      <c r="C30" s="291"/>
      <c r="D30" s="291"/>
      <c r="E30" s="309">
        <f t="shared" si="0"/>
        <v>0</v>
      </c>
    </row>
    <row r="31" spans="1:5" ht="12.75">
      <c r="A31" s="64" t="s">
        <v>248</v>
      </c>
      <c r="B31" t="s">
        <v>183</v>
      </c>
      <c r="C31" s="291"/>
      <c r="D31" s="291"/>
      <c r="E31" s="309">
        <f t="shared" si="0"/>
        <v>0</v>
      </c>
    </row>
    <row r="32" spans="1:5" ht="12.75">
      <c r="A32" s="64" t="s">
        <v>137</v>
      </c>
      <c r="B32" t="s">
        <v>183</v>
      </c>
      <c r="C32" s="291"/>
      <c r="D32" s="291"/>
      <c r="E32" s="309">
        <f t="shared" si="0"/>
        <v>0</v>
      </c>
    </row>
    <row r="33" spans="1:5" ht="12.75">
      <c r="A33" s="64" t="s">
        <v>138</v>
      </c>
      <c r="B33" t="s">
        <v>183</v>
      </c>
      <c r="C33" s="291"/>
      <c r="D33" s="291"/>
      <c r="E33" s="309">
        <f t="shared" si="0"/>
        <v>0</v>
      </c>
    </row>
    <row r="34" spans="1:5" ht="12.75">
      <c r="A34" s="64" t="s">
        <v>139</v>
      </c>
      <c r="B34" t="s">
        <v>183</v>
      </c>
      <c r="C34" s="291"/>
      <c r="D34" s="291"/>
      <c r="E34" s="309">
        <f t="shared" si="0"/>
        <v>0</v>
      </c>
    </row>
    <row r="35" spans="1:5" ht="12.75">
      <c r="A35" s="64" t="s">
        <v>188</v>
      </c>
      <c r="B35" t="s">
        <v>183</v>
      </c>
      <c r="C35" s="291"/>
      <c r="D35" s="291"/>
      <c r="E35" s="309">
        <f t="shared" si="0"/>
        <v>0</v>
      </c>
    </row>
    <row r="36" spans="1:5" ht="12.75">
      <c r="A36" s="64" t="s">
        <v>424</v>
      </c>
      <c r="B36" t="s">
        <v>183</v>
      </c>
      <c r="C36" s="291"/>
      <c r="D36" s="291"/>
      <c r="E36" s="309">
        <f t="shared" si="0"/>
        <v>0</v>
      </c>
    </row>
    <row r="37" spans="1:5" ht="12.75">
      <c r="A37" s="64"/>
      <c r="B37" t="s">
        <v>183</v>
      </c>
      <c r="C37" s="291"/>
      <c r="D37" s="291"/>
      <c r="E37" s="309">
        <f t="shared" si="0"/>
        <v>0</v>
      </c>
    </row>
    <row r="38" spans="2:5" ht="12.75">
      <c r="B38" t="s">
        <v>183</v>
      </c>
      <c r="C38" s="291"/>
      <c r="D38" s="291"/>
      <c r="E38" s="247">
        <f t="shared" si="0"/>
        <v>0</v>
      </c>
    </row>
    <row r="39" spans="2:5" ht="12.75">
      <c r="B39" t="s">
        <v>183</v>
      </c>
      <c r="C39" s="290"/>
      <c r="D39" s="291"/>
      <c r="E39" s="247">
        <f t="shared" si="0"/>
        <v>0</v>
      </c>
    </row>
    <row r="40" spans="1:5" ht="12.75">
      <c r="A40" s="65" t="s">
        <v>199</v>
      </c>
      <c r="B40" t="s">
        <v>183</v>
      </c>
      <c r="C40" s="290"/>
      <c r="D40" s="290"/>
      <c r="E40" s="247">
        <f t="shared" si="0"/>
        <v>0</v>
      </c>
    </row>
    <row r="41" spans="1:5" ht="12.75">
      <c r="A41" s="64"/>
      <c r="B41" t="s">
        <v>183</v>
      </c>
      <c r="C41" s="290"/>
      <c r="D41" s="290"/>
      <c r="E41" s="247">
        <f t="shared" si="0"/>
        <v>0</v>
      </c>
    </row>
    <row r="42" spans="1:5" ht="12.75">
      <c r="A42" s="64"/>
      <c r="B42" t="s">
        <v>183</v>
      </c>
      <c r="C42" s="290"/>
      <c r="D42" s="290"/>
      <c r="E42" s="247">
        <f t="shared" si="0"/>
        <v>0</v>
      </c>
    </row>
    <row r="43" spans="1:5" ht="12.75">
      <c r="A43" s="64"/>
      <c r="B43" t="s">
        <v>183</v>
      </c>
      <c r="C43" s="290"/>
      <c r="D43" s="290"/>
      <c r="E43" s="247">
        <f t="shared" si="0"/>
        <v>0</v>
      </c>
    </row>
    <row r="44" spans="1:5" ht="12.75">
      <c r="A44" s="64"/>
      <c r="B44" t="s">
        <v>183</v>
      </c>
      <c r="C44" s="290"/>
      <c r="D44" s="290"/>
      <c r="E44" s="247">
        <f t="shared" si="0"/>
        <v>0</v>
      </c>
    </row>
    <row r="45" spans="1:5" ht="12.75">
      <c r="A45" s="64"/>
      <c r="B45" t="s">
        <v>183</v>
      </c>
      <c r="C45" s="290"/>
      <c r="D45" s="290"/>
      <c r="E45" s="275"/>
    </row>
    <row r="46" spans="1:5" ht="12.75">
      <c r="A46" s="67" t="s">
        <v>166</v>
      </c>
      <c r="B46" t="s">
        <v>185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4"/>
    </row>
    <row r="48" ht="12.75">
      <c r="A48" s="64" t="s">
        <v>168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IF($E34&gt;$C$11,#REF!,"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140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198</v>
      </c>
      <c r="B78" s="273"/>
      <c r="C78" s="311">
        <f>C46-C77</f>
        <v>0</v>
      </c>
      <c r="D78" s="311">
        <f>D46-D77</f>
        <v>0</v>
      </c>
      <c r="E78" s="311">
        <f>E46-E77</f>
        <v>0</v>
      </c>
    </row>
    <row r="79" spans="1:5" ht="12.75">
      <c r="A79" s="272" t="s">
        <v>166</v>
      </c>
      <c r="B79" s="273"/>
      <c r="C79" s="311">
        <f>C77+C78</f>
        <v>0</v>
      </c>
      <c r="D79" s="311">
        <f>D77+D78</f>
        <v>0</v>
      </c>
      <c r="E79" s="311">
        <f>E77+E78</f>
        <v>0</v>
      </c>
    </row>
    <row r="80" ht="12.75">
      <c r="A80" s="64"/>
    </row>
    <row r="81" ht="12.75">
      <c r="A81" s="64" t="s">
        <v>141</v>
      </c>
    </row>
    <row r="82" spans="1:5" ht="12.75">
      <c r="A82" s="64" t="s">
        <v>142</v>
      </c>
      <c r="B82" s="8" t="s">
        <v>184</v>
      </c>
      <c r="C82" s="290"/>
      <c r="D82" s="290"/>
      <c r="E82" s="247">
        <f>C82-D82</f>
        <v>0</v>
      </c>
    </row>
    <row r="83" spans="1:5" ht="12.75">
      <c r="A83" s="68" t="s">
        <v>148</v>
      </c>
      <c r="B83" s="8" t="s">
        <v>184</v>
      </c>
      <c r="C83" s="290"/>
      <c r="D83" s="290"/>
      <c r="E83" s="247">
        <f aca="true" t="shared" si="5" ref="E83:E98">C83-D83</f>
        <v>0</v>
      </c>
    </row>
    <row r="84" spans="1:5" ht="12.75">
      <c r="A84" s="68" t="s">
        <v>143</v>
      </c>
      <c r="B84" s="8" t="s">
        <v>184</v>
      </c>
      <c r="C84" s="290"/>
      <c r="D84" s="290"/>
      <c r="E84" s="247">
        <f t="shared" si="5"/>
        <v>0</v>
      </c>
    </row>
    <row r="85" spans="1:5" ht="12.75">
      <c r="A85" s="68" t="s">
        <v>249</v>
      </c>
      <c r="B85" s="8" t="s">
        <v>184</v>
      </c>
      <c r="C85" s="290"/>
      <c r="D85" s="290"/>
      <c r="E85" s="247">
        <f t="shared" si="5"/>
        <v>0</v>
      </c>
    </row>
    <row r="86" spans="1:5" ht="12.75">
      <c r="A86" s="64" t="s">
        <v>189</v>
      </c>
      <c r="B86" s="8" t="s">
        <v>184</v>
      </c>
      <c r="C86" s="290"/>
      <c r="D86" s="290"/>
      <c r="E86" s="247">
        <f t="shared" si="5"/>
        <v>0</v>
      </c>
    </row>
    <row r="87" spans="1:5" ht="12.75">
      <c r="A87" s="64" t="s">
        <v>366</v>
      </c>
      <c r="B87" s="8" t="s">
        <v>184</v>
      </c>
      <c r="C87" s="290"/>
      <c r="D87" s="290"/>
      <c r="E87" s="247">
        <f t="shared" si="5"/>
        <v>0</v>
      </c>
    </row>
    <row r="88" spans="1:5" ht="12.75">
      <c r="A88" s="64" t="s">
        <v>190</v>
      </c>
      <c r="B88" s="8" t="s">
        <v>184</v>
      </c>
      <c r="C88" s="290"/>
      <c r="D88" s="290"/>
      <c r="E88" s="247">
        <f t="shared" si="5"/>
        <v>0</v>
      </c>
    </row>
    <row r="89" spans="1:5" ht="12.75">
      <c r="A89" s="64" t="s">
        <v>163</v>
      </c>
      <c r="B89" s="8" t="s">
        <v>184</v>
      </c>
      <c r="C89" s="290"/>
      <c r="D89" s="290"/>
      <c r="E89" s="247">
        <f t="shared" si="5"/>
        <v>0</v>
      </c>
    </row>
    <row r="90" spans="1:5" ht="12.75">
      <c r="A90" s="64" t="s">
        <v>164</v>
      </c>
      <c r="B90" s="8" t="s">
        <v>184</v>
      </c>
      <c r="C90" s="290"/>
      <c r="D90" s="290"/>
      <c r="E90" s="247">
        <f t="shared" si="5"/>
        <v>0</v>
      </c>
    </row>
    <row r="91" spans="1:5" ht="12.75">
      <c r="A91" s="64" t="s">
        <v>165</v>
      </c>
      <c r="B91" s="8" t="s">
        <v>184</v>
      </c>
      <c r="C91" s="290"/>
      <c r="D91" s="290"/>
      <c r="E91" s="247">
        <f t="shared" si="5"/>
        <v>0</v>
      </c>
    </row>
    <row r="92" spans="2:5" ht="12.75">
      <c r="B92" s="8" t="s">
        <v>184</v>
      </c>
      <c r="C92" s="290"/>
      <c r="D92" s="290"/>
      <c r="E92" s="247"/>
    </row>
    <row r="93" spans="1:5" ht="12.75">
      <c r="A93" s="64"/>
      <c r="B93" s="8" t="s">
        <v>184</v>
      </c>
      <c r="C93" s="290"/>
      <c r="D93" s="290"/>
      <c r="E93" s="247">
        <f t="shared" si="5"/>
        <v>0</v>
      </c>
    </row>
    <row r="94" spans="1:5" ht="12.75">
      <c r="A94" s="64"/>
      <c r="B94" s="8" t="s">
        <v>184</v>
      </c>
      <c r="C94" s="290"/>
      <c r="D94" s="290"/>
      <c r="E94" s="247">
        <f t="shared" si="5"/>
        <v>0</v>
      </c>
    </row>
    <row r="95" spans="1:5" ht="12.75">
      <c r="A95" s="65" t="s">
        <v>200</v>
      </c>
      <c r="B95" s="8" t="s">
        <v>184</v>
      </c>
      <c r="C95" s="290"/>
      <c r="D95" s="290"/>
      <c r="E95" s="247">
        <f t="shared" si="5"/>
        <v>0</v>
      </c>
    </row>
    <row r="96" spans="1:5" ht="12.75">
      <c r="A96" s="64" t="s">
        <v>425</v>
      </c>
      <c r="B96" s="8" t="s">
        <v>184</v>
      </c>
      <c r="C96" s="290">
        <v>0</v>
      </c>
      <c r="D96" s="290"/>
      <c r="E96" s="247">
        <f t="shared" si="5"/>
        <v>0</v>
      </c>
    </row>
    <row r="97" spans="1:5" ht="12.75">
      <c r="A97" s="64"/>
      <c r="B97" s="8" t="s">
        <v>184</v>
      </c>
      <c r="C97" s="290"/>
      <c r="D97" s="290"/>
      <c r="E97" s="247">
        <f t="shared" si="5"/>
        <v>0</v>
      </c>
    </row>
    <row r="98" spans="1:5" ht="12.75">
      <c r="A98" s="64"/>
      <c r="B98" s="8" t="s">
        <v>184</v>
      </c>
      <c r="C98" s="290"/>
      <c r="D98" s="290"/>
      <c r="E98" s="247">
        <f t="shared" si="5"/>
        <v>0</v>
      </c>
    </row>
    <row r="99" spans="1:5" ht="12.75">
      <c r="A99" s="64" t="s">
        <v>167</v>
      </c>
      <c r="B99" s="8" t="s">
        <v>185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4"/>
    </row>
    <row r="101" ht="12.75">
      <c r="A101" s="64" t="s">
        <v>170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197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196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167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horizontalDpi="600" verticalDpi="600" orientation="portrait" scale="85" r:id="rId1"/>
  <headerFooter alignWithMargins="0">
    <oddHeader>&amp;R&amp;9Wasaga Distribution Inc.
EB-2008-0381
Deferred PILs Combined Proceeding
Appendix 17</oddHeader>
    <oddFooter>&amp;L&amp;8June 30, 2012&amp;R&amp;"Arial,Bold"&amp;9&amp;A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view="pageLayout" workbookViewId="0" topLeftCell="A1">
      <selection activeCell="A68" sqref="A6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370</v>
      </c>
      <c r="E3" s="88"/>
    </row>
    <row r="4" spans="1:6" ht="15.75">
      <c r="A4" s="428" t="s">
        <v>396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30" t="s">
        <v>371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Wasaga Distribution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118</v>
      </c>
      <c r="B12" s="20"/>
      <c r="C12" s="267">
        <f>TAXREC!C11</f>
        <v>365</v>
      </c>
      <c r="D12" s="57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173</v>
      </c>
      <c r="B16" s="20"/>
      <c r="C16" s="25"/>
      <c r="D16" s="25"/>
      <c r="E16" s="26"/>
      <c r="F16" s="8"/>
    </row>
    <row r="17" spans="1:6" ht="12.75">
      <c r="A17" s="2" t="s">
        <v>119</v>
      </c>
      <c r="B17" s="20"/>
      <c r="C17" s="25"/>
      <c r="D17" s="25"/>
      <c r="E17" s="26"/>
      <c r="F17" s="8"/>
    </row>
    <row r="19" spans="1:5" ht="12.75">
      <c r="A19" s="64" t="s">
        <v>129</v>
      </c>
      <c r="B19" t="s">
        <v>183</v>
      </c>
      <c r="C19" s="291"/>
      <c r="D19" s="291"/>
      <c r="E19" s="309">
        <f aca="true" t="shared" si="0" ref="E19:E45">C19-D19</f>
        <v>0</v>
      </c>
    </row>
    <row r="20" spans="1:5" ht="12.75">
      <c r="A20" t="s">
        <v>373</v>
      </c>
      <c r="B20" t="s">
        <v>183</v>
      </c>
      <c r="C20" s="291"/>
      <c r="D20" s="291"/>
      <c r="E20" s="309">
        <f t="shared" si="0"/>
        <v>0</v>
      </c>
    </row>
    <row r="21" spans="1:5" ht="12.75">
      <c r="A21" t="s">
        <v>404</v>
      </c>
      <c r="B21" t="s">
        <v>183</v>
      </c>
      <c r="C21" s="291"/>
      <c r="D21" s="291"/>
      <c r="E21" s="309">
        <f t="shared" si="0"/>
        <v>0</v>
      </c>
    </row>
    <row r="22" spans="1:5" ht="12.75">
      <c r="A22" s="64" t="s">
        <v>376</v>
      </c>
      <c r="B22" t="s">
        <v>183</v>
      </c>
      <c r="C22" s="291"/>
      <c r="D22" s="310"/>
      <c r="E22" s="309">
        <f t="shared" si="0"/>
        <v>0</v>
      </c>
    </row>
    <row r="23" spans="1:5" ht="12.75">
      <c r="A23" s="64" t="s">
        <v>377</v>
      </c>
      <c r="B23" t="s">
        <v>183</v>
      </c>
      <c r="C23" s="291"/>
      <c r="D23" s="291"/>
      <c r="E23" s="309">
        <f t="shared" si="0"/>
        <v>0</v>
      </c>
    </row>
    <row r="24" spans="1:5" ht="12.75">
      <c r="A24" s="64" t="s">
        <v>405</v>
      </c>
      <c r="B24" t="s">
        <v>183</v>
      </c>
      <c r="C24" s="291"/>
      <c r="D24" s="291"/>
      <c r="E24" s="309">
        <f t="shared" si="0"/>
        <v>0</v>
      </c>
    </row>
    <row r="25" spans="1:5" ht="12.75">
      <c r="A25" s="64" t="s">
        <v>121</v>
      </c>
      <c r="B25" t="s">
        <v>183</v>
      </c>
      <c r="C25" s="291"/>
      <c r="D25" s="291"/>
      <c r="E25" s="309">
        <f t="shared" si="0"/>
        <v>0</v>
      </c>
    </row>
    <row r="26" spans="1:5" ht="12.75">
      <c r="A26" s="64" t="s">
        <v>130</v>
      </c>
      <c r="B26" t="s">
        <v>183</v>
      </c>
      <c r="C26" s="291"/>
      <c r="D26" s="291"/>
      <c r="E26" s="309">
        <f t="shared" si="0"/>
        <v>0</v>
      </c>
    </row>
    <row r="27" spans="1:5" ht="12.75">
      <c r="A27" s="64" t="s">
        <v>389</v>
      </c>
      <c r="B27" t="s">
        <v>183</v>
      </c>
      <c r="C27" s="291"/>
      <c r="D27" s="291"/>
      <c r="E27" s="309">
        <f t="shared" si="0"/>
        <v>0</v>
      </c>
    </row>
    <row r="28" spans="1:5" ht="12.75">
      <c r="A28" s="64" t="s">
        <v>375</v>
      </c>
      <c r="B28" t="s">
        <v>183</v>
      </c>
      <c r="C28" s="291"/>
      <c r="D28" s="291"/>
      <c r="E28" s="309">
        <f t="shared" si="0"/>
        <v>0</v>
      </c>
    </row>
    <row r="29" spans="1:5" ht="12.75">
      <c r="A29" s="64" t="s">
        <v>132</v>
      </c>
      <c r="B29" t="s">
        <v>183</v>
      </c>
      <c r="C29" s="291"/>
      <c r="D29" s="291"/>
      <c r="E29" s="309">
        <f t="shared" si="0"/>
        <v>0</v>
      </c>
    </row>
    <row r="30" spans="1:5" ht="12.75">
      <c r="A30" s="64" t="s">
        <v>374</v>
      </c>
      <c r="B30" t="s">
        <v>183</v>
      </c>
      <c r="C30" s="291"/>
      <c r="D30" s="291"/>
      <c r="E30" s="309">
        <f t="shared" si="0"/>
        <v>0</v>
      </c>
    </row>
    <row r="31" spans="1:5" ht="12.75">
      <c r="A31" s="64" t="s">
        <v>187</v>
      </c>
      <c r="B31" t="s">
        <v>183</v>
      </c>
      <c r="C31" s="291"/>
      <c r="D31" s="291"/>
      <c r="E31" s="309">
        <f t="shared" si="0"/>
        <v>0</v>
      </c>
    </row>
    <row r="32" spans="1:5" ht="12.75">
      <c r="A32" s="64" t="s">
        <v>384</v>
      </c>
      <c r="B32" t="s">
        <v>183</v>
      </c>
      <c r="C32" s="291"/>
      <c r="D32" s="291"/>
      <c r="E32" s="309">
        <f t="shared" si="0"/>
        <v>0</v>
      </c>
    </row>
    <row r="33" spans="1:5" ht="12.75">
      <c r="A33" s="64" t="s">
        <v>385</v>
      </c>
      <c r="B33" t="s">
        <v>183</v>
      </c>
      <c r="C33" s="291"/>
      <c r="D33" s="291"/>
      <c r="E33" s="309">
        <f t="shared" si="0"/>
        <v>0</v>
      </c>
    </row>
    <row r="34" spans="1:5" ht="12.75">
      <c r="A34" s="64" t="s">
        <v>401</v>
      </c>
      <c r="B34" t="s">
        <v>183</v>
      </c>
      <c r="C34" s="291"/>
      <c r="D34" s="291"/>
      <c r="E34" s="309">
        <f t="shared" si="0"/>
        <v>0</v>
      </c>
    </row>
    <row r="35" spans="1:5" ht="12.75">
      <c r="A35" s="77" t="s">
        <v>402</v>
      </c>
      <c r="C35" s="291"/>
      <c r="D35" s="291"/>
      <c r="E35" s="309">
        <f t="shared" si="0"/>
        <v>0</v>
      </c>
    </row>
    <row r="36" spans="1:5" ht="12.75">
      <c r="A36" s="64" t="s">
        <v>386</v>
      </c>
      <c r="C36" s="291"/>
      <c r="D36" s="291"/>
      <c r="E36" s="309">
        <f t="shared" si="0"/>
        <v>0</v>
      </c>
    </row>
    <row r="37" spans="1:5" ht="12.75">
      <c r="A37" s="64" t="s">
        <v>387</v>
      </c>
      <c r="C37" s="291"/>
      <c r="D37" s="291"/>
      <c r="E37" s="309">
        <f t="shared" si="0"/>
        <v>0</v>
      </c>
    </row>
    <row r="38" spans="1:5" ht="12.75">
      <c r="A38" s="64" t="s">
        <v>408</v>
      </c>
      <c r="C38" s="291"/>
      <c r="D38" s="291"/>
      <c r="E38" s="309">
        <f t="shared" si="0"/>
        <v>0</v>
      </c>
    </row>
    <row r="39" spans="2:5" ht="12.75">
      <c r="B39" t="s">
        <v>183</v>
      </c>
      <c r="C39" s="291"/>
      <c r="D39" s="291"/>
      <c r="E39" s="309">
        <f t="shared" si="0"/>
        <v>0</v>
      </c>
    </row>
    <row r="40" spans="1:5" ht="12.75">
      <c r="A40" s="77" t="s">
        <v>378</v>
      </c>
      <c r="B40" t="s">
        <v>183</v>
      </c>
      <c r="C40" s="291"/>
      <c r="D40" s="291"/>
      <c r="E40" s="309">
        <f t="shared" si="0"/>
        <v>0</v>
      </c>
    </row>
    <row r="41" spans="1:5" ht="12.75">
      <c r="A41" s="77" t="s">
        <v>372</v>
      </c>
      <c r="B41" t="s">
        <v>183</v>
      </c>
      <c r="C41" s="291"/>
      <c r="D41" s="291"/>
      <c r="E41" s="309">
        <f t="shared" si="0"/>
        <v>0</v>
      </c>
    </row>
    <row r="42" spans="2:5" ht="12.75">
      <c r="B42" t="s">
        <v>183</v>
      </c>
      <c r="C42" s="291"/>
      <c r="D42" s="291"/>
      <c r="E42" s="309">
        <f t="shared" si="0"/>
        <v>0</v>
      </c>
    </row>
    <row r="43" spans="1:5" ht="12.75">
      <c r="A43" s="65" t="s">
        <v>199</v>
      </c>
      <c r="B43" t="s">
        <v>183</v>
      </c>
      <c r="C43" s="291"/>
      <c r="D43" s="291"/>
      <c r="E43" s="309">
        <f t="shared" si="0"/>
        <v>0</v>
      </c>
    </row>
    <row r="44" spans="1:5" ht="12.75">
      <c r="A44" t="s">
        <v>442</v>
      </c>
      <c r="B44" t="s">
        <v>183</v>
      </c>
      <c r="C44" s="290"/>
      <c r="D44" s="290"/>
      <c r="E44" s="247">
        <f t="shared" si="0"/>
        <v>0</v>
      </c>
    </row>
    <row r="45" spans="2:5" ht="12.75">
      <c r="B45" t="s">
        <v>183</v>
      </c>
      <c r="C45" s="290"/>
      <c r="D45" s="290"/>
      <c r="E45" s="247">
        <f t="shared" si="0"/>
        <v>0</v>
      </c>
    </row>
    <row r="46" spans="1:5" ht="12.75">
      <c r="A46" s="64"/>
      <c r="B46" t="s">
        <v>183</v>
      </c>
      <c r="C46" s="290"/>
      <c r="D46" s="290"/>
      <c r="E46" s="275"/>
    </row>
    <row r="47" spans="1:5" ht="12.75">
      <c r="A47" s="424" t="s">
        <v>382</v>
      </c>
      <c r="B47" t="s">
        <v>185</v>
      </c>
      <c r="C47" s="247">
        <f>SUM(C19:C46)</f>
        <v>0</v>
      </c>
      <c r="D47" s="247">
        <f>SUM(D19:D46)</f>
        <v>0</v>
      </c>
      <c r="E47" s="247">
        <f>SUM(E19:E46)</f>
        <v>0</v>
      </c>
    </row>
    <row r="48" ht="12.75">
      <c r="A48" s="64"/>
    </row>
    <row r="49" ht="12.75">
      <c r="A49" s="77" t="s">
        <v>141</v>
      </c>
    </row>
    <row r="51" spans="1:5" ht="12.75">
      <c r="A51" s="68" t="s">
        <v>373</v>
      </c>
      <c r="B51" s="8" t="s">
        <v>184</v>
      </c>
      <c r="C51" s="290"/>
      <c r="D51" s="290"/>
      <c r="E51" s="247">
        <f aca="true" t="shared" si="1" ref="E51:E61">C51-D51</f>
        <v>0</v>
      </c>
    </row>
    <row r="52" spans="1:5" ht="12.75">
      <c r="A52" s="64" t="s">
        <v>404</v>
      </c>
      <c r="B52" s="8" t="s">
        <v>184</v>
      </c>
      <c r="C52" s="290"/>
      <c r="D52" s="290"/>
      <c r="E52" s="247">
        <f t="shared" si="1"/>
        <v>0</v>
      </c>
    </row>
    <row r="53" spans="1:5" ht="12.75">
      <c r="A53" t="s">
        <v>374</v>
      </c>
      <c r="B53" s="8" t="s">
        <v>184</v>
      </c>
      <c r="C53" s="290">
        <v>31260</v>
      </c>
      <c r="D53" s="290"/>
      <c r="E53" s="247">
        <f t="shared" si="1"/>
        <v>31260</v>
      </c>
    </row>
    <row r="54" spans="1:5" ht="12.75">
      <c r="A54" t="s">
        <v>388</v>
      </c>
      <c r="B54" s="8" t="s">
        <v>184</v>
      </c>
      <c r="C54" s="290"/>
      <c r="D54" s="290"/>
      <c r="E54" s="247">
        <f t="shared" si="1"/>
        <v>0</v>
      </c>
    </row>
    <row r="55" spans="1:5" ht="12.75">
      <c r="A55" s="64" t="s">
        <v>395</v>
      </c>
      <c r="B55" s="8" t="s">
        <v>184</v>
      </c>
      <c r="C55" s="290"/>
      <c r="D55" s="290"/>
      <c r="E55" s="247">
        <f t="shared" si="1"/>
        <v>0</v>
      </c>
    </row>
    <row r="56" spans="1:5" ht="12.75">
      <c r="A56" s="64" t="s">
        <v>407</v>
      </c>
      <c r="B56" s="8" t="s">
        <v>184</v>
      </c>
      <c r="C56" s="290"/>
      <c r="D56" s="290"/>
      <c r="E56" s="247">
        <f t="shared" si="1"/>
        <v>0</v>
      </c>
    </row>
    <row r="57" spans="1:5" ht="12.75">
      <c r="A57" s="2" t="s">
        <v>403</v>
      </c>
      <c r="B57" s="8" t="s">
        <v>184</v>
      </c>
      <c r="C57" s="290"/>
      <c r="D57" s="290"/>
      <c r="E57" s="247">
        <f t="shared" si="1"/>
        <v>0</v>
      </c>
    </row>
    <row r="58" spans="1:5" ht="12.75">
      <c r="A58" s="64" t="s">
        <v>406</v>
      </c>
      <c r="B58" s="8" t="s">
        <v>184</v>
      </c>
      <c r="C58" s="290"/>
      <c r="D58" s="290"/>
      <c r="E58" s="247">
        <f t="shared" si="1"/>
        <v>0</v>
      </c>
    </row>
    <row r="59" spans="1:5" ht="12.75">
      <c r="A59" s="64"/>
      <c r="B59" s="8" t="s">
        <v>184</v>
      </c>
      <c r="C59" s="290"/>
      <c r="D59" s="290"/>
      <c r="E59" s="247">
        <f t="shared" si="1"/>
        <v>0</v>
      </c>
    </row>
    <row r="60" spans="2:5" ht="12.75">
      <c r="B60" s="8" t="s">
        <v>184</v>
      </c>
      <c r="C60" s="290"/>
      <c r="D60" s="290"/>
      <c r="E60" s="247">
        <f t="shared" si="1"/>
        <v>0</v>
      </c>
    </row>
    <row r="61" spans="2:5" ht="12.75">
      <c r="B61" s="8" t="s">
        <v>184</v>
      </c>
      <c r="C61" s="290"/>
      <c r="D61" s="290"/>
      <c r="E61" s="247">
        <f t="shared" si="1"/>
        <v>0</v>
      </c>
    </row>
    <row r="62" spans="2:5" ht="12.75">
      <c r="B62" s="8" t="s">
        <v>184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184</v>
      </c>
      <c r="C63" s="290"/>
      <c r="D63" s="290"/>
      <c r="E63" s="247">
        <f t="shared" si="2"/>
        <v>0</v>
      </c>
    </row>
    <row r="64" spans="1:5" ht="12.75">
      <c r="A64" s="432" t="s">
        <v>379</v>
      </c>
      <c r="B64" s="8" t="s">
        <v>184</v>
      </c>
      <c r="C64" s="290"/>
      <c r="D64" s="290"/>
      <c r="E64" s="247">
        <f t="shared" si="2"/>
        <v>0</v>
      </c>
    </row>
    <row r="65" spans="2:5" ht="12.75">
      <c r="B65" s="8" t="s">
        <v>184</v>
      </c>
      <c r="C65" s="290"/>
      <c r="D65" s="290"/>
      <c r="E65" s="247">
        <f t="shared" si="2"/>
        <v>0</v>
      </c>
    </row>
    <row r="66" spans="1:5" ht="12.75">
      <c r="A66" s="432" t="s">
        <v>372</v>
      </c>
      <c r="B66" s="8" t="s">
        <v>184</v>
      </c>
      <c r="C66" s="290"/>
      <c r="D66" s="290"/>
      <c r="E66" s="247">
        <f t="shared" si="2"/>
        <v>0</v>
      </c>
    </row>
    <row r="67" spans="1:5" ht="12.75">
      <c r="A67" s="64"/>
      <c r="B67" s="8" t="s">
        <v>184</v>
      </c>
      <c r="C67" s="290"/>
      <c r="D67" s="290"/>
      <c r="E67" s="247">
        <f t="shared" si="2"/>
        <v>0</v>
      </c>
    </row>
    <row r="68" spans="1:5" ht="12.75">
      <c r="A68" s="65" t="s">
        <v>200</v>
      </c>
      <c r="B68" s="8" t="s">
        <v>184</v>
      </c>
      <c r="C68" s="290"/>
      <c r="D68" s="290"/>
      <c r="E68" s="247">
        <f t="shared" si="2"/>
        <v>0</v>
      </c>
    </row>
    <row r="69" spans="1:5" ht="12.75">
      <c r="A69" s="64"/>
      <c r="B69" s="8" t="s">
        <v>184</v>
      </c>
      <c r="C69" s="290"/>
      <c r="D69" s="290"/>
      <c r="E69" s="247">
        <f t="shared" si="2"/>
        <v>0</v>
      </c>
    </row>
    <row r="70" spans="1:5" ht="12.75">
      <c r="A70" s="64"/>
      <c r="B70" s="8" t="s">
        <v>184</v>
      </c>
      <c r="C70" s="290"/>
      <c r="D70" s="290"/>
      <c r="E70" s="247">
        <f t="shared" si="2"/>
        <v>0</v>
      </c>
    </row>
    <row r="71" spans="1:5" ht="12.75">
      <c r="A71" s="64"/>
      <c r="B71" s="8" t="s">
        <v>184</v>
      </c>
      <c r="C71" s="290"/>
      <c r="D71" s="290"/>
      <c r="E71" s="247">
        <f t="shared" si="2"/>
        <v>0</v>
      </c>
    </row>
    <row r="72" spans="1:5" ht="12.75">
      <c r="A72" s="64"/>
      <c r="B72" s="8" t="s">
        <v>184</v>
      </c>
      <c r="C72" s="290"/>
      <c r="D72" s="290"/>
      <c r="E72" s="275">
        <f t="shared" si="2"/>
        <v>0</v>
      </c>
    </row>
    <row r="73" spans="1:5" ht="12.75">
      <c r="A73" s="423" t="s">
        <v>381</v>
      </c>
      <c r="B73" s="8" t="s">
        <v>185</v>
      </c>
      <c r="C73" s="247">
        <f>SUM(C51:C72)</f>
        <v>31260</v>
      </c>
      <c r="D73" s="247">
        <f>SUM(D51:D72)</f>
        <v>0</v>
      </c>
      <c r="E73" s="247">
        <f>SUM(E51:E72)</f>
        <v>31260</v>
      </c>
    </row>
    <row r="74" ht="12.75">
      <c r="A74" s="6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horizontalDpi="600" verticalDpi="600" orientation="portrait" scale="85" r:id="rId1"/>
  <headerFooter alignWithMargins="0">
    <oddHeader>&amp;R&amp;9Wasaga Distribution Inc.
EB-2008-0381
Deferred PILs Combined Proceeding
Appendix 17</oddHeader>
    <oddFooter>&amp;L&amp;8June 30, 2012&amp;R&amp;"Arial,Bold"&amp;9&amp;A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view="pageLayout" workbookViewId="0" topLeftCell="A46">
      <selection activeCell="A68" sqref="A6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1.851562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1" t="str">
        <f>REGINFO!A1</f>
        <v>PILs TAXES - EB-2008-381</v>
      </c>
      <c r="B1" s="382"/>
      <c r="C1" s="339"/>
      <c r="D1" s="339"/>
      <c r="E1" s="339"/>
      <c r="F1" s="339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40" t="s">
        <v>103</v>
      </c>
      <c r="B2" s="339"/>
      <c r="C2" s="339"/>
      <c r="D2" s="339"/>
      <c r="E2" s="339"/>
      <c r="F2" s="341" t="str">
        <f>REGINFO!E1</f>
        <v>Version 2009.1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40" t="s">
        <v>301</v>
      </c>
      <c r="B3" s="339"/>
      <c r="C3" s="339"/>
      <c r="D3" s="339"/>
      <c r="E3" s="339"/>
      <c r="F3" s="341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Wasaga Distribution Inc.</v>
      </c>
      <c r="B4" s="339"/>
      <c r="C4" s="339"/>
      <c r="D4" s="339"/>
      <c r="E4" s="339"/>
      <c r="F4" s="339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2003</v>
      </c>
      <c r="B5" s="339"/>
      <c r="C5" s="339"/>
      <c r="D5" s="339"/>
      <c r="E5" s="339"/>
      <c r="F5" s="339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40"/>
      <c r="B7" s="339"/>
      <c r="C7" s="339"/>
      <c r="D7" s="339"/>
      <c r="E7" s="339"/>
      <c r="F7" s="400" t="s">
        <v>330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68" t="s">
        <v>432</v>
      </c>
      <c r="B8" s="469"/>
      <c r="C8" s="469"/>
      <c r="D8" s="469"/>
      <c r="E8" s="339"/>
      <c r="F8" s="379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7" t="s">
        <v>108</v>
      </c>
      <c r="B9" s="322"/>
      <c r="C9" s="370">
        <v>0</v>
      </c>
      <c r="D9" s="370"/>
      <c r="E9" s="370">
        <v>200001</v>
      </c>
      <c r="F9" s="371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8" t="s">
        <v>417</v>
      </c>
      <c r="B10" s="323"/>
      <c r="C10" s="372" t="s">
        <v>107</v>
      </c>
      <c r="D10" s="372"/>
      <c r="E10" s="372" t="s">
        <v>107</v>
      </c>
      <c r="F10" s="373" t="s">
        <v>437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8"/>
      <c r="B11" s="323" t="s">
        <v>112</v>
      </c>
      <c r="C11" s="374">
        <v>200000</v>
      </c>
      <c r="D11" s="374"/>
      <c r="E11" s="374">
        <v>700000</v>
      </c>
      <c r="F11" s="375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9" t="s">
        <v>104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20" t="s">
        <v>294</v>
      </c>
      <c r="B13" s="399">
        <v>2002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20" t="s">
        <v>293</v>
      </c>
      <c r="B14" s="241"/>
      <c r="C14" s="324">
        <v>0.1312</v>
      </c>
      <c r="D14" s="324"/>
      <c r="E14" s="325">
        <v>0.2612</v>
      </c>
      <c r="F14" s="325">
        <v>0.2612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20" t="s">
        <v>298</v>
      </c>
      <c r="B15" s="241"/>
      <c r="C15" s="326">
        <v>0.06</v>
      </c>
      <c r="D15" s="326"/>
      <c r="E15" s="327">
        <v>0.06</v>
      </c>
      <c r="F15" s="327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20" t="s">
        <v>254</v>
      </c>
      <c r="B16" s="241"/>
      <c r="C16" s="328">
        <f>SUM(C14:C15)</f>
        <v>0.1912</v>
      </c>
      <c r="D16" s="328"/>
      <c r="E16" s="329">
        <v>0.3412</v>
      </c>
      <c r="F16" s="329">
        <f>SUM(F14:F15)</f>
        <v>0.3862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20"/>
      <c r="B17" s="241"/>
      <c r="C17" s="324"/>
      <c r="D17" s="324"/>
      <c r="E17" s="325"/>
      <c r="F17" s="325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9" t="s">
        <v>105</v>
      </c>
      <c r="B18" s="240"/>
      <c r="C18" s="330">
        <v>0.003</v>
      </c>
      <c r="D18" s="324"/>
      <c r="E18" s="325"/>
      <c r="F18" s="325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9" t="s">
        <v>106</v>
      </c>
      <c r="B19" s="234"/>
      <c r="C19" s="331">
        <v>0.00225</v>
      </c>
      <c r="D19" s="332"/>
      <c r="E19" s="333"/>
      <c r="F19" s="333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9" t="s">
        <v>109</v>
      </c>
      <c r="B20" s="234"/>
      <c r="C20" s="332">
        <v>0.0112</v>
      </c>
      <c r="D20" s="334"/>
      <c r="E20" s="335"/>
      <c r="F20" s="335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1" t="s">
        <v>325</v>
      </c>
      <c r="B21" s="396" t="s">
        <v>421</v>
      </c>
      <c r="C21" s="358">
        <v>5000000</v>
      </c>
      <c r="D21" s="334"/>
      <c r="E21" s="335"/>
      <c r="F21" s="335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1" t="s">
        <v>326</v>
      </c>
      <c r="B22" s="397" t="s">
        <v>422</v>
      </c>
      <c r="C22" s="359">
        <v>10000000</v>
      </c>
      <c r="D22" s="336"/>
      <c r="E22" s="337"/>
      <c r="F22" s="337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62" t="s">
        <v>441</v>
      </c>
      <c r="B23" s="463"/>
      <c r="C23" s="463"/>
      <c r="D23" s="463"/>
      <c r="E23" s="463"/>
      <c r="F23" s="463"/>
      <c r="G23" s="418"/>
      <c r="H23" s="406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1"/>
      <c r="B24" s="402"/>
      <c r="C24" s="402"/>
      <c r="D24" s="402"/>
      <c r="E24" s="402"/>
      <c r="F24" s="402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6"/>
      <c r="B25" s="377"/>
      <c r="C25" s="380"/>
      <c r="D25" s="339"/>
      <c r="E25" s="339"/>
      <c r="F25" s="400" t="s">
        <v>331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70" t="s">
        <v>433</v>
      </c>
      <c r="B26" s="471"/>
      <c r="C26" s="471"/>
      <c r="D26" s="471"/>
      <c r="E26" s="471"/>
      <c r="F26" s="471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7" t="s">
        <v>108</v>
      </c>
      <c r="B27" s="322"/>
      <c r="C27" s="364">
        <v>0</v>
      </c>
      <c r="D27" s="364"/>
      <c r="E27" s="364">
        <v>200001</v>
      </c>
      <c r="F27" s="365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8" t="s">
        <v>391</v>
      </c>
      <c r="B28" s="323"/>
      <c r="C28" s="366" t="s">
        <v>107</v>
      </c>
      <c r="D28" s="366"/>
      <c r="E28" s="366" t="s">
        <v>107</v>
      </c>
      <c r="F28" s="367" t="s">
        <v>437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8"/>
      <c r="B29" s="323" t="s">
        <v>112</v>
      </c>
      <c r="C29" s="368">
        <v>200000</v>
      </c>
      <c r="D29" s="368"/>
      <c r="E29" s="368">
        <v>700000</v>
      </c>
      <c r="F29" s="369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9" t="s">
        <v>104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20" t="s">
        <v>111</v>
      </c>
      <c r="B31" s="399">
        <v>2003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20" t="s">
        <v>293</v>
      </c>
      <c r="B32" s="399">
        <v>2003</v>
      </c>
      <c r="C32" s="324">
        <v>0.1312</v>
      </c>
      <c r="D32" s="324"/>
      <c r="E32" s="325"/>
      <c r="F32" s="325">
        <v>0.2412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20" t="s">
        <v>29</v>
      </c>
      <c r="B33" s="399">
        <v>2003</v>
      </c>
      <c r="C33" s="326">
        <v>0.06</v>
      </c>
      <c r="D33" s="326"/>
      <c r="E33" s="327"/>
      <c r="F33" s="327">
        <v>0.125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20" t="s">
        <v>254</v>
      </c>
      <c r="B34" s="399">
        <v>2003</v>
      </c>
      <c r="C34" s="328">
        <f>SUM(C32:C33)</f>
        <v>0.1912</v>
      </c>
      <c r="D34" s="328"/>
      <c r="E34" s="329">
        <v>0.3412</v>
      </c>
      <c r="F34" s="329">
        <f>SUM(F32:F33)</f>
        <v>0.36619999999999997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20"/>
      <c r="B35" s="241"/>
      <c r="C35" s="324"/>
      <c r="D35" s="324"/>
      <c r="E35" s="325"/>
      <c r="F35" s="325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9" t="s">
        <v>105</v>
      </c>
      <c r="B36" s="399">
        <v>2003</v>
      </c>
      <c r="C36" s="330">
        <v>0.003</v>
      </c>
      <c r="D36" s="324"/>
      <c r="E36" s="325"/>
      <c r="F36" s="325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9" t="s">
        <v>106</v>
      </c>
      <c r="B37" s="399">
        <v>2003</v>
      </c>
      <c r="C37" s="331">
        <v>0.00225</v>
      </c>
      <c r="D37" s="332"/>
      <c r="E37" s="333"/>
      <c r="F37" s="333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9" t="s">
        <v>109</v>
      </c>
      <c r="B38" s="399">
        <v>2003</v>
      </c>
      <c r="C38" s="332">
        <v>0.0112</v>
      </c>
      <c r="D38" s="334"/>
      <c r="E38" s="335"/>
      <c r="F38" s="335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1" t="s">
        <v>434</v>
      </c>
      <c r="B39" s="396" t="s">
        <v>421</v>
      </c>
      <c r="C39" s="358">
        <v>5000000</v>
      </c>
      <c r="D39" s="334"/>
      <c r="E39" s="335"/>
      <c r="F39" s="335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1" t="s">
        <v>435</v>
      </c>
      <c r="B40" s="397" t="s">
        <v>422</v>
      </c>
      <c r="C40" s="359">
        <v>10000000</v>
      </c>
      <c r="D40" s="336"/>
      <c r="E40" s="337"/>
      <c r="F40" s="337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64" t="s">
        <v>328</v>
      </c>
      <c r="B41" s="463"/>
      <c r="C41" s="463"/>
      <c r="D41" s="463"/>
      <c r="E41" s="463"/>
      <c r="F41" s="463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65"/>
      <c r="B42" s="465"/>
      <c r="C42" s="465"/>
      <c r="D42" s="465"/>
      <c r="E42" s="465"/>
      <c r="F42" s="465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6"/>
      <c r="B43" s="377"/>
      <c r="C43" s="378"/>
      <c r="D43" s="377"/>
      <c r="E43" s="377"/>
      <c r="F43" s="400" t="s">
        <v>332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398" t="s">
        <v>436</v>
      </c>
      <c r="B44" s="362"/>
      <c r="C44" s="363"/>
      <c r="D44" s="362"/>
      <c r="E44" s="339"/>
      <c r="F44" s="379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7" t="s">
        <v>108</v>
      </c>
      <c r="B45" s="322"/>
      <c r="C45" s="364">
        <v>0</v>
      </c>
      <c r="D45" s="364"/>
      <c r="E45" s="364">
        <v>200001</v>
      </c>
      <c r="F45" s="365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8"/>
      <c r="B46" s="323"/>
      <c r="C46" s="366" t="s">
        <v>107</v>
      </c>
      <c r="D46" s="366"/>
      <c r="E46" s="366" t="s">
        <v>107</v>
      </c>
      <c r="F46" s="367" t="s">
        <v>420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8"/>
      <c r="B47" s="338" t="s">
        <v>112</v>
      </c>
      <c r="C47" s="368">
        <v>200000</v>
      </c>
      <c r="D47" s="368"/>
      <c r="E47" s="368">
        <v>700000</v>
      </c>
      <c r="F47" s="369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9" t="s">
        <v>104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20" t="s">
        <v>111</v>
      </c>
      <c r="B49" s="399">
        <v>2003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20" t="s">
        <v>293</v>
      </c>
      <c r="B50" s="241"/>
      <c r="C50" s="348">
        <v>0.1312</v>
      </c>
      <c r="D50" s="348"/>
      <c r="E50" s="349">
        <v>0</v>
      </c>
      <c r="F50" s="349">
        <v>0.2412</v>
      </c>
      <c r="G50" s="190"/>
      <c r="H50" s="451"/>
      <c r="I50" s="451"/>
      <c r="J50" s="190"/>
      <c r="K50" s="184"/>
      <c r="L50" s="185"/>
      <c r="M50" s="185"/>
      <c r="N50" s="185"/>
      <c r="O50" s="185"/>
      <c r="P50" s="185"/>
    </row>
    <row r="51" spans="1:16" ht="13.5" thickBot="1">
      <c r="A51" s="320" t="s">
        <v>29</v>
      </c>
      <c r="B51" s="241"/>
      <c r="C51" s="350">
        <v>0.06</v>
      </c>
      <c r="D51" s="350"/>
      <c r="E51" s="351">
        <v>0</v>
      </c>
      <c r="F51" s="351">
        <v>0.125</v>
      </c>
      <c r="G51" s="190"/>
      <c r="H51" s="451"/>
      <c r="I51" s="451"/>
      <c r="J51" s="190"/>
      <c r="K51" s="184"/>
      <c r="L51" s="185"/>
      <c r="M51" s="185"/>
      <c r="N51" s="185"/>
      <c r="O51" s="185"/>
      <c r="P51" s="185"/>
    </row>
    <row r="52" spans="1:16" ht="13.5" thickBot="1">
      <c r="A52" s="320" t="s">
        <v>254</v>
      </c>
      <c r="B52" s="241"/>
      <c r="C52" s="328">
        <f>SUM(C50:C51)</f>
        <v>0.1912</v>
      </c>
      <c r="D52" s="328"/>
      <c r="E52" s="329">
        <f>SUM(E50:E51)</f>
        <v>0</v>
      </c>
      <c r="F52" s="329">
        <f>SUM(F50:F51)</f>
        <v>0.36619999999999997</v>
      </c>
      <c r="G52" s="190"/>
      <c r="H52" s="451"/>
      <c r="I52" s="451"/>
      <c r="J52" s="190"/>
      <c r="K52" s="184"/>
      <c r="L52" s="185"/>
      <c r="M52" s="185"/>
      <c r="N52" s="185"/>
      <c r="O52" s="185"/>
      <c r="P52" s="185"/>
    </row>
    <row r="53" spans="1:16" ht="13.5" thickBot="1">
      <c r="A53" s="320"/>
      <c r="B53" s="241"/>
      <c r="C53" s="348"/>
      <c r="D53" s="348"/>
      <c r="E53" s="349"/>
      <c r="F53" s="349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9" t="s">
        <v>105</v>
      </c>
      <c r="B54" s="240"/>
      <c r="C54" s="352">
        <v>0.003</v>
      </c>
      <c r="D54" s="348"/>
      <c r="E54" s="349"/>
      <c r="F54" s="349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9" t="s">
        <v>106</v>
      </c>
      <c r="B55" s="234"/>
      <c r="C55" s="353">
        <v>0.00225</v>
      </c>
      <c r="D55" s="354"/>
      <c r="E55" s="355"/>
      <c r="F55" s="355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9" t="s">
        <v>109</v>
      </c>
      <c r="B56" s="234"/>
      <c r="C56" s="354">
        <v>0.0112</v>
      </c>
      <c r="D56" s="356"/>
      <c r="E56" s="357"/>
      <c r="F56" s="357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1" t="s">
        <v>342</v>
      </c>
      <c r="B57" s="396" t="s">
        <v>421</v>
      </c>
      <c r="C57" s="358">
        <v>3690053</v>
      </c>
      <c r="D57" s="356"/>
      <c r="E57" s="357"/>
      <c r="F57" s="357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1" t="s">
        <v>343</v>
      </c>
      <c r="B58" s="397" t="s">
        <v>422</v>
      </c>
      <c r="C58" s="359">
        <v>10000000</v>
      </c>
      <c r="D58" s="360"/>
      <c r="E58" s="361"/>
      <c r="F58" s="361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62" t="s">
        <v>344</v>
      </c>
      <c r="B59" s="466"/>
      <c r="C59" s="466"/>
      <c r="D59" s="466"/>
      <c r="E59" s="466"/>
      <c r="F59" s="466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67"/>
      <c r="B60" s="467"/>
      <c r="C60" s="467"/>
      <c r="D60" s="467"/>
      <c r="E60" s="467"/>
      <c r="F60" s="467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40"/>
      <c r="B61" s="341"/>
      <c r="C61" s="341"/>
      <c r="D61" s="341"/>
      <c r="E61" s="341"/>
      <c r="F61" s="343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40"/>
      <c r="B62" s="341"/>
      <c r="C62" s="342"/>
      <c r="D62" s="342"/>
      <c r="E62" s="342"/>
      <c r="F62" s="344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40"/>
      <c r="B63" s="339"/>
      <c r="C63" s="339"/>
      <c r="D63" s="339"/>
      <c r="E63" s="339"/>
      <c r="F63" s="339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5"/>
      <c r="B64" s="346"/>
      <c r="C64" s="347"/>
      <c r="D64" s="347"/>
      <c r="E64" s="347"/>
      <c r="F64" s="347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horizontalDpi="600" verticalDpi="600" orientation="portrait" scale="85" r:id="rId1"/>
  <headerFooter alignWithMargins="0">
    <oddHeader>&amp;R&amp;9Wasaga Distribution Inc.
EB-2008-0381
Deferred PILs Combined Proceeding
Appendix 17</oddHeader>
    <oddFooter>&amp;L&amp;8June 30, 2012&amp;R&amp;"Arial,Bold"&amp;9&amp;A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Brandon Weiss</cp:lastModifiedBy>
  <cp:lastPrinted>2012-06-27T14:01:17Z</cp:lastPrinted>
  <dcterms:created xsi:type="dcterms:W3CDTF">2001-11-07T16:15:53Z</dcterms:created>
  <dcterms:modified xsi:type="dcterms:W3CDTF">2012-06-27T14:01:52Z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