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<sst xmlns="http://schemas.openxmlformats.org/spreadsheetml/2006/main" count="813" uniqueCount="450">
  <si>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</si>
  <si>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</si>
  <si>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</si>
  <si>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</si>
  <si>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</si>
  <si>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</si>
  <si>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</si>
  <si>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</si>
  <si>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</si>
  <si>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</si>
  <si>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</si>
  <si>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</si>
  <si>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</si>
  <si>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</si>
  <si>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</si>
  <si>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</si>
  <si>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</si>
  <si>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</si>
  <si>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</si>
  <si>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</si>
  <si>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</si>
  <si>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</si>
  <si>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</si>
  <si>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</si>
  <si>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</si>
  <si>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</si>
  <si>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</si>
  <si>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</si>
  <si>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</si>
  <si>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</si>
  <si>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</si>
  <si>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</si>
  <si>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</si>
  <si>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</si>
  <si>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</si>
  <si>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</si>
  <si>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</si>
  <si>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</si>
  <si>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</si>
  <si>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</si>
  <si>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</si>
  <si>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</si>
  <si>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</si>
  <si>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</si>
  <si>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</si>
  <si>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</si>
  <si>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</si>
  <si>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</si>
  <si>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</si>
  <si>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</si>
  <si>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</si>
  <si>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</si>
  <si>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</si>
  <si>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</si>
  <si>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</si>
  <si>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</si>
  <si>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</si>
  <si>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</si>
  <si>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</si>
  <si>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</si>
  <si>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</si>
  <si>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</si>
  <si>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</si>
  <si>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</si>
  <si>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</si>
  <si>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</si>
  <si>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</si>
  <si>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</si>
  <si>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</si>
  <si>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</si>
  <si>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</si>
  <si>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</si>
  <si>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</si>
  <si>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</si>
  <si>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</si>
  <si>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</si>
  <si>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</si>
  <si>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</si>
  <si>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</si>
  <si>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</si>
  <si>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</si>
  <si>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</si>
  <si>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</si>
  <si>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</si>
  <si>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</si>
  <si>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</si>
  <si>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</si>
  <si>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</si>
  <si>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</si>
  <si>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</si>
  <si>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</si>
  <si>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</si>
  <si>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</si>
  <si>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</si>
  <si>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</si>
  <si>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</si>
  <si>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</si>
  <si>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</si>
  <si>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</si>
  <si>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</si>
  <si>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</si>
  <si>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</si>
  <si>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</si>
  <si>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</si>
  <si>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</si>
  <si>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</si>
  <si>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</si>
  <si>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</si>
  <si>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</si>
  <si>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</si>
  <si>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</si>
  <si>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</si>
  <si>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</si>
  <si>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</si>
  <si>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</si>
  <si>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</si>
  <si>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</si>
  <si>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</si>
  <si>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</si>
  <si>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</si>
  <si>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</si>
  <si>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</si>
  <si>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</si>
  <si>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</si>
  <si>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</si>
  <si>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</si>
  <si>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</si>
  <si>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</si>
  <si>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</si>
  <si>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</si>
  <si>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</si>
  <si>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</si>
  <si>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</si>
  <si>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</si>
  <si>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</si>
  <si>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</si>
  <si>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</si>
  <si>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</si>
  <si>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</si>
  <si>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</si>
  <si>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</si>
  <si>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</si>
  <si>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</si>
  <si>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</si>
  <si>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</si>
  <si>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</si>
  <si>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</si>
  <si>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</si>
  <si>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</si>
  <si>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</si>
  <si>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</si>
  <si>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</si>
  <si>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</si>
  <si>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</si>
  <si>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</si>
  <si>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</si>
  <si>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</si>
  <si>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</si>
  <si>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</si>
  <si>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</si>
  <si>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</si>
  <si>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</si>
  <si>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</si>
  <si>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</si>
  <si>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</si>
  <si>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</si>
  <si>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</si>
  <si>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</si>
  <si>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</si>
  <si>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</si>
  <si>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</si>
  <si>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</si>
  <si>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</si>
  <si>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</si>
  <si>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</si>
  <si>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</si>
  <si>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</si>
  <si>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</si>
  <si>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</si>
  <si>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</si>
  <si>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</si>
  <si>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</si>
  <si>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</si>
  <si>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</si>
  <si>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</si>
  <si>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</si>
  <si>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</si>
  <si>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</si>
  <si>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</si>
  <si>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</si>
  <si>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</si>
  <si>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</si>
  <si>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</si>
  <si>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</si>
  <si>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</si>
  <si>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</si>
  <si>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</si>
  <si>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</si>
  <si>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</si>
  <si>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</si>
  <si>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</si>
  <si>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</si>
  <si>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</si>
  <si>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</si>
  <si>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</si>
  <si>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</si>
  <si>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</si>
  <si>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</si>
  <si>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</si>
  <si>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</si>
  <si>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</si>
  <si>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</si>
  <si>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</si>
  <si>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</si>
  <si>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</si>
  <si>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</si>
  <si>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</si>
  <si>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</si>
  <si>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</si>
  <si>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</si>
  <si>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</si>
  <si>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</si>
  <si>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</si>
  <si>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</si>
  <si>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</si>
  <si>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</si>
  <si>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</si>
  <si>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</si>
  <si>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</si>
  <si>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</si>
  <si>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</si>
  <si>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</si>
  <si>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</si>
  <si>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</si>
  <si>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</si>
  <si>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</si>
  <si>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</si>
  <si>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</si>
  <si>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</si>
  <si>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</si>
  <si>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</si>
  <si>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</si>
  <si>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</si>
  <si>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</si>
  <si>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</si>
  <si>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</si>
  <si>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</si>
  <si>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</si>
  <si>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</si>
  <si>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</si>
  <si>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</si>
  <si>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</si>
  <si>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</si>
  <si>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</si>
  <si>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</si>
  <si>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</si>
  <si>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</si>
  <si>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</si>
  <si>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</si>
  <si>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</si>
  <si>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</si>
  <si>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</si>
  <si>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</si>
  <si>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</si>
  <si>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</si>
  <si>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</si>
  <si>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</si>
  <si>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</si>
  <si>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</si>
  <si>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</si>
  <si>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</si>
  <si>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</si>
  <si>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</si>
  <si>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</si>
  <si>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</si>
  <si>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</si>
  <si>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</si>
  <si>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</si>
  <si>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</si>
  <si>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</si>
  <si>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</si>
  <si>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</si>
  <si>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</si>
  <si>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</si>
  <si>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</si>
  <si>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</si>
  <si>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</si>
  <si>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</si>
  <si>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</si>
  <si>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</si>
  <si>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</si>
  <si>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</si>
  <si>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</si>
  <si>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</si>
  <si>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</si>
  <si>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</si>
  <si>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</si>
  <si>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</si>
  <si>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</si>
  <si>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</si>
  <si>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</si>
  <si>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</si>
  <si>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</si>
  <si>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</si>
  <si>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</si>
  <si>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</si>
  <si>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</si>
  <si>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</si>
  <si>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</si>
  <si>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</si>
  <si>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</si>
  <si>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</si>
  <si>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</si>
  <si>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</si>
  <si>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</si>
  <si>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</si>
  <si>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</si>
  <si>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</si>
  <si>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</si>
  <si>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</si>
  <si>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</si>
  <si>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</si>
  <si>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</si>
  <si>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</si>
  <si>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</si>
  <si>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</si>
  <si>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</si>
  <si>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</si>
  <si>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</si>
  <si>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</si>
  <si>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</si>
  <si>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</si>
  <si>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</si>
  <si>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</si>
  <si>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</si>
  <si>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</si>
  <si>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</si>
  <si>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</si>
  <si>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</si>
  <si>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</si>
  <si>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</si>
  <si>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</si>
  <si>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</si>
  <si>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</si>
  <si>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</si>
  <si>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</si>
  <si>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</si>
  <si>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</si>
  <si>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</si>
  <si>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</si>
  <si>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</si>
  <si>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</si>
  <si>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</si>
  <si>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</si>
  <si>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</si>
  <si>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</si>
  <si>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</si>
  <si>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</si>
  <si>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</si>
  <si>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</si>
  <si>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</si>
  <si>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</si>
  <si>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</si>
  <si>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</si>
  <si>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</si>
  <si>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</si>
  <si>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</si>
  <si>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</si>
  <si>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</si>
  <si>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</si>
  <si>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</si>
  <si>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</si>
  <si>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</si>
  <si>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</si>
  <si>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</si>
  <si>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</si>
  <si>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</si>
  <si>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</si>
  <si>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</si>
  <si>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</si>
  <si>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</si>
  <si>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</si>
  <si>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</si>
  <si>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</si>
  <si>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</si>
  <si>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</si>
  <si>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</si>
  <si>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</si>
  <si>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</si>
  <si>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</si>
  <si>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</si>
  <si>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</si>
  <si>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</si>
  <si>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</si>
  <si>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</si>
  <si>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</si>
  <si>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</si>
  <si>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</si>
  <si>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</si>
  <si>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</si>
  <si>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</si>
  <si>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</si>
  <si>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</si>
  <si>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</si>
  <si>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</si>
  <si>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</si>
  <si>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</si>
  <si>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</si>
  <si>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</si>
  <si>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</si>
  <si>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</si>
  <si>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</si>
  <si>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</si>
  <si>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</si>
  <si>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</si>
  <si>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</si>
  <si>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</si>
  <si>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</si>
  <si>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</si>
  <si>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</si>
  <si>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</si>
  <si>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</si>
  <si>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</si>
  <si>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</si>
  <si>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</si>
  <si>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</si>
  <si>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</si>
  <si>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</si>
  <si>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</si>
  <si>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</si>
  <si>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</si>
  <si>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</si>
  <si>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</si>
  <si>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</si>
  <si>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</si>
  <si>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</si>
  <si>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</si>
  <si>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</si>
  <si>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</si>
  <si>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</si>
  <si>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</si>
  <si>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</si>
  <si>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</si>
  <si>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</si>
  <si>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</si>
  <si>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</si>
  <si>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Utility Name: Wasaga Distribution Inc.</t>
  </si>
  <si>
    <t>Y</t>
  </si>
  <si>
    <t>N</t>
  </si>
  <si>
    <t>Deemed Interest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</si>
</sst>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46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" fontId="0" fillId="41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3" xfId="0" applyNumberFormat="1" applyFont="1" applyFill="1" applyBorder="1" applyAlignment="1" applyProtection="1">
      <alignment/>
      <protection/>
    </xf>
    <xf numFmtId="37" fontId="3" fillId="37" borderId="13" xfId="0" applyNumberFormat="1" applyFont="1" applyFill="1" applyBorder="1" applyAlignment="1" applyProtection="1">
      <alignment vertical="top"/>
      <protection/>
    </xf>
    <xf numFmtId="37" fontId="0" fillId="36" borderId="13" xfId="0" applyNumberFormat="1" applyFill="1" applyBorder="1" applyAlignment="1">
      <alignment vertical="top"/>
    </xf>
    <xf numFmtId="3" fontId="0" fillId="42" borderId="16" xfId="0" applyNumberFormat="1" applyFill="1" applyBorder="1" applyAlignment="1" applyProtection="1">
      <alignment horizontal="center" vertical="top"/>
      <protection locked="0"/>
    </xf>
    <xf numFmtId="3" fontId="0" fillId="42" borderId="13" xfId="0" applyNumberFormat="1" applyFill="1" applyBorder="1" applyAlignment="1" applyProtection="1">
      <alignment horizontal="right"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6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10" fontId="0" fillId="0" borderId="0" xfId="63" applyFont="1" applyAlignment="1" applyProtection="1">
      <alignment vertical="top"/>
      <protection locked="0"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Layout" workbookViewId="0" topLeftCell="A34">
      <selection activeCell="A70" sqref="A7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410</v>
      </c>
      <c r="C1" s="8"/>
      <c r="E1" s="2" t="s">
        <v>411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446</v>
      </c>
      <c r="C3" s="8"/>
      <c r="D3" s="426" t="s">
        <v>398</v>
      </c>
      <c r="E3" s="8"/>
      <c r="F3" s="8"/>
      <c r="G3" s="8"/>
      <c r="H3" s="8"/>
    </row>
    <row r="4" spans="1:8" ht="12.75">
      <c r="A4" s="2" t="s">
        <v>434</v>
      </c>
      <c r="C4" s="8"/>
      <c r="D4" s="425" t="s">
        <v>393</v>
      </c>
      <c r="E4" s="413"/>
      <c r="H4" s="8"/>
    </row>
    <row r="5" spans="1:8" ht="12.75">
      <c r="A5" s="49"/>
      <c r="C5" s="8"/>
      <c r="D5" s="424" t="s">
        <v>394</v>
      </c>
      <c r="E5" s="387"/>
      <c r="H5" s="8"/>
    </row>
    <row r="6" spans="1:8" ht="12.75">
      <c r="A6" s="2" t="s">
        <v>122</v>
      </c>
      <c r="B6" s="384">
        <v>366</v>
      </c>
      <c r="C6" s="8" t="s">
        <v>123</v>
      </c>
      <c r="D6" s="21"/>
      <c r="H6" s="8"/>
    </row>
    <row r="7" spans="1:8" ht="13.5" thickBot="1">
      <c r="A7" s="49" t="s">
        <v>251</v>
      </c>
      <c r="B7" s="245">
        <v>366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55" t="s">
        <v>447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55" t="s">
        <v>448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64</v>
      </c>
      <c r="D17" s="455" t="s">
        <v>448</v>
      </c>
    </row>
    <row r="18" spans="1:4" ht="15" customHeight="1">
      <c r="A18" s="385" t="s">
        <v>310</v>
      </c>
      <c r="C18" s="8"/>
      <c r="D18" s="8"/>
    </row>
    <row r="19" spans="1:4" ht="15" customHeight="1">
      <c r="A19" s="459" t="s">
        <v>311</v>
      </c>
      <c r="B19" s="8" t="s">
        <v>308</v>
      </c>
      <c r="C19" s="8" t="s">
        <v>64</v>
      </c>
      <c r="D19" s="456" t="s">
        <v>448</v>
      </c>
    </row>
    <row r="20" spans="1:4" ht="13.5" thickBot="1">
      <c r="A20" s="460"/>
      <c r="B20" s="8" t="s">
        <v>309</v>
      </c>
      <c r="C20" s="8" t="s">
        <v>64</v>
      </c>
      <c r="D20" s="455" t="s">
        <v>448</v>
      </c>
    </row>
    <row r="21" spans="1:4" ht="12.75">
      <c r="A21" s="459" t="s">
        <v>307</v>
      </c>
      <c r="B21" s="8" t="s">
        <v>308</v>
      </c>
      <c r="C21" s="8"/>
      <c r="D21" s="408">
        <v>0</v>
      </c>
    </row>
    <row r="22" spans="1:4" ht="12.75">
      <c r="A22" s="459"/>
      <c r="B22" s="8" t="s">
        <v>309</v>
      </c>
      <c r="C22" s="8"/>
      <c r="D22" s="408">
        <v>0</v>
      </c>
    </row>
    <row r="23" spans="1:4" ht="7.5" customHeight="1">
      <c r="A23" s="45"/>
      <c r="C23" s="8"/>
      <c r="D23" s="384"/>
    </row>
    <row r="24" spans="1:4" ht="12.75">
      <c r="A24" s="45" t="s">
        <v>207</v>
      </c>
      <c r="C24" s="8" t="s">
        <v>208</v>
      </c>
      <c r="D24" s="409" t="s">
        <v>435</v>
      </c>
    </row>
    <row r="25" ht="6.75" customHeight="1" thickBot="1">
      <c r="A25" s="12"/>
    </row>
    <row r="26" spans="1:5" ht="12.75">
      <c r="A26" s="251" t="s">
        <v>67</v>
      </c>
      <c r="C26" s="8"/>
      <c r="E26" s="418" t="s">
        <v>292</v>
      </c>
    </row>
    <row r="27" spans="1:5" ht="12.75">
      <c r="A27" s="252" t="s">
        <v>68</v>
      </c>
      <c r="C27" s="8"/>
      <c r="E27" s="419" t="s">
        <v>293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282</v>
      </c>
      <c r="D31" s="406">
        <v>9291089.22</v>
      </c>
      <c r="H31" s="5"/>
    </row>
    <row r="32" ht="6" customHeight="1"/>
    <row r="33" spans="1:8" ht="12.75">
      <c r="A33" t="s">
        <v>71</v>
      </c>
      <c r="D33" s="407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7">
        <v>0.0988</v>
      </c>
      <c r="H37" s="41"/>
    </row>
    <row r="38" ht="4.5" customHeight="1">
      <c r="H38" s="34"/>
    </row>
    <row r="39" spans="1:8" ht="12.75">
      <c r="A39" t="s">
        <v>74</v>
      </c>
      <c r="D39" s="407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795781.7916930001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0">
        <v>80060.92</v>
      </c>
      <c r="E43" s="383">
        <f>D43</f>
        <v>80060.92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715720.8716930001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11">
        <f>D45/3</f>
        <v>238573.6238976667</v>
      </c>
      <c r="E47" s="383">
        <f aca="true" t="shared" si="0" ref="E47:E53">D47</f>
        <v>238573.6238976667</v>
      </c>
      <c r="H47" s="40"/>
      <c r="J47" s="5"/>
      <c r="K47" s="5"/>
    </row>
    <row r="48" spans="1:11" ht="12.75">
      <c r="A48" t="s">
        <v>285</v>
      </c>
      <c r="D48" s="411">
        <f>D45/3</f>
        <v>238573.6238976667</v>
      </c>
      <c r="E48" s="383">
        <f>D48</f>
        <v>238573.6238976667</v>
      </c>
      <c r="F48" s="22"/>
      <c r="H48" s="40"/>
      <c r="J48" s="5"/>
      <c r="K48" s="5"/>
    </row>
    <row r="49" spans="1:11" ht="12.75">
      <c r="A49" t="s">
        <v>286</v>
      </c>
      <c r="D49" s="412">
        <f>D45/3</f>
        <v>238573.6238976667</v>
      </c>
      <c r="E49" s="383">
        <v>0</v>
      </c>
      <c r="F49" s="22"/>
      <c r="H49" s="40"/>
      <c r="J49" s="5"/>
      <c r="K49" s="5"/>
    </row>
    <row r="50" spans="1:11" ht="12.75">
      <c r="A50" t="s">
        <v>287</v>
      </c>
      <c r="D50" s="413"/>
      <c r="E50" s="383">
        <f t="shared" si="0"/>
        <v>0</v>
      </c>
      <c r="H50" s="40"/>
      <c r="J50" s="5"/>
      <c r="K50" s="5"/>
    </row>
    <row r="51" spans="1:11" ht="12.75">
      <c r="A51" t="s">
        <v>391</v>
      </c>
      <c r="D51" s="413"/>
      <c r="E51" s="383">
        <f t="shared" si="0"/>
        <v>0</v>
      </c>
      <c r="H51" s="40"/>
      <c r="J51" s="5"/>
      <c r="K51" s="5"/>
    </row>
    <row r="52" spans="1:11" ht="12.75">
      <c r="A52" t="s">
        <v>412</v>
      </c>
      <c r="D52" s="413"/>
      <c r="E52" s="383">
        <f t="shared" si="0"/>
        <v>0</v>
      </c>
      <c r="H52" s="40"/>
      <c r="J52" s="5"/>
      <c r="K52" s="5"/>
    </row>
    <row r="53" spans="4:11" ht="12.75">
      <c r="D53" s="413"/>
      <c r="E53" s="383">
        <f t="shared" si="0"/>
        <v>0</v>
      </c>
      <c r="H53" s="40"/>
      <c r="J53" s="5"/>
      <c r="K53" s="5"/>
    </row>
    <row r="54" spans="1:11" ht="12.75">
      <c r="A54" s="2" t="s">
        <v>288</v>
      </c>
      <c r="E54" s="250">
        <f>SUM(E43:E53)</f>
        <v>557208.1677953333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4645544.61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458979.80746800004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4645544.61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48">
        <f>D60*D39</f>
        <v>336801.984225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49">
        <f>IF(D41&gt;0,(((D43+D47)/D41)*D62),0)</f>
        <v>134857.00194151097</v>
      </c>
      <c r="F64" s="5"/>
      <c r="H64" s="32"/>
      <c r="J64" s="5"/>
      <c r="K64" s="5"/>
    </row>
    <row r="65" spans="1:11" ht="12.75">
      <c r="A65" s="33" t="s">
        <v>368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49">
        <f>IF(D41&gt;0,(((D43+D47+D48)/D41)*D62),0)</f>
        <v>235829.49308325545</v>
      </c>
      <c r="F66" s="5"/>
      <c r="H66" s="32"/>
      <c r="J66" s="5"/>
      <c r="K66" s="5"/>
    </row>
    <row r="67" spans="1:11" ht="12.75">
      <c r="A67" s="33" t="s">
        <v>369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49">
        <f>IF(D41&gt;0,(((D43+D47+D48)/D41)*D62),0)</f>
        <v>235829.49308325545</v>
      </c>
      <c r="F68" s="5"/>
      <c r="H68" s="32"/>
      <c r="J68" s="5"/>
    </row>
    <row r="69" spans="1:10" ht="12.75">
      <c r="A69" s="33" t="s">
        <v>370</v>
      </c>
      <c r="B69" s="5"/>
      <c r="C69" s="5"/>
      <c r="D69" s="5"/>
      <c r="F69" s="5"/>
      <c r="H69" s="32"/>
      <c r="J69" s="5"/>
    </row>
    <row r="70" spans="1:10" ht="12.75">
      <c r="A70" s="45" t="s">
        <v>399</v>
      </c>
      <c r="B70" s="5"/>
      <c r="C70" s="5"/>
      <c r="D70" s="249">
        <f>D62</f>
        <v>336801.984225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view="pageLayout" zoomScaleNormal="90" workbookViewId="0" topLeftCell="A113">
      <selection activeCell="A70" sqref="A70"/>
    </sheetView>
  </sheetViews>
  <sheetFormatPr defaultColWidth="9.140625" defaultRowHeight="12.75"/>
  <cols>
    <col min="1" max="1" width="66.710937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EB-2008-381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414</v>
      </c>
      <c r="H1" s="206"/>
    </row>
    <row r="2" spans="1:8" ht="12.75">
      <c r="A2" s="207" t="s">
        <v>413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415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245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Wasaga Distribution Inc.</v>
      </c>
      <c r="B6" s="111"/>
      <c r="D6" s="133"/>
      <c r="E6" s="111"/>
      <c r="G6" s="111"/>
      <c r="H6" s="428"/>
    </row>
    <row r="7" spans="1:8" ht="12.75">
      <c r="A7" s="207" t="str">
        <f>REGINFO!A4</f>
        <v>Reporting period:  2004</v>
      </c>
      <c r="B7" s="111"/>
      <c r="D7" s="133"/>
      <c r="E7" s="111"/>
      <c r="G7" s="111"/>
      <c r="H7" s="428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4">
        <f>REGINFO!B6</f>
        <v>366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251</v>
      </c>
      <c r="B10" s="414">
        <f>REGINFO!B7</f>
        <v>366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335</v>
      </c>
      <c r="B16" s="121">
        <v>1</v>
      </c>
      <c r="C16" s="254">
        <f>REGINFO!E54</f>
        <v>557208.1677953333</v>
      </c>
      <c r="D16" s="17"/>
      <c r="E16" s="262">
        <f>G16-C16</f>
        <v>281063.8322046667</v>
      </c>
      <c r="F16" s="3"/>
      <c r="G16" s="262">
        <f>TAXREC!E50</f>
        <v>838272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203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6">
        <v>428779</v>
      </c>
      <c r="D20" s="18"/>
      <c r="E20" s="262">
        <f>G20-C20</f>
        <v>125198</v>
      </c>
      <c r="F20" s="6"/>
      <c r="G20" s="262">
        <f>TAXREC!E61</f>
        <v>553977</v>
      </c>
      <c r="H20" s="147"/>
    </row>
    <row r="21" spans="1:8" ht="12.75">
      <c r="A21" s="154" t="s">
        <v>56</v>
      </c>
      <c r="B21" s="123">
        <v>3</v>
      </c>
      <c r="C21" s="256"/>
      <c r="D21" s="18"/>
      <c r="E21" s="262">
        <f>G21-C21</f>
        <v>0</v>
      </c>
      <c r="F21" s="6"/>
      <c r="G21" s="262">
        <f>TAXREC!E62</f>
        <v>0</v>
      </c>
      <c r="H21" s="147"/>
    </row>
    <row r="22" spans="1:8" ht="12.75">
      <c r="A22" s="154" t="s">
        <v>259</v>
      </c>
      <c r="B22" s="123">
        <v>4</v>
      </c>
      <c r="C22" s="256"/>
      <c r="D22" s="18"/>
      <c r="E22" s="262">
        <f>G22-C22</f>
        <v>0</v>
      </c>
      <c r="F22" s="6"/>
      <c r="G22" s="262">
        <f>TAXREC!E63</f>
        <v>0</v>
      </c>
      <c r="H22" s="147"/>
    </row>
    <row r="23" spans="1:8" ht="12.75">
      <c r="A23" s="154" t="s">
        <v>258</v>
      </c>
      <c r="B23" s="123">
        <v>4</v>
      </c>
      <c r="C23" s="256"/>
      <c r="D23" s="18"/>
      <c r="E23" s="262">
        <f>G23-C23</f>
        <v>0</v>
      </c>
      <c r="F23" s="6"/>
      <c r="G23" s="262">
        <f>TAXREC!E64</f>
        <v>0</v>
      </c>
      <c r="H23" s="147"/>
    </row>
    <row r="24" spans="1:8" ht="12.75">
      <c r="A24" s="154" t="s">
        <v>260</v>
      </c>
      <c r="B24" s="123">
        <v>5</v>
      </c>
      <c r="C24" s="256">
        <v>139716</v>
      </c>
      <c r="D24" s="18"/>
      <c r="E24" s="262">
        <f>G24-C24</f>
        <v>-139716</v>
      </c>
      <c r="F24" s="6"/>
      <c r="G24" s="262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6"/>
      <c r="D26" s="18"/>
      <c r="E26" s="262">
        <f>G26-C26</f>
        <v>0</v>
      </c>
      <c r="F26" s="6"/>
      <c r="G26" s="262">
        <f>TAXREC!E92</f>
        <v>0</v>
      </c>
      <c r="H26" s="147"/>
    </row>
    <row r="27" spans="1:8" ht="12.75">
      <c r="A27" s="154" t="s">
        <v>155</v>
      </c>
      <c r="B27" s="123">
        <v>6</v>
      </c>
      <c r="C27" s="256"/>
      <c r="D27" s="18"/>
      <c r="E27" s="262">
        <f>G27-C27</f>
        <v>0</v>
      </c>
      <c r="F27" s="6"/>
      <c r="G27" s="262">
        <f>TAXREC!E93</f>
        <v>0</v>
      </c>
      <c r="H27" s="147"/>
    </row>
    <row r="28" spans="1:8" ht="12.75">
      <c r="A28" s="154" t="s">
        <v>154</v>
      </c>
      <c r="B28" s="123">
        <v>6</v>
      </c>
      <c r="C28" s="256"/>
      <c r="D28" s="18"/>
      <c r="E28" s="262">
        <f>G28-C28</f>
        <v>0</v>
      </c>
      <c r="F28" s="6"/>
      <c r="G28" s="262">
        <f>TAXREC!E67</f>
        <v>0</v>
      </c>
      <c r="H28" s="147"/>
    </row>
    <row r="29" spans="1:8" ht="12.75">
      <c r="A29" s="154" t="s">
        <v>153</v>
      </c>
      <c r="B29" s="123">
        <v>6</v>
      </c>
      <c r="C29" s="256"/>
      <c r="D29" s="18"/>
      <c r="E29" s="262">
        <f>G29-C29</f>
        <v>0</v>
      </c>
      <c r="F29" s="6"/>
      <c r="G29" s="262">
        <f>TAXREC!E68</f>
        <v>0</v>
      </c>
      <c r="H29" s="147"/>
    </row>
    <row r="30" spans="1:8" ht="15.75">
      <c r="A30" s="445" t="s">
        <v>381</v>
      </c>
      <c r="B30" s="123"/>
      <c r="C30" s="254"/>
      <c r="D30" s="18"/>
      <c r="E30" s="262">
        <f>G30-C30</f>
        <v>1522</v>
      </c>
      <c r="F30" s="6"/>
      <c r="G30" s="262">
        <f>TAXREC!E66</f>
        <v>1522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336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6">
        <v>312654</v>
      </c>
      <c r="D33" s="128"/>
      <c r="E33" s="262">
        <f aca="true" t="shared" si="0" ref="E33:E42">G33-C33</f>
        <v>57938</v>
      </c>
      <c r="F33" s="6"/>
      <c r="G33" s="262">
        <f>TAXREC!E97+TAXREC!E98</f>
        <v>370592</v>
      </c>
      <c r="H33" s="147"/>
    </row>
    <row r="34" spans="1:8" ht="12.75">
      <c r="A34" s="154" t="s">
        <v>57</v>
      </c>
      <c r="B34" s="123">
        <v>8</v>
      </c>
      <c r="C34" s="256"/>
      <c r="D34" s="128"/>
      <c r="E34" s="262">
        <f t="shared" si="0"/>
        <v>0</v>
      </c>
      <c r="F34" s="6"/>
      <c r="G34" s="262">
        <f>TAXREC!E99</f>
        <v>0</v>
      </c>
      <c r="H34" s="147"/>
    </row>
    <row r="35" spans="1:8" ht="12.75">
      <c r="A35" s="154" t="s">
        <v>45</v>
      </c>
      <c r="B35" s="123">
        <v>9</v>
      </c>
      <c r="C35" s="256">
        <v>0</v>
      </c>
      <c r="D35" s="128"/>
      <c r="E35" s="262">
        <f t="shared" si="0"/>
        <v>0</v>
      </c>
      <c r="F35" s="6"/>
      <c r="G35" s="262">
        <f>TAXREC!E100</f>
        <v>0</v>
      </c>
      <c r="H35" s="147"/>
    </row>
    <row r="36" spans="1:8" ht="12.75">
      <c r="A36" s="154" t="s">
        <v>261</v>
      </c>
      <c r="B36" s="123">
        <v>10</v>
      </c>
      <c r="C36" s="256">
        <v>10215</v>
      </c>
      <c r="D36" s="128"/>
      <c r="E36" s="262">
        <f t="shared" si="0"/>
        <v>-10215</v>
      </c>
      <c r="F36" s="6"/>
      <c r="G36" s="262">
        <f>TAXREC!E102+TAXREC!E103</f>
        <v>0</v>
      </c>
      <c r="H36" s="147"/>
    </row>
    <row r="37" spans="1:8" ht="12.75">
      <c r="A37" s="151" t="s">
        <v>86</v>
      </c>
      <c r="B37" s="121">
        <v>11</v>
      </c>
      <c r="C37" s="255">
        <f>REGINFO!D66</f>
        <v>235829.49308325545</v>
      </c>
      <c r="D37" s="128"/>
      <c r="E37" s="262">
        <f t="shared" si="0"/>
        <v>24517.506916744547</v>
      </c>
      <c r="F37" s="6"/>
      <c r="G37" s="262">
        <f>TAXREC!E51</f>
        <v>260347</v>
      </c>
      <c r="H37" s="147"/>
    </row>
    <row r="38" spans="1:8" ht="12.75">
      <c r="A38" s="151" t="s">
        <v>257</v>
      </c>
      <c r="B38" s="121">
        <v>4</v>
      </c>
      <c r="C38" s="256"/>
      <c r="D38" s="128"/>
      <c r="E38" s="262">
        <f t="shared" si="0"/>
        <v>0</v>
      </c>
      <c r="F38" s="6"/>
      <c r="G38" s="262">
        <f>TAXREC!E104</f>
        <v>0</v>
      </c>
      <c r="H38" s="147"/>
    </row>
    <row r="39" spans="1:8" ht="12.75">
      <c r="A39" s="151" t="s">
        <v>256</v>
      </c>
      <c r="B39" s="121">
        <v>4</v>
      </c>
      <c r="C39" s="256"/>
      <c r="D39" s="128"/>
      <c r="E39" s="262">
        <f t="shared" si="0"/>
        <v>0</v>
      </c>
      <c r="F39" s="6"/>
      <c r="G39" s="262">
        <f>TAXREC!E105</f>
        <v>0</v>
      </c>
      <c r="H39" s="147"/>
    </row>
    <row r="40" spans="1:8" ht="12.75">
      <c r="A40" s="151" t="s">
        <v>12</v>
      </c>
      <c r="B40" s="121">
        <v>3</v>
      </c>
      <c r="C40" s="256"/>
      <c r="D40" s="128"/>
      <c r="E40" s="262">
        <f t="shared" si="0"/>
        <v>0</v>
      </c>
      <c r="F40" s="6"/>
      <c r="G40" s="262">
        <f>TAXREC!E106</f>
        <v>0</v>
      </c>
      <c r="H40" s="147"/>
    </row>
    <row r="41" spans="1:8" ht="12.75">
      <c r="A41" s="151" t="s">
        <v>13</v>
      </c>
      <c r="B41" s="121">
        <v>3</v>
      </c>
      <c r="C41" s="256"/>
      <c r="D41" s="128"/>
      <c r="E41" s="262">
        <f t="shared" si="0"/>
        <v>0</v>
      </c>
      <c r="F41" s="6"/>
      <c r="G41" s="262">
        <f>TAXREC!E107</f>
        <v>0</v>
      </c>
      <c r="H41" s="147"/>
    </row>
    <row r="42" spans="1:8" ht="12.75">
      <c r="A42" s="151" t="s">
        <v>180</v>
      </c>
      <c r="B42" s="121">
        <v>11</v>
      </c>
      <c r="C42" s="256"/>
      <c r="D42" s="128"/>
      <c r="E42" s="262">
        <f t="shared" si="0"/>
        <v>0</v>
      </c>
      <c r="F42" s="6"/>
      <c r="G42" s="262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6"/>
      <c r="D44" s="128"/>
      <c r="E44" s="262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6"/>
      <c r="D45" s="128"/>
      <c r="E45" s="262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6"/>
      <c r="D46" s="128"/>
      <c r="E46" s="262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6"/>
      <c r="D47" s="128"/>
      <c r="E47" s="262">
        <f>G47-C47</f>
        <v>0</v>
      </c>
      <c r="F47" s="6"/>
      <c r="G47" s="247">
        <f>TAXREC!E111</f>
        <v>0</v>
      </c>
      <c r="H47" s="147"/>
    </row>
    <row r="48" spans="1:8" ht="15.75">
      <c r="A48" s="445" t="s">
        <v>381</v>
      </c>
      <c r="B48" s="123"/>
      <c r="C48" s="254"/>
      <c r="D48" s="128"/>
      <c r="E48" s="262">
        <f>G48-C48</f>
        <v>35851</v>
      </c>
      <c r="F48" s="6"/>
      <c r="G48" s="247">
        <f>TAXREC!E108</f>
        <v>35851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322</v>
      </c>
      <c r="B50" s="121"/>
      <c r="C50" s="258">
        <f>C16+SUM(C20:C30)-SUM(C33:C48)</f>
        <v>567004.6747120778</v>
      </c>
      <c r="D50" s="98"/>
      <c r="E50" s="258">
        <f>E16+SUM(E20:E30)-SUM(E33:E48)</f>
        <v>159976.32528792214</v>
      </c>
      <c r="F50" s="416" t="s">
        <v>361</v>
      </c>
      <c r="G50" s="258">
        <f>G16+SUM(G20:G30)-SUM(G33:G48)</f>
        <v>726981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330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334</v>
      </c>
      <c r="B53" s="123">
        <v>13</v>
      </c>
      <c r="C53" s="257">
        <f>IF($C$50&gt;'Tax Rates'!$E$11,'Tax Rates'!$F$16,IF($C$50&gt;'Tax Rates'!$C$11,'Tax Rates'!$E$16,'Tax Rates'!$C$16))</f>
        <v>0.3412</v>
      </c>
      <c r="D53" s="98"/>
      <c r="E53" s="263">
        <f>+G53-C53</f>
        <v>-0.3412</v>
      </c>
      <c r="F53" s="110"/>
      <c r="G53" s="436"/>
      <c r="H53" s="147"/>
      <c r="I53" s="433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59">
        <f>IF(C50&gt;0,C50*C53,0)</f>
        <v>193461.99501176097</v>
      </c>
      <c r="D55" s="98"/>
      <c r="E55" s="262">
        <f>G55-C55</f>
        <v>46622.00498823903</v>
      </c>
      <c r="F55" s="416" t="s">
        <v>362</v>
      </c>
      <c r="G55" s="259">
        <f>TAXREC!E144</f>
        <v>240084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0"/>
      <c r="D58" s="128"/>
      <c r="E58" s="262">
        <f>+G58-C58</f>
        <v>0</v>
      </c>
      <c r="F58" s="416" t="s">
        <v>362</v>
      </c>
      <c r="G58" s="265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1">
        <f>+C55-C58</f>
        <v>193461.99501176097</v>
      </c>
      <c r="D60" s="129"/>
      <c r="E60" s="264">
        <f>+E55-E58</f>
        <v>46622.00498823903</v>
      </c>
      <c r="F60" s="416" t="s">
        <v>362</v>
      </c>
      <c r="G60" s="264">
        <f>+G55-G58</f>
        <v>240084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59">
        <f>Ratebase</f>
        <v>9291089.22</v>
      </c>
      <c r="D66" s="98"/>
      <c r="E66" s="262">
        <f>G66-C66</f>
        <v>-3044352.2200000007</v>
      </c>
      <c r="F66" s="6"/>
      <c r="G66" s="438">
        <v>6246737</v>
      </c>
      <c r="H66" s="147"/>
      <c r="I66" s="439" t="s">
        <v>423</v>
      </c>
    </row>
    <row r="67" spans="1:10" ht="12.75">
      <c r="A67" s="148" t="s">
        <v>354</v>
      </c>
      <c r="B67" s="121">
        <v>16</v>
      </c>
      <c r="C67" s="255">
        <f>IF(C66&gt;0,'Tax Rates'!C21,0)</f>
        <v>5000000</v>
      </c>
      <c r="D67" s="98"/>
      <c r="E67" s="262">
        <f>G67-C67</f>
        <v>-1823925</v>
      </c>
      <c r="F67" s="6"/>
      <c r="G67" s="262">
        <f>'Tax Rates'!C57</f>
        <v>3176075</v>
      </c>
      <c r="H67" s="147"/>
      <c r="I67" s="439" t="s">
        <v>423</v>
      </c>
      <c r="J67" s="440" t="s">
        <v>424</v>
      </c>
    </row>
    <row r="68" spans="1:8" ht="12.75">
      <c r="A68" s="148" t="s">
        <v>42</v>
      </c>
      <c r="B68" s="121"/>
      <c r="C68" s="259">
        <f>IF((C66-C67)&gt;0,C66-C67,0)</f>
        <v>4291089.220000001</v>
      </c>
      <c r="D68" s="98"/>
      <c r="E68" s="262">
        <f>SUM(E66:E67)</f>
        <v>-4868277.220000001</v>
      </c>
      <c r="F68" s="110"/>
      <c r="G68" s="259">
        <f>G66-G67</f>
        <v>3070662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355</v>
      </c>
      <c r="B70" s="121">
        <v>17</v>
      </c>
      <c r="C70" s="296">
        <f>'Tax Rates'!C18</f>
        <v>0.003</v>
      </c>
      <c r="D70" s="98"/>
      <c r="E70" s="263">
        <f>+G70-C70</f>
        <v>0</v>
      </c>
      <c r="F70" s="6"/>
      <c r="G70" s="296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312</v>
      </c>
      <c r="B72" s="121"/>
      <c r="C72" s="259">
        <f>IF(C68&gt;0,C68*C70,0)*REGINFO!$B$6/REGINFO!$B$7</f>
        <v>12873.267660000003</v>
      </c>
      <c r="D72" s="97"/>
      <c r="E72" s="262">
        <f>+G72-C72</f>
        <v>-3661.2816600000024</v>
      </c>
      <c r="F72" s="441"/>
      <c r="G72" s="259">
        <f>IF(G68&gt;0,G68*G70,0)*REGINFO!$B$6/REGINFO!$B$7</f>
        <v>9211.986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213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59">
        <f>Ratebase</f>
        <v>9291089.22</v>
      </c>
      <c r="D75" s="98"/>
      <c r="E75" s="262">
        <f>+G75-C75</f>
        <v>-9291089.22</v>
      </c>
      <c r="F75" s="6"/>
      <c r="G75" s="438"/>
      <c r="H75" s="147"/>
      <c r="I75" s="439" t="s">
        <v>423</v>
      </c>
    </row>
    <row r="76" spans="1:9" ht="12.75">
      <c r="A76" s="148" t="s">
        <v>354</v>
      </c>
      <c r="B76" s="121">
        <v>19</v>
      </c>
      <c r="C76" s="255">
        <f>IF(C75&gt;0,'Tax Rates'!C22,0)</f>
        <v>10000000</v>
      </c>
      <c r="D76" s="18"/>
      <c r="E76" s="262">
        <f>+G76-C76</f>
        <v>35995000</v>
      </c>
      <c r="F76" s="6"/>
      <c r="G76" s="262">
        <f>'Tax Rates'!C58</f>
        <v>45995000</v>
      </c>
      <c r="H76" s="147"/>
      <c r="I76" s="439" t="s">
        <v>423</v>
      </c>
    </row>
    <row r="77" spans="1:8" ht="12.75">
      <c r="A77" s="148" t="s">
        <v>42</v>
      </c>
      <c r="B77" s="121"/>
      <c r="C77" s="259">
        <f>IF((C75-C76)&gt;0,C75-C76,0)</f>
        <v>0</v>
      </c>
      <c r="D77" s="19"/>
      <c r="E77" s="262">
        <f>SUM(E75:E76)</f>
        <v>26703910.78</v>
      </c>
      <c r="F77" s="110"/>
      <c r="G77" s="259">
        <f>IF(G76&gt;G75,0,G75-G76)</f>
        <v>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355</v>
      </c>
      <c r="B79" s="121">
        <v>20</v>
      </c>
      <c r="C79" s="296">
        <f>'Tax Rates'!C19</f>
        <v>0.00225</v>
      </c>
      <c r="D79" s="98"/>
      <c r="E79" s="263">
        <f>G79-C79</f>
        <v>-0.0002499999999999998</v>
      </c>
      <c r="F79" s="6"/>
      <c r="G79" s="263">
        <f>'Tax Rates'!C55</f>
        <v>0.002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313</v>
      </c>
      <c r="B81" s="121"/>
      <c r="C81" s="259">
        <f>IF(C77&gt;0,C77*C79,0)*REGINFO!$B$6/REGINFO!$B$7</f>
        <v>0</v>
      </c>
      <c r="D81" s="98"/>
      <c r="E81" s="262">
        <f>+G81-C81</f>
        <v>0</v>
      </c>
      <c r="F81" s="6"/>
      <c r="G81" s="259">
        <f>G77*G79*B9/B10</f>
        <v>0</v>
      </c>
      <c r="H81" s="147"/>
    </row>
    <row r="82" spans="1:8" ht="12.75">
      <c r="A82" s="148" t="s">
        <v>314</v>
      </c>
      <c r="B82" s="121">
        <v>21</v>
      </c>
      <c r="C82" s="295">
        <f>IF(C77&gt;0,IF(C60&gt;0,C50*'Tax Rates'!C20,0),0)</f>
        <v>0</v>
      </c>
      <c r="D82" s="98"/>
      <c r="E82" s="262">
        <f>+G82-C82</f>
        <v>0</v>
      </c>
      <c r="F82" s="6"/>
      <c r="G82" s="295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59">
        <f>C81-C82</f>
        <v>0</v>
      </c>
      <c r="D84" s="16"/>
      <c r="E84" s="262">
        <f>E81-E82</f>
        <v>0</v>
      </c>
      <c r="F84" s="99"/>
      <c r="G84" s="259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222</v>
      </c>
      <c r="B88" s="121"/>
      <c r="C88" s="257">
        <f>IF($C$50&gt;'Tax Rates'!$E$11,'Tax Rates'!$F$16,IF(AND($C$50&gt;='Tax Rates'!$C$11,$C$50&lt;='Tax Rates'!E11),'Tax Rates'!$E$16,'Tax Rates'!$C$16))</f>
        <v>0.3412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363</v>
      </c>
      <c r="B90" s="123">
        <v>22</v>
      </c>
      <c r="C90" s="259">
        <f>C60/(1-C88)</f>
        <v>293658.1587913797</v>
      </c>
      <c r="D90" s="20"/>
      <c r="E90" s="135"/>
      <c r="F90" s="415" t="s">
        <v>437</v>
      </c>
      <c r="G90" s="265">
        <f>TAXREC!E156</f>
        <v>240084</v>
      </c>
      <c r="H90" s="147"/>
    </row>
    <row r="91" spans="1:8" ht="12.75">
      <c r="A91" s="154" t="s">
        <v>364</v>
      </c>
      <c r="B91" s="123">
        <v>23</v>
      </c>
      <c r="C91" s="259">
        <f>C84/(1-C88)</f>
        <v>0</v>
      </c>
      <c r="D91" s="20"/>
      <c r="E91" s="135"/>
      <c r="F91" s="415" t="s">
        <v>437</v>
      </c>
      <c r="G91" s="265">
        <f>TAXREC!E158</f>
        <v>0</v>
      </c>
      <c r="H91" s="147"/>
    </row>
    <row r="92" spans="1:8" ht="12.75">
      <c r="A92" s="154" t="s">
        <v>342</v>
      </c>
      <c r="B92" s="123">
        <v>24</v>
      </c>
      <c r="C92" s="259">
        <f>C72</f>
        <v>12873.267660000003</v>
      </c>
      <c r="D92" s="20"/>
      <c r="E92" s="135"/>
      <c r="F92" s="415" t="s">
        <v>437</v>
      </c>
      <c r="G92" s="265">
        <f>TAXREC!E157</f>
        <v>9212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8" ht="13.5" thickBot="1">
      <c r="A95" s="152" t="s">
        <v>428</v>
      </c>
      <c r="B95" s="121">
        <v>25</v>
      </c>
      <c r="C95" s="264">
        <f>SUM(C90:C93)</f>
        <v>306531.4264513797</v>
      </c>
      <c r="D95" s="6"/>
      <c r="E95" s="135"/>
      <c r="F95" s="415" t="s">
        <v>437</v>
      </c>
      <c r="G95" s="402">
        <f>SUM(G90:G94)</f>
        <v>249296</v>
      </c>
      <c r="H95" s="160"/>
    </row>
    <row r="96" spans="1:8" ht="12.75">
      <c r="A96" s="392" t="s">
        <v>303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300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242</v>
      </c>
      <c r="B100" s="119"/>
      <c r="C100" s="108"/>
      <c r="D100" s="3"/>
      <c r="E100" s="139" t="s">
        <v>244</v>
      </c>
      <c r="F100" s="37"/>
      <c r="G100" s="196"/>
      <c r="H100" s="160"/>
    </row>
    <row r="101" spans="1:8" ht="12.75">
      <c r="A101" s="152" t="s">
        <v>340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-139716</v>
      </c>
      <c r="F105" s="37"/>
      <c r="G105" s="197"/>
      <c r="H105" s="160"/>
    </row>
    <row r="106" spans="1:8" ht="12.75">
      <c r="A106" s="154" t="s">
        <v>357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358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356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-10215</v>
      </c>
      <c r="F111" s="37"/>
      <c r="G111" s="197"/>
      <c r="H111" s="160"/>
    </row>
    <row r="112" spans="1:8" ht="12.75">
      <c r="A112" s="151" t="s">
        <v>432</v>
      </c>
      <c r="B112" s="123">
        <v>11</v>
      </c>
      <c r="C112" s="108"/>
      <c r="D112" s="3"/>
      <c r="E112" s="435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359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360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215</v>
      </c>
      <c r="B120" s="123">
        <v>26</v>
      </c>
      <c r="C120" s="108"/>
      <c r="D120" s="113" t="s">
        <v>185</v>
      </c>
      <c r="E120" s="259">
        <f>SUM(E102:E107)-SUM(E109:E118)</f>
        <v>-129501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153" t="s">
        <v>436</v>
      </c>
      <c r="B122" s="123"/>
      <c r="C122" s="108"/>
      <c r="D122" s="3" t="s">
        <v>226</v>
      </c>
      <c r="E122" s="432">
        <f>TAXREC!C151</f>
        <v>0.330247970717254</v>
      </c>
      <c r="F122" s="433"/>
      <c r="G122" s="197" t="s">
        <v>100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241</v>
      </c>
      <c r="B124" s="123"/>
      <c r="C124" s="108"/>
      <c r="D124" s="3" t="s">
        <v>185</v>
      </c>
      <c r="E124" s="259">
        <f>E120*E122</f>
        <v>-42767.44245585511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59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59">
        <f>E124-E126</f>
        <v>-42767.44245585511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191</v>
      </c>
      <c r="B130" s="123"/>
      <c r="C130" s="108"/>
      <c r="D130" s="3"/>
      <c r="E130" s="307">
        <f>E122-1.12%</f>
        <v>0.319047970717254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346</v>
      </c>
      <c r="B132" s="126"/>
      <c r="C132" s="108"/>
      <c r="D132" s="3"/>
      <c r="E132" s="449">
        <f>E128/(1-E130)</f>
        <v>-62805.36751010569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349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230</v>
      </c>
      <c r="B136" s="126"/>
      <c r="C136" s="108"/>
      <c r="D136" s="114" t="s">
        <v>185</v>
      </c>
      <c r="E136" s="297">
        <f>C50</f>
        <v>567004.6747120778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232</v>
      </c>
      <c r="B138" s="126"/>
      <c r="C138" s="108"/>
      <c r="D138" s="115" t="s">
        <v>226</v>
      </c>
      <c r="E138" s="307">
        <f>E122</f>
        <v>0.330247970717254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224</v>
      </c>
      <c r="B140" s="126"/>
      <c r="C140" s="108"/>
      <c r="D140" s="114" t="s">
        <v>185</v>
      </c>
      <c r="E140" s="298">
        <f>IF(E136&gt;0,E136*E138,0)</f>
        <v>187252.1432108604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233</v>
      </c>
      <c r="B142" s="126"/>
      <c r="C142" s="108"/>
      <c r="D142" s="114" t="s">
        <v>184</v>
      </c>
      <c r="E142" s="299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225</v>
      </c>
      <c r="B144" s="126"/>
      <c r="C144" s="108"/>
      <c r="D144" s="115" t="s">
        <v>185</v>
      </c>
      <c r="E144" s="297">
        <f>E140-E142</f>
        <v>187252.1432108604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234</v>
      </c>
      <c r="B146" s="126"/>
      <c r="C146" s="108"/>
      <c r="D146" s="114" t="s">
        <v>184</v>
      </c>
      <c r="E146" s="297">
        <f>C60</f>
        <v>193461.99501176097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227</v>
      </c>
      <c r="B148" s="126"/>
      <c r="C148" s="108"/>
      <c r="D148" s="114" t="s">
        <v>185</v>
      </c>
      <c r="E148" s="297">
        <f>E144-E146</f>
        <v>-6209.851800900564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2" t="s">
        <v>20</v>
      </c>
      <c r="B150" s="126"/>
      <c r="C150" s="108"/>
      <c r="D150" s="115"/>
      <c r="E150" s="444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185</v>
      </c>
      <c r="E151" s="297">
        <f>C66</f>
        <v>9291089.22</v>
      </c>
      <c r="F151" s="37"/>
      <c r="G151" s="197"/>
      <c r="H151" s="160"/>
    </row>
    <row r="152" spans="1:8" ht="12.75">
      <c r="A152" s="167" t="s">
        <v>352</v>
      </c>
      <c r="B152" s="126"/>
      <c r="C152" s="108"/>
      <c r="D152" s="114" t="s">
        <v>184</v>
      </c>
      <c r="E152" s="300">
        <f>IF(E151&gt;0,'Tax Rates'!C39,0)</f>
        <v>5000000</v>
      </c>
      <c r="F152" s="37"/>
      <c r="G152" s="197"/>
      <c r="H152" s="160"/>
    </row>
    <row r="153" spans="1:8" ht="12.75">
      <c r="A153" s="167" t="s">
        <v>228</v>
      </c>
      <c r="B153" s="126"/>
      <c r="C153" s="108"/>
      <c r="D153" s="114" t="s">
        <v>185</v>
      </c>
      <c r="E153" s="297">
        <f>E151-E152</f>
        <v>4291089.220000001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353</v>
      </c>
      <c r="B155" s="126"/>
      <c r="C155" s="108"/>
      <c r="D155" s="115" t="s">
        <v>226</v>
      </c>
      <c r="E155" s="301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229</v>
      </c>
      <c r="B157" s="126"/>
      <c r="C157" s="108"/>
      <c r="D157" s="115" t="s">
        <v>185</v>
      </c>
      <c r="E157" s="297">
        <f>IF(E153&gt;0,E153*E155*B9/B10,0)</f>
        <v>12873.267660000003</v>
      </c>
      <c r="F157" s="37"/>
      <c r="G157" s="197"/>
      <c r="H157" s="160"/>
    </row>
    <row r="158" spans="1:8" ht="12.75">
      <c r="A158" s="167" t="s">
        <v>304</v>
      </c>
      <c r="B158" s="126"/>
      <c r="C158" s="108"/>
      <c r="D158" s="114" t="s">
        <v>184</v>
      </c>
      <c r="E158" s="300">
        <f>C72</f>
        <v>12873.267660000003</v>
      </c>
      <c r="F158" s="37"/>
      <c r="G158" s="197"/>
      <c r="H158" s="160"/>
    </row>
    <row r="159" spans="1:8" ht="12.75" customHeight="1">
      <c r="A159" s="168" t="s">
        <v>239</v>
      </c>
      <c r="B159" s="126"/>
      <c r="C159" s="108"/>
      <c r="D159" s="114" t="s">
        <v>185</v>
      </c>
      <c r="E159" s="437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2" t="s">
        <v>231</v>
      </c>
      <c r="B161" s="126"/>
      <c r="C161" s="108"/>
      <c r="D161" s="115"/>
      <c r="E161" s="299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7">
        <f>C75</f>
        <v>9291089.22</v>
      </c>
      <c r="F162" s="37"/>
      <c r="G162" s="197"/>
      <c r="H162" s="160"/>
    </row>
    <row r="163" spans="1:8" ht="12.75">
      <c r="A163" s="167" t="s">
        <v>351</v>
      </c>
      <c r="B163" s="126"/>
      <c r="C163" s="108"/>
      <c r="D163" s="114" t="s">
        <v>184</v>
      </c>
      <c r="E163" s="300">
        <f>IF(E162&gt;0,'Tax Rates'!C40,0)</f>
        <v>50000000</v>
      </c>
      <c r="F163" s="37"/>
      <c r="G163" s="197"/>
      <c r="H163" s="160"/>
    </row>
    <row r="164" spans="1:8" ht="12.75">
      <c r="A164" s="167" t="s">
        <v>235</v>
      </c>
      <c r="B164" s="126"/>
      <c r="C164" s="108"/>
      <c r="D164" s="115" t="s">
        <v>185</v>
      </c>
      <c r="E164" s="297">
        <f>E162-E163</f>
        <v>-40708910.78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305</v>
      </c>
      <c r="B166" s="126"/>
      <c r="C166" s="108"/>
      <c r="D166" s="115"/>
      <c r="E166" s="301">
        <f>'Tax Rates'!C55</f>
        <v>0.002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236</v>
      </c>
      <c r="B168" s="126"/>
      <c r="C168" s="108"/>
      <c r="D168" s="115"/>
      <c r="E168" s="297">
        <f>IF(E164&gt;0,E164*E166*B9/B10,0)</f>
        <v>0</v>
      </c>
      <c r="F168" s="37"/>
      <c r="G168" s="197"/>
      <c r="H168" s="160"/>
    </row>
    <row r="169" spans="1:8" ht="12.75">
      <c r="A169" s="167" t="s">
        <v>315</v>
      </c>
      <c r="B169" s="126"/>
      <c r="C169" s="108"/>
      <c r="D169" s="114" t="s">
        <v>184</v>
      </c>
      <c r="E169" s="302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237</v>
      </c>
      <c r="B170" s="126"/>
      <c r="C170" s="108"/>
      <c r="D170" s="115" t="s">
        <v>185</v>
      </c>
      <c r="E170" s="297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3" t="s">
        <v>341</v>
      </c>
      <c r="B172" s="126"/>
      <c r="C172" s="108"/>
      <c r="D172" s="114" t="s">
        <v>184</v>
      </c>
      <c r="E172" s="300">
        <f>C84</f>
        <v>0</v>
      </c>
      <c r="F172" s="37"/>
      <c r="G172" s="197"/>
      <c r="H172" s="160"/>
    </row>
    <row r="173" spans="1:8" ht="12.75">
      <c r="A173" s="151" t="s">
        <v>240</v>
      </c>
      <c r="B173" s="126"/>
      <c r="C173" s="108"/>
      <c r="D173" s="115" t="s">
        <v>185</v>
      </c>
      <c r="E173" s="437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339</v>
      </c>
      <c r="B175" s="126"/>
      <c r="C175" s="108"/>
      <c r="D175" s="115"/>
      <c r="E175" s="432">
        <f>E130</f>
        <v>0.319047970717254</v>
      </c>
      <c r="F175" s="433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238</v>
      </c>
      <c r="B177" s="126"/>
      <c r="C177" s="108"/>
      <c r="D177" s="115" t="s">
        <v>183</v>
      </c>
      <c r="E177" s="297">
        <f>E148/(1-E175)</f>
        <v>-9119.36749412652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183</v>
      </c>
      <c r="E178" s="297">
        <f>IF(E164&gt;0,E173/(1-E175),-C91)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183</v>
      </c>
      <c r="E179" s="297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347</v>
      </c>
      <c r="B181" s="126"/>
      <c r="C181" s="108"/>
      <c r="D181" s="115" t="s">
        <v>185</v>
      </c>
      <c r="E181" s="448">
        <f>SUM(E177:E179)</f>
        <v>-9119.36749412652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431</v>
      </c>
      <c r="B183" s="126"/>
      <c r="C183" s="108"/>
      <c r="D183" s="115" t="s">
        <v>183</v>
      </c>
      <c r="E183" s="448">
        <f>E132</f>
        <v>-62805.36751010569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348</v>
      </c>
      <c r="B185" s="126"/>
      <c r="C185" s="108"/>
      <c r="D185" s="115" t="s">
        <v>185</v>
      </c>
      <c r="E185" s="448">
        <f>E181+E183</f>
        <v>-71924.7350042322</v>
      </c>
      <c r="F185" s="37"/>
      <c r="G185" s="197"/>
      <c r="H185" s="160"/>
    </row>
    <row r="186" spans="1:8" ht="12.75">
      <c r="A186" s="158" t="s">
        <v>243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219</v>
      </c>
      <c r="B193" s="123"/>
      <c r="C193" s="108"/>
      <c r="D193" s="116"/>
      <c r="E193" s="303">
        <f>REGINFO!D62</f>
        <v>336801.984225</v>
      </c>
      <c r="F193" s="3"/>
      <c r="G193" s="119"/>
      <c r="H193" s="160"/>
    </row>
    <row r="194" spans="1:8" ht="12.75">
      <c r="A194" s="151" t="s">
        <v>246</v>
      </c>
      <c r="B194" s="123"/>
      <c r="C194" s="108"/>
      <c r="D194" s="116"/>
      <c r="E194" s="303">
        <f>REGINFO!D66</f>
        <v>235829.49308325545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337</v>
      </c>
      <c r="B196" s="123"/>
      <c r="C196" s="108"/>
      <c r="D196" s="116"/>
      <c r="E196" s="303">
        <f>E193-E194</f>
        <v>100972.49114174457</v>
      </c>
      <c r="F196" s="3"/>
      <c r="G196" s="119"/>
      <c r="H196" s="160"/>
    </row>
    <row r="197" spans="1:8" ht="12.75">
      <c r="A197" s="151" t="s">
        <v>338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252</v>
      </c>
      <c r="B199" s="123"/>
      <c r="C199" s="108"/>
      <c r="D199" s="116"/>
      <c r="E199" s="143"/>
      <c r="F199" s="3"/>
      <c r="G199" s="453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H200" s="160"/>
    </row>
    <row r="201" spans="1:8" ht="12.75">
      <c r="A201" s="151" t="s">
        <v>247</v>
      </c>
      <c r="B201" s="123"/>
      <c r="C201" s="108"/>
      <c r="D201" s="116"/>
      <c r="E201" s="303">
        <f>G37+G42</f>
        <v>260347</v>
      </c>
      <c r="F201" s="3"/>
      <c r="G201" s="453"/>
      <c r="H201" s="160"/>
    </row>
    <row r="202" spans="1:8" ht="12.75">
      <c r="A202" s="458" t="s">
        <v>449</v>
      </c>
      <c r="B202" s="123"/>
      <c r="C202" s="108"/>
      <c r="D202" s="116"/>
      <c r="E202" s="303">
        <f>REGINFO!D62</f>
        <v>336801.984225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8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433</v>
      </c>
      <c r="B206" s="123"/>
      <c r="C206" s="108"/>
      <c r="D206" s="116"/>
      <c r="E206" s="434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220</v>
      </c>
      <c r="B208" s="174"/>
      <c r="C208" s="175"/>
      <c r="D208" s="176"/>
      <c r="E208" s="304">
        <f>+E196-E204</f>
        <v>100972.49114174457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354330708661417" right="0.0393700787401575" top="0.83" bottom="0.38" header="0.261811024" footer="0"/>
  <pageSetup fitToHeight="2"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Layout" workbookViewId="0" topLeftCell="A118">
      <selection activeCell="A70" sqref="A7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Wasaga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20">
        <f>REGINFO!B6</f>
        <v>366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212</v>
      </c>
      <c r="C13" s="451">
        <f>0.25%*Ratebase*REGINFO!D33</f>
        <v>11613.861525</v>
      </c>
      <c r="D13" s="79" t="s">
        <v>182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4" t="s">
        <v>223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2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8" t="s">
        <v>320</v>
      </c>
      <c r="B23" s="389"/>
      <c r="C23" s="390"/>
      <c r="D23" s="391"/>
      <c r="E23" s="28"/>
      <c r="F23" s="11"/>
      <c r="G23" s="11"/>
      <c r="H23" s="6"/>
      <c r="I23" s="6"/>
    </row>
    <row r="24" spans="1:9" ht="12.75">
      <c r="A24" s="388" t="s">
        <v>254</v>
      </c>
      <c r="B24" s="389"/>
      <c r="C24" s="390"/>
      <c r="D24" s="391"/>
      <c r="E24" s="28"/>
      <c r="F24" s="11"/>
      <c r="G24" s="11"/>
      <c r="H24" s="6"/>
      <c r="I24" s="6"/>
    </row>
    <row r="25" spans="1:9" ht="12.75">
      <c r="A25" s="388" t="s">
        <v>218</v>
      </c>
      <c r="B25" s="389"/>
      <c r="C25" s="390"/>
      <c r="D25" s="391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8" t="s">
        <v>318</v>
      </c>
      <c r="B27" s="389"/>
      <c r="C27" s="390"/>
      <c r="D27" s="391"/>
      <c r="E27" s="28"/>
      <c r="F27" s="11"/>
      <c r="G27" s="11"/>
      <c r="H27" s="6"/>
      <c r="I27" s="6"/>
    </row>
    <row r="28" spans="1:9" ht="12.75">
      <c r="A28" s="388" t="s">
        <v>319</v>
      </c>
      <c r="B28" s="389"/>
      <c r="C28" s="390"/>
      <c r="D28" s="39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269</v>
      </c>
      <c r="B31" s="23" t="s">
        <v>183</v>
      </c>
      <c r="C31" s="280">
        <v>7001864</v>
      </c>
      <c r="D31" s="281"/>
      <c r="E31" s="279">
        <f>C31-D31</f>
        <v>7001864</v>
      </c>
      <c r="F31" s="11"/>
      <c r="G31" s="11"/>
      <c r="H31" s="6"/>
      <c r="I31" s="6"/>
    </row>
    <row r="32" spans="1:9" ht="12.75">
      <c r="A32" s="4" t="s">
        <v>216</v>
      </c>
      <c r="B32" s="23" t="s">
        <v>183</v>
      </c>
      <c r="C32" s="280">
        <v>2763182</v>
      </c>
      <c r="D32" s="281"/>
      <c r="E32" s="279">
        <f>C32-D32</f>
        <v>2763182</v>
      </c>
      <c r="F32" s="11"/>
      <c r="G32" s="11"/>
      <c r="H32" s="6"/>
      <c r="I32" s="6"/>
    </row>
    <row r="33" spans="1:9" ht="12.75">
      <c r="A33" s="4" t="s">
        <v>206</v>
      </c>
      <c r="B33" s="23" t="s">
        <v>183</v>
      </c>
      <c r="C33" s="280">
        <v>199117</v>
      </c>
      <c r="D33" s="281"/>
      <c r="E33" s="279">
        <f>C33-D33</f>
        <v>199117</v>
      </c>
      <c r="F33" s="11"/>
      <c r="G33" s="11"/>
      <c r="H33" s="6"/>
      <c r="I33" s="6"/>
    </row>
    <row r="34" spans="1:9" ht="12.75">
      <c r="A34" s="4" t="s">
        <v>221</v>
      </c>
      <c r="B34" s="23" t="s">
        <v>183</v>
      </c>
      <c r="C34" s="280"/>
      <c r="D34" s="281"/>
      <c r="E34" s="279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183</v>
      </c>
      <c r="C35" s="280"/>
      <c r="D35" s="281"/>
      <c r="E35" s="279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204</v>
      </c>
      <c r="B39" s="23" t="s">
        <v>184</v>
      </c>
      <c r="C39" s="280">
        <v>7001864</v>
      </c>
      <c r="D39" s="281"/>
      <c r="E39" s="279">
        <f>C39-D39</f>
        <v>7001864</v>
      </c>
      <c r="F39" s="11"/>
      <c r="G39" s="11"/>
      <c r="H39" s="6"/>
      <c r="I39" s="6"/>
    </row>
    <row r="40" spans="1:9" ht="12.75">
      <c r="A40" s="46" t="s">
        <v>205</v>
      </c>
      <c r="B40" s="23" t="s">
        <v>184</v>
      </c>
      <c r="C40" s="280">
        <v>1306324</v>
      </c>
      <c r="D40" s="281"/>
      <c r="E40" s="279">
        <f aca="true" t="shared" si="0" ref="E40:E48">C40-D40</f>
        <v>1306324</v>
      </c>
      <c r="F40" s="11"/>
      <c r="G40" s="11"/>
      <c r="H40" s="6"/>
      <c r="I40" s="6"/>
    </row>
    <row r="41" spans="1:9" ht="12.75">
      <c r="A41" s="4" t="s">
        <v>270</v>
      </c>
      <c r="B41" s="23" t="s">
        <v>184</v>
      </c>
      <c r="C41" s="280"/>
      <c r="D41" s="281"/>
      <c r="E41" s="279">
        <f t="shared" si="0"/>
        <v>0</v>
      </c>
      <c r="F41" s="11"/>
      <c r="G41" s="11"/>
      <c r="H41" s="6"/>
      <c r="I41" s="6"/>
    </row>
    <row r="42" spans="1:9" ht="12.75">
      <c r="A42" s="4" t="s">
        <v>271</v>
      </c>
      <c r="B42" s="23" t="s">
        <v>184</v>
      </c>
      <c r="C42" s="280">
        <f>39350+35123+39989+868+148396</f>
        <v>263726</v>
      </c>
      <c r="D42" s="281"/>
      <c r="E42" s="279">
        <f t="shared" si="0"/>
        <v>263726</v>
      </c>
      <c r="F42" s="11"/>
      <c r="G42" s="11"/>
      <c r="H42" s="6"/>
      <c r="I42" s="6"/>
    </row>
    <row r="43" spans="1:9" ht="12.75">
      <c r="A43" s="4" t="s">
        <v>272</v>
      </c>
      <c r="B43" s="23" t="s">
        <v>184</v>
      </c>
      <c r="C43" s="280">
        <v>553977</v>
      </c>
      <c r="D43" s="281"/>
      <c r="E43" s="279">
        <f t="shared" si="0"/>
        <v>553977</v>
      </c>
      <c r="F43" s="11"/>
      <c r="G43" s="11"/>
      <c r="H43" s="6"/>
      <c r="I43" s="6"/>
    </row>
    <row r="44" spans="1:9" ht="12.75">
      <c r="A44" s="4" t="s">
        <v>273</v>
      </c>
      <c r="B44" s="23" t="s">
        <v>184</v>
      </c>
      <c r="C44" s="280"/>
      <c r="D44" s="281"/>
      <c r="E44" s="279">
        <f t="shared" si="0"/>
        <v>0</v>
      </c>
      <c r="F44" s="11"/>
      <c r="G44" s="11"/>
      <c r="H44" s="6"/>
      <c r="I44" s="6"/>
    </row>
    <row r="45" spans="1:11" ht="12.75">
      <c r="A45" s="4"/>
      <c r="B45" s="23" t="s">
        <v>184</v>
      </c>
      <c r="C45" s="280"/>
      <c r="D45" s="281"/>
      <c r="E45" s="279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184</v>
      </c>
      <c r="C46" s="280"/>
      <c r="D46" s="281"/>
      <c r="E46" s="279">
        <f t="shared" si="0"/>
        <v>0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184</v>
      </c>
      <c r="C47" s="280"/>
      <c r="D47" s="281"/>
      <c r="E47" s="279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184</v>
      </c>
      <c r="C48" s="280"/>
      <c r="D48" s="281"/>
      <c r="E48" s="279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185</v>
      </c>
      <c r="C50" s="276">
        <f>SUM(C31:C36)-SUM(C39:C49)</f>
        <v>838272</v>
      </c>
      <c r="D50" s="276">
        <f>SUM(D31:D36)-SUM(D39:D49)</f>
        <v>0</v>
      </c>
      <c r="E50" s="276">
        <f>SUM(E31:E35)-SUM(E39:E48)</f>
        <v>838272</v>
      </c>
      <c r="F50" s="11"/>
      <c r="G50" s="11"/>
      <c r="H50" s="6"/>
      <c r="I50" s="6"/>
    </row>
    <row r="51" spans="1:9" ht="12.75">
      <c r="A51" s="4" t="s">
        <v>91</v>
      </c>
      <c r="B51" s="23" t="s">
        <v>184</v>
      </c>
      <c r="C51" s="280">
        <v>260347</v>
      </c>
      <c r="D51" s="280"/>
      <c r="E51" s="277">
        <f>+C51-D51</f>
        <v>260347</v>
      </c>
      <c r="F51" s="11"/>
      <c r="G51" s="11"/>
      <c r="H51" s="6"/>
      <c r="I51" s="6"/>
    </row>
    <row r="52" spans="1:7" ht="12.75">
      <c r="A52" t="s">
        <v>178</v>
      </c>
      <c r="B52" s="8" t="s">
        <v>184</v>
      </c>
      <c r="C52" s="280">
        <v>255129</v>
      </c>
      <c r="D52" s="280"/>
      <c r="E52" s="278">
        <f>+C52-D52</f>
        <v>255129</v>
      </c>
      <c r="F52" s="8"/>
      <c r="G52" s="404"/>
    </row>
    <row r="53" spans="1:6" ht="12.75">
      <c r="A53" s="2" t="s">
        <v>127</v>
      </c>
      <c r="B53" s="8" t="s">
        <v>185</v>
      </c>
      <c r="C53" s="276">
        <f>C50-C51-C52</f>
        <v>322796</v>
      </c>
      <c r="D53" s="276">
        <f>D50-D51-D52</f>
        <v>0</v>
      </c>
      <c r="E53" s="276">
        <f>E50-E51-E52</f>
        <v>322796</v>
      </c>
      <c r="F53" s="8"/>
    </row>
    <row r="54" spans="1:6" ht="24">
      <c r="A54" s="83" t="s">
        <v>209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183</v>
      </c>
      <c r="C59" s="282">
        <f>C52</f>
        <v>255129</v>
      </c>
      <c r="D59" s="282">
        <f>D52</f>
        <v>0</v>
      </c>
      <c r="E59" s="267">
        <f>+C59-D59</f>
        <v>255129</v>
      </c>
      <c r="F59" s="8"/>
      <c r="G59" s="404"/>
    </row>
    <row r="60" spans="1:6" ht="12.75">
      <c r="A60" s="4" t="s">
        <v>321</v>
      </c>
      <c r="B60" s="8" t="s">
        <v>183</v>
      </c>
      <c r="C60" s="313">
        <v>0</v>
      </c>
      <c r="D60" s="313"/>
      <c r="E60" s="267">
        <f>+C60-D60</f>
        <v>0</v>
      </c>
      <c r="F60" s="8"/>
    </row>
    <row r="61" spans="1:7" ht="12.75">
      <c r="A61" t="s">
        <v>4</v>
      </c>
      <c r="B61" s="8" t="s">
        <v>183</v>
      </c>
      <c r="C61" s="282">
        <f>C43</f>
        <v>553977</v>
      </c>
      <c r="D61" s="282">
        <f>D43</f>
        <v>0</v>
      </c>
      <c r="E61" s="267">
        <f>+C61-D61</f>
        <v>553977</v>
      </c>
      <c r="F61" s="8"/>
      <c r="G61" s="404"/>
    </row>
    <row r="62" spans="1:6" ht="12.75">
      <c r="A62" t="s">
        <v>6</v>
      </c>
      <c r="B62" s="8" t="s">
        <v>183</v>
      </c>
      <c r="C62" s="313"/>
      <c r="D62" s="282">
        <v>0</v>
      </c>
      <c r="E62" s="267">
        <f>+C62-D62</f>
        <v>0</v>
      </c>
      <c r="F62" s="8"/>
    </row>
    <row r="63" spans="1:6" ht="12.75">
      <c r="A63" s="31" t="s">
        <v>274</v>
      </c>
      <c r="B63" s="8" t="s">
        <v>183</v>
      </c>
      <c r="C63" s="311">
        <f>'Tax Reserves'!C22</f>
        <v>0</v>
      </c>
      <c r="D63" s="312">
        <f>'Tax Reserves'!D22</f>
        <v>0</v>
      </c>
      <c r="E63" s="267">
        <f>C63-D63</f>
        <v>0</v>
      </c>
      <c r="F63" s="8"/>
    </row>
    <row r="64" spans="1:6" ht="12.75">
      <c r="A64" s="4" t="s">
        <v>52</v>
      </c>
      <c r="B64" s="8" t="s">
        <v>183</v>
      </c>
      <c r="C64" s="311">
        <f>'Tax Reserves'!C63</f>
        <v>0</v>
      </c>
      <c r="D64" s="312">
        <f>'Tax Reserves'!D63</f>
        <v>0</v>
      </c>
      <c r="E64" s="267">
        <f>+C64-D64</f>
        <v>0</v>
      </c>
      <c r="F64" s="8"/>
    </row>
    <row r="65" spans="1:6" ht="12.75">
      <c r="A65" t="s">
        <v>395</v>
      </c>
      <c r="B65" s="8" t="s">
        <v>183</v>
      </c>
      <c r="C65" s="281"/>
      <c r="D65" s="281"/>
      <c r="E65" s="267">
        <f>+C65-D65</f>
        <v>0</v>
      </c>
      <c r="F65" s="8"/>
    </row>
    <row r="66" spans="1:6" ht="15">
      <c r="A66" s="430" t="s">
        <v>381</v>
      </c>
      <c r="B66" s="8"/>
      <c r="C66" s="421">
        <f>'TAXREC 3 No True-up'!C47</f>
        <v>1522</v>
      </c>
      <c r="D66" s="421">
        <f>'TAXREC 3 No True-up'!D47</f>
        <v>0</v>
      </c>
      <c r="E66" s="267">
        <f>+C66-D66</f>
        <v>1522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7">
        <f>+C67-D67</f>
        <v>0</v>
      </c>
      <c r="F67" s="8"/>
    </row>
    <row r="68" spans="1:11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7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2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7">
        <f>SUM(C59:C68)</f>
        <v>810628</v>
      </c>
      <c r="D70" s="267">
        <f>SUM(D59:D68)</f>
        <v>0</v>
      </c>
      <c r="E70" s="267">
        <f>SUM(E59:E68)</f>
        <v>810628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202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183</v>
      </c>
      <c r="C73" s="289"/>
      <c r="D73" s="289"/>
      <c r="E73" s="267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183</v>
      </c>
      <c r="C74" s="289"/>
      <c r="D74" s="289"/>
      <c r="E74" s="267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183</v>
      </c>
      <c r="C75" s="289"/>
      <c r="D75" s="289"/>
      <c r="E75" s="267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/>
      <c r="B76" s="8" t="s">
        <v>183</v>
      </c>
      <c r="C76" s="446">
        <v>0</v>
      </c>
      <c r="D76" s="289"/>
      <c r="E76" s="442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183</v>
      </c>
      <c r="C77" s="289"/>
      <c r="D77" s="289"/>
      <c r="E77" s="267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183</v>
      </c>
      <c r="C78" s="289"/>
      <c r="D78" s="289"/>
      <c r="E78" s="267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183</v>
      </c>
      <c r="C79" s="289"/>
      <c r="D79" s="289"/>
      <c r="E79" s="267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185</v>
      </c>
      <c r="C82" s="247">
        <f>C70+C80</f>
        <v>810628</v>
      </c>
      <c r="D82" s="247">
        <f>D70+D80</f>
        <v>0</v>
      </c>
      <c r="E82" s="247">
        <f>E70+E80</f>
        <v>810628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5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3" t="str">
        <f aca="true" t="shared" si="2" ref="A85:A91">IF($E73&gt;$C$13,A73," ")</f>
        <v> </v>
      </c>
      <c r="B85" s="268"/>
      <c r="C85" s="285">
        <f aca="true" t="shared" si="3" ref="C85:E89">IF($E73&gt;$C$13,C73,)</f>
        <v>0</v>
      </c>
      <c r="D85" s="285">
        <f t="shared" si="3"/>
        <v>0</v>
      </c>
      <c r="E85" s="285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3" t="str">
        <f t="shared" si="2"/>
        <v> </v>
      </c>
      <c r="B86" s="268"/>
      <c r="C86" s="285">
        <f t="shared" si="3"/>
        <v>0</v>
      </c>
      <c r="D86" s="285">
        <f t="shared" si="3"/>
        <v>0</v>
      </c>
      <c r="E86" s="285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3" t="str">
        <f t="shared" si="2"/>
        <v> </v>
      </c>
      <c r="B87" s="268"/>
      <c r="C87" s="285">
        <f t="shared" si="3"/>
        <v>0</v>
      </c>
      <c r="D87" s="285">
        <f t="shared" si="3"/>
        <v>0</v>
      </c>
      <c r="E87" s="285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3" t="str">
        <f t="shared" si="2"/>
        <v> </v>
      </c>
      <c r="B88" s="268"/>
      <c r="C88" s="285">
        <f t="shared" si="3"/>
        <v>0</v>
      </c>
      <c r="D88" s="285">
        <f t="shared" si="3"/>
        <v>0</v>
      </c>
      <c r="E88" s="285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3" t="str">
        <f t="shared" si="2"/>
        <v> </v>
      </c>
      <c r="B89" s="268"/>
      <c r="C89" s="285">
        <f t="shared" si="3"/>
        <v>0</v>
      </c>
      <c r="D89" s="285">
        <f t="shared" si="3"/>
        <v>0</v>
      </c>
      <c r="E89" s="285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3" t="str">
        <f t="shared" si="2"/>
        <v> </v>
      </c>
      <c r="B90" s="268"/>
      <c r="C90" s="285">
        <f aca="true" t="shared" si="4" ref="C90:E91">IF($E78&gt;$C$13,C78,)</f>
        <v>0</v>
      </c>
      <c r="D90" s="285">
        <f t="shared" si="4"/>
        <v>0</v>
      </c>
      <c r="E90" s="285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3" t="str">
        <f t="shared" si="2"/>
        <v> </v>
      </c>
      <c r="B91" s="268"/>
      <c r="C91" s="285">
        <f t="shared" si="4"/>
        <v>0</v>
      </c>
      <c r="D91" s="285">
        <f t="shared" si="4"/>
        <v>0</v>
      </c>
      <c r="E91" s="285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4" t="s">
        <v>147</v>
      </c>
      <c r="B92" s="268"/>
      <c r="C92" s="274">
        <f>SUM(C85:C91)</f>
        <v>0</v>
      </c>
      <c r="D92" s="274">
        <f>SUM(D85:D91)</f>
        <v>0</v>
      </c>
      <c r="E92" s="274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8" t="s">
        <v>384</v>
      </c>
      <c r="B93" s="268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8" t="s">
        <v>192</v>
      </c>
      <c r="B94" s="268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184</v>
      </c>
      <c r="C97" s="289">
        <v>369223</v>
      </c>
      <c r="D97" s="289"/>
      <c r="E97" s="267">
        <f>+C97-D97</f>
        <v>369223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184</v>
      </c>
      <c r="C98" s="289">
        <v>1369</v>
      </c>
      <c r="D98" s="289"/>
      <c r="E98" s="267">
        <f>+C98-D98</f>
        <v>1369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184</v>
      </c>
      <c r="C99" s="289"/>
      <c r="D99" s="289"/>
      <c r="E99" s="267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184</v>
      </c>
      <c r="C100" s="289"/>
      <c r="D100" s="289"/>
      <c r="E100" s="267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184</v>
      </c>
      <c r="C101" s="289"/>
      <c r="D101" s="289"/>
      <c r="E101" s="282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184</v>
      </c>
      <c r="C102" s="289"/>
      <c r="D102" s="289"/>
      <c r="E102" s="267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184</v>
      </c>
      <c r="C103" s="289"/>
      <c r="D103" s="289"/>
      <c r="E103" s="278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184</v>
      </c>
      <c r="C104" s="314">
        <f>'Tax Reserves'!C35</f>
        <v>0</v>
      </c>
      <c r="D104" s="314">
        <f>'Tax Reserves'!D35</f>
        <v>0</v>
      </c>
      <c r="E104" s="267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184</v>
      </c>
      <c r="C105" s="314">
        <f>'Tax Reserves'!C50</f>
        <v>0</v>
      </c>
      <c r="D105" s="314">
        <f>'Tax Reserves'!D50</f>
        <v>0</v>
      </c>
      <c r="E105" s="277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184</v>
      </c>
      <c r="C106" s="289"/>
      <c r="D106" s="289"/>
      <c r="E106" s="267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184</v>
      </c>
      <c r="C107" s="289"/>
      <c r="D107" s="289"/>
      <c r="E107" s="267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0" t="s">
        <v>381</v>
      </c>
      <c r="B108" s="8"/>
      <c r="C108" s="250">
        <f>'TAXREC 3 No True-up'!C73</f>
        <v>35851</v>
      </c>
      <c r="D108" s="250">
        <f>'TAXREC 3 No True-up'!D73</f>
        <v>0</v>
      </c>
      <c r="E108" s="267">
        <f t="shared" si="5"/>
        <v>35851</v>
      </c>
      <c r="F108" s="8"/>
      <c r="G108" s="45"/>
      <c r="H108" s="45"/>
      <c r="I108" s="45"/>
      <c r="J108" s="45"/>
      <c r="K108" s="45"/>
    </row>
    <row r="109" spans="1:11" ht="12.75">
      <c r="A109" s="31" t="s">
        <v>179</v>
      </c>
      <c r="B109" s="8" t="s">
        <v>184</v>
      </c>
      <c r="C109" s="289"/>
      <c r="D109" s="289"/>
      <c r="E109" s="278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1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185</v>
      </c>
      <c r="C113" s="247">
        <f>SUM(C97:C111)</f>
        <v>406443</v>
      </c>
      <c r="D113" s="247">
        <f>SUM(D97:D111)</f>
        <v>0</v>
      </c>
      <c r="E113" s="247">
        <f>SUM(E97:E111)</f>
        <v>406443</v>
      </c>
      <c r="F113" s="8"/>
      <c r="G113" s="45"/>
      <c r="H113" s="45"/>
      <c r="I113" s="23"/>
      <c r="J113" s="45"/>
      <c r="K113" s="23"/>
    </row>
    <row r="114" spans="1:11" ht="12.75">
      <c r="A114" s="10" t="s">
        <v>201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184</v>
      </c>
      <c r="C115" s="289"/>
      <c r="D115" s="289"/>
      <c r="E115" s="267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217</v>
      </c>
      <c r="B116" s="8" t="s">
        <v>184</v>
      </c>
      <c r="C116" s="289"/>
      <c r="D116" s="289"/>
      <c r="E116" s="267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/>
      <c r="B117" s="8" t="s">
        <v>184</v>
      </c>
      <c r="C117" s="289"/>
      <c r="D117" s="289"/>
      <c r="E117" s="267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89"/>
      <c r="D118" s="289"/>
      <c r="E118" s="267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184</v>
      </c>
      <c r="C119" s="289"/>
      <c r="D119" s="289"/>
      <c r="E119" s="267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185</v>
      </c>
      <c r="C122" s="247">
        <f>C113+C120</f>
        <v>406443</v>
      </c>
      <c r="D122" s="247">
        <f>D113+D120</f>
        <v>0</v>
      </c>
      <c r="E122" s="247">
        <f>+E113+E120</f>
        <v>406443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6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3" t="str">
        <f>IF($E115&gt;$C$13,A115," ")</f>
        <v> </v>
      </c>
      <c r="B125" s="268"/>
      <c r="C125" s="285">
        <f aca="true" t="shared" si="6" ref="C125:E129">IF($E115&gt;$C$13,C115,)</f>
        <v>0</v>
      </c>
      <c r="D125" s="285">
        <f>IF($E115&gt;$C$13,D115,)</f>
        <v>0</v>
      </c>
      <c r="E125" s="285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3" t="str">
        <f>IF($E116&gt;$C$13,A116," ")</f>
        <v> </v>
      </c>
      <c r="B126" s="268"/>
      <c r="C126" s="285">
        <f t="shared" si="6"/>
        <v>0</v>
      </c>
      <c r="D126" s="285">
        <f>IF($E116&gt;$C$13,D116,)</f>
        <v>0</v>
      </c>
      <c r="E126" s="285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3" t="str">
        <f>IF($E117&gt;$C$13,A117," ")</f>
        <v> </v>
      </c>
      <c r="B127" s="268"/>
      <c r="C127" s="285">
        <f t="shared" si="6"/>
        <v>0</v>
      </c>
      <c r="D127" s="285">
        <f t="shared" si="6"/>
        <v>0</v>
      </c>
      <c r="E127" s="285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3"/>
      <c r="B128" s="268"/>
      <c r="C128" s="285">
        <f t="shared" si="6"/>
        <v>0</v>
      </c>
      <c r="D128" s="285">
        <f t="shared" si="6"/>
        <v>0</v>
      </c>
      <c r="E128" s="285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3" t="str">
        <f>IF($E119&gt;$C$13,A119," ")</f>
        <v> </v>
      </c>
      <c r="B129" s="268"/>
      <c r="C129" s="285">
        <f t="shared" si="6"/>
        <v>0</v>
      </c>
      <c r="D129" s="285">
        <f t="shared" si="6"/>
        <v>0</v>
      </c>
      <c r="E129" s="285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4" t="s">
        <v>194</v>
      </c>
      <c r="B130" s="268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8" t="s">
        <v>195</v>
      </c>
      <c r="B131" s="268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8" t="s">
        <v>193</v>
      </c>
      <c r="B132" s="268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185</v>
      </c>
      <c r="C134" s="247">
        <f>+C53+C82-C122</f>
        <v>726981</v>
      </c>
      <c r="D134" s="247">
        <f>D53+D82-D122</f>
        <v>0</v>
      </c>
      <c r="E134" s="247">
        <f>E53+E82-E122</f>
        <v>726981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365</v>
      </c>
      <c r="B136" s="8" t="s">
        <v>184</v>
      </c>
      <c r="C136" s="289">
        <v>0</v>
      </c>
      <c r="D136" s="289"/>
      <c r="E136" s="259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366</v>
      </c>
      <c r="B137" s="8" t="s">
        <v>184</v>
      </c>
      <c r="C137" s="305"/>
      <c r="D137" s="305"/>
      <c r="E137" s="38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5"/>
      <c r="D138" s="305"/>
      <c r="E138" s="38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185</v>
      </c>
      <c r="C139" s="248">
        <f>C134-C136-C137-C138</f>
        <v>726981</v>
      </c>
      <c r="D139" s="248">
        <f>D134-D136-D137-D138</f>
        <v>0</v>
      </c>
      <c r="E139" s="248">
        <f>E134-E136-E137-E138</f>
        <v>726981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183</v>
      </c>
      <c r="C142" s="293">
        <v>138307</v>
      </c>
      <c r="D142" s="450">
        <f>D139*C149</f>
        <v>0</v>
      </c>
      <c r="E142" s="248">
        <f>C142-D142</f>
        <v>138307</v>
      </c>
      <c r="F142" s="8"/>
      <c r="G142" s="45"/>
      <c r="H142" s="45"/>
      <c r="I142" s="45"/>
      <c r="J142" s="45"/>
      <c r="K142" s="45"/>
    </row>
    <row r="143" spans="1:11" ht="12.75">
      <c r="A143" s="46" t="s">
        <v>316</v>
      </c>
      <c r="B143" s="8" t="s">
        <v>183</v>
      </c>
      <c r="C143" s="293">
        <v>101777</v>
      </c>
      <c r="D143" s="450">
        <f>D139*C150</f>
        <v>0</v>
      </c>
      <c r="E143" s="287">
        <f>C143-D143</f>
        <v>101777</v>
      </c>
      <c r="F143" s="8"/>
      <c r="G143" s="45"/>
      <c r="H143" s="45"/>
      <c r="I143" s="45"/>
      <c r="J143" s="45"/>
      <c r="K143" s="45"/>
    </row>
    <row r="144" spans="1:11" ht="12.75">
      <c r="A144" s="46" t="s">
        <v>169</v>
      </c>
      <c r="B144" s="8" t="s">
        <v>185</v>
      </c>
      <c r="C144" s="248">
        <f>C142+C143</f>
        <v>240084</v>
      </c>
      <c r="D144" s="248">
        <f>D142+D143</f>
        <v>0</v>
      </c>
      <c r="E144" s="248">
        <f>E142+E143</f>
        <v>240084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184</v>
      </c>
      <c r="C145" s="293">
        <v>0</v>
      </c>
      <c r="D145" s="450"/>
      <c r="E145" s="288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5" t="s">
        <v>97</v>
      </c>
      <c r="B146" s="8" t="s">
        <v>185</v>
      </c>
      <c r="C146" s="248">
        <f>C144-C145</f>
        <v>240084</v>
      </c>
      <c r="D146" s="248">
        <f>D144-D145</f>
        <v>0</v>
      </c>
      <c r="E146" s="248">
        <f>E144-E145</f>
        <v>240084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393">
        <f>C142/C139</f>
        <v>0.19024843840485514</v>
      </c>
      <c r="D149" s="5"/>
      <c r="E149" s="394">
        <f>C149</f>
        <v>0.19024843840485514</v>
      </c>
      <c r="F149" s="8"/>
      <c r="G149" s="447" t="s">
        <v>419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393">
        <f>C143/C139</f>
        <v>0.1399995323123988</v>
      </c>
      <c r="D150" s="457"/>
      <c r="E150" s="394">
        <f>C150</f>
        <v>0.1399995323123988</v>
      </c>
      <c r="F150" s="8"/>
      <c r="G150" s="447" t="s">
        <v>420</v>
      </c>
      <c r="H150" s="45"/>
      <c r="I150" s="45"/>
      <c r="J150" s="45"/>
      <c r="K150" s="45"/>
    </row>
    <row r="151" spans="1:11" ht="12.75">
      <c r="A151" t="s">
        <v>325</v>
      </c>
      <c r="B151" s="8"/>
      <c r="C151" s="394">
        <f>SUM(C149:C150)</f>
        <v>0.330247970717254</v>
      </c>
      <c r="D151" s="5"/>
      <c r="E151" s="394">
        <f>SUM(E149:E150)</f>
        <v>0.330247970717254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350</v>
      </c>
      <c r="B153" s="8"/>
    </row>
    <row r="154" spans="1:2" ht="12.75">
      <c r="A154" s="14"/>
      <c r="B154" s="8"/>
    </row>
    <row r="155" spans="1:2" ht="12.75">
      <c r="A155" s="2" t="s">
        <v>427</v>
      </c>
      <c r="B155" s="8"/>
    </row>
    <row r="156" spans="1:5" ht="12.75">
      <c r="A156" t="s">
        <v>214</v>
      </c>
      <c r="B156" s="82" t="s">
        <v>183</v>
      </c>
      <c r="C156" s="247">
        <f>C146</f>
        <v>240084</v>
      </c>
      <c r="D156" s="247">
        <f>D146</f>
        <v>0</v>
      </c>
      <c r="E156" s="247">
        <f>E146</f>
        <v>240084</v>
      </c>
    </row>
    <row r="157" spans="1:5" ht="12.75">
      <c r="A157" t="s">
        <v>20</v>
      </c>
      <c r="B157" s="82" t="s">
        <v>183</v>
      </c>
      <c r="C157" s="443">
        <v>9212</v>
      </c>
      <c r="D157" s="247"/>
      <c r="E157" s="247">
        <f>C157+D157</f>
        <v>9212</v>
      </c>
    </row>
    <row r="158" spans="1:5" ht="12.75">
      <c r="A158" t="s">
        <v>213</v>
      </c>
      <c r="B158" s="82" t="s">
        <v>183</v>
      </c>
      <c r="C158" s="443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298</v>
      </c>
      <c r="B160" s="63" t="s">
        <v>185</v>
      </c>
      <c r="C160" s="247">
        <f>C156+C157+C158</f>
        <v>249296</v>
      </c>
      <c r="D160" s="247">
        <f>D156+D157+D158</f>
        <v>0</v>
      </c>
      <c r="E160" s="247">
        <f>E156+E157+E158</f>
        <v>249296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tabSelected="1" view="pageLayout" workbookViewId="0" topLeftCell="A1">
      <selection activeCell="A70" sqref="A7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Wasaga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268</v>
      </c>
      <c r="B12" s="58"/>
      <c r="C12" s="306"/>
      <c r="D12" s="306"/>
      <c r="E12" s="58"/>
    </row>
    <row r="13" spans="1:5" ht="12.75">
      <c r="A13" s="58"/>
      <c r="B13" s="58"/>
      <c r="C13" s="289"/>
      <c r="D13" s="289"/>
      <c r="E13" s="247">
        <f>C13-D13</f>
        <v>0</v>
      </c>
    </row>
    <row r="14" spans="1:5" ht="12.75">
      <c r="A14" s="58" t="s">
        <v>276</v>
      </c>
      <c r="B14" s="58"/>
      <c r="C14" s="289"/>
      <c r="D14" s="289"/>
      <c r="E14" s="247">
        <f aca="true" t="shared" si="0" ref="E14:E21">C14-D14</f>
        <v>0</v>
      </c>
    </row>
    <row r="15" spans="1:5" ht="12.75">
      <c r="A15" s="58" t="s">
        <v>277</v>
      </c>
      <c r="B15" s="58"/>
      <c r="C15" s="289"/>
      <c r="D15" s="289"/>
      <c r="E15" s="247">
        <f t="shared" si="0"/>
        <v>0</v>
      </c>
    </row>
    <row r="16" spans="1:5" ht="12.75">
      <c r="A16" s="58" t="s">
        <v>278</v>
      </c>
      <c r="B16" s="58"/>
      <c r="C16" s="289"/>
      <c r="D16" s="289"/>
      <c r="E16" s="247">
        <f t="shared" si="0"/>
        <v>0</v>
      </c>
    </row>
    <row r="17" spans="1:5" ht="12.75">
      <c r="A17" s="58" t="s">
        <v>279</v>
      </c>
      <c r="B17" s="58"/>
      <c r="C17" s="289"/>
      <c r="D17" s="289"/>
      <c r="E17" s="247">
        <f t="shared" si="0"/>
        <v>0</v>
      </c>
    </row>
    <row r="18" spans="1:5" ht="12.75">
      <c r="A18" s="58" t="s">
        <v>400</v>
      </c>
      <c r="B18" s="58"/>
      <c r="C18" s="289"/>
      <c r="D18" s="289"/>
      <c r="E18" s="247">
        <f t="shared" si="0"/>
        <v>0</v>
      </c>
    </row>
    <row r="19" spans="1:5" ht="12.75">
      <c r="A19" s="58" t="s">
        <v>400</v>
      </c>
      <c r="B19" s="58"/>
      <c r="C19" s="289"/>
      <c r="D19" s="289"/>
      <c r="E19" s="247">
        <f t="shared" si="0"/>
        <v>0</v>
      </c>
    </row>
    <row r="20" spans="1:5" ht="12.75">
      <c r="A20" s="58"/>
      <c r="B20" s="58"/>
      <c r="C20" s="289"/>
      <c r="D20" s="289"/>
      <c r="E20" s="247">
        <f t="shared" si="0"/>
        <v>0</v>
      </c>
    </row>
    <row r="21" spans="1:5" ht="12.75">
      <c r="A21" s="58"/>
      <c r="B21" s="58"/>
      <c r="C21" s="305"/>
      <c r="D21" s="305"/>
      <c r="E21" s="274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267</v>
      </c>
      <c r="B24" s="58"/>
      <c r="C24" s="87"/>
      <c r="D24" s="87"/>
      <c r="E24" s="87"/>
    </row>
    <row r="25" spans="1:5" ht="12.75">
      <c r="A25" s="58"/>
      <c r="B25" s="58"/>
      <c r="C25" s="289"/>
      <c r="D25" s="289"/>
      <c r="E25" s="247">
        <f>C25-D25</f>
        <v>0</v>
      </c>
    </row>
    <row r="26" spans="1:5" ht="12.75">
      <c r="A26" s="58" t="s">
        <v>276</v>
      </c>
      <c r="B26" s="58"/>
      <c r="C26" s="289"/>
      <c r="D26" s="289"/>
      <c r="E26" s="247">
        <f aca="true" t="shared" si="1" ref="E26:E33">C26-D26</f>
        <v>0</v>
      </c>
    </row>
    <row r="27" spans="1:5" ht="12.75">
      <c r="A27" s="58" t="s">
        <v>277</v>
      </c>
      <c r="B27" s="58"/>
      <c r="C27" s="289"/>
      <c r="D27" s="289"/>
      <c r="E27" s="247">
        <f t="shared" si="1"/>
        <v>0</v>
      </c>
    </row>
    <row r="28" spans="1:5" ht="12.75">
      <c r="A28" s="58" t="s">
        <v>278</v>
      </c>
      <c r="B28" s="58"/>
      <c r="C28" s="289"/>
      <c r="D28" s="289"/>
      <c r="E28" s="247">
        <f t="shared" si="1"/>
        <v>0</v>
      </c>
    </row>
    <row r="29" spans="1:5" ht="12.75">
      <c r="A29" s="58" t="s">
        <v>279</v>
      </c>
      <c r="B29" s="58"/>
      <c r="C29" s="289"/>
      <c r="D29" s="289"/>
      <c r="E29" s="247">
        <f t="shared" si="1"/>
        <v>0</v>
      </c>
    </row>
    <row r="30" spans="1:5" ht="12.75">
      <c r="A30" s="58" t="s">
        <v>400</v>
      </c>
      <c r="B30" s="58"/>
      <c r="C30" s="289"/>
      <c r="D30" s="289"/>
      <c r="E30" s="247">
        <f t="shared" si="1"/>
        <v>0</v>
      </c>
    </row>
    <row r="31" spans="1:5" ht="12.75">
      <c r="A31" s="58" t="s">
        <v>400</v>
      </c>
      <c r="B31" s="58"/>
      <c r="C31" s="289"/>
      <c r="D31" s="289"/>
      <c r="E31" s="247">
        <f t="shared" si="1"/>
        <v>0</v>
      </c>
    </row>
    <row r="32" spans="1:5" ht="12.75">
      <c r="A32" s="58"/>
      <c r="B32" s="58"/>
      <c r="C32" s="289"/>
      <c r="D32" s="289"/>
      <c r="E32" s="247">
        <f t="shared" si="1"/>
        <v>0</v>
      </c>
    </row>
    <row r="33" spans="1:5" ht="13.5" thickBot="1">
      <c r="A33" s="59"/>
      <c r="B33" s="58"/>
      <c r="C33" s="289"/>
      <c r="D33" s="289"/>
      <c r="E33" s="247">
        <f t="shared" si="1"/>
        <v>0</v>
      </c>
    </row>
    <row r="34" spans="1:5" ht="12.75">
      <c r="A34" s="53" t="s">
        <v>128</v>
      </c>
      <c r="C34" s="22"/>
      <c r="D34" s="22"/>
      <c r="E34" s="274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268</v>
      </c>
      <c r="B40" s="58"/>
      <c r="C40" s="87"/>
      <c r="D40" s="87"/>
      <c r="E40" s="87"/>
    </row>
    <row r="41" spans="1:5" ht="12.75">
      <c r="A41" s="58"/>
      <c r="B41" s="58"/>
      <c r="C41" s="289"/>
      <c r="D41" s="289"/>
      <c r="E41" s="247">
        <f>C41-D41</f>
        <v>0</v>
      </c>
    </row>
    <row r="42" spans="1:5" ht="12.75">
      <c r="A42" s="58"/>
      <c r="B42" s="58"/>
      <c r="C42" s="289"/>
      <c r="D42" s="289"/>
      <c r="E42" s="247">
        <f aca="true" t="shared" si="2" ref="E42:E49">C42-D42</f>
        <v>0</v>
      </c>
    </row>
    <row r="43" spans="1:5" ht="12.75">
      <c r="A43" s="58" t="s">
        <v>262</v>
      </c>
      <c r="B43" s="58"/>
      <c r="C43" s="289"/>
      <c r="D43" s="289"/>
      <c r="E43" s="247">
        <f t="shared" si="2"/>
        <v>0</v>
      </c>
    </row>
    <row r="44" spans="1:5" ht="12.75">
      <c r="A44" s="58" t="s">
        <v>263</v>
      </c>
      <c r="B44" s="58"/>
      <c r="C44" s="289"/>
      <c r="D44" s="289"/>
      <c r="E44" s="247">
        <f t="shared" si="2"/>
        <v>0</v>
      </c>
    </row>
    <row r="45" spans="1:5" ht="12.75">
      <c r="A45" s="58" t="s">
        <v>264</v>
      </c>
      <c r="B45" s="58"/>
      <c r="C45" s="289"/>
      <c r="D45" s="289"/>
      <c r="E45" s="247">
        <f t="shared" si="2"/>
        <v>0</v>
      </c>
    </row>
    <row r="46" spans="1:5" ht="12.75">
      <c r="A46" s="58" t="s">
        <v>265</v>
      </c>
      <c r="B46" s="58"/>
      <c r="C46" s="289"/>
      <c r="D46" s="289"/>
      <c r="E46" s="247">
        <f t="shared" si="2"/>
        <v>0</v>
      </c>
    </row>
    <row r="47" spans="1:5" ht="12.75">
      <c r="A47" s="58" t="s">
        <v>400</v>
      </c>
      <c r="B47" s="58"/>
      <c r="C47" s="289"/>
      <c r="D47" s="289"/>
      <c r="E47" s="247">
        <f t="shared" si="2"/>
        <v>0</v>
      </c>
    </row>
    <row r="48" spans="1:5" ht="12.75">
      <c r="A48" s="58" t="s">
        <v>400</v>
      </c>
      <c r="B48" s="58"/>
      <c r="C48" s="289"/>
      <c r="D48" s="289"/>
      <c r="E48" s="247">
        <f t="shared" si="2"/>
        <v>0</v>
      </c>
    </row>
    <row r="49" spans="1:5" ht="12.75">
      <c r="A49" s="58"/>
      <c r="B49" s="58"/>
      <c r="C49" s="305"/>
      <c r="D49" s="305"/>
      <c r="E49" s="274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267</v>
      </c>
      <c r="B52" s="58"/>
      <c r="C52" s="87"/>
      <c r="D52" s="87"/>
      <c r="E52" s="87"/>
    </row>
    <row r="53" spans="1:5" ht="12.75">
      <c r="A53" s="58"/>
      <c r="B53" s="58"/>
      <c r="C53" s="289"/>
      <c r="D53" s="289"/>
      <c r="E53" s="247">
        <f>C53-D53</f>
        <v>0</v>
      </c>
    </row>
    <row r="54" spans="1:5" ht="12.75">
      <c r="A54" s="242"/>
      <c r="B54" s="58"/>
      <c r="C54" s="289"/>
      <c r="D54" s="289"/>
      <c r="E54" s="247">
        <f aca="true" t="shared" si="3" ref="E54:E61">C54-D54</f>
        <v>0</v>
      </c>
    </row>
    <row r="55" spans="1:5" ht="12.75">
      <c r="A55" s="242" t="s">
        <v>262</v>
      </c>
      <c r="B55" s="58"/>
      <c r="C55" s="289"/>
      <c r="D55" s="289"/>
      <c r="E55" s="247">
        <f t="shared" si="3"/>
        <v>0</v>
      </c>
    </row>
    <row r="56" spans="1:5" ht="12.75">
      <c r="A56" s="242" t="s">
        <v>263</v>
      </c>
      <c r="B56" s="58"/>
      <c r="C56" s="289"/>
      <c r="D56" s="289"/>
      <c r="E56" s="247">
        <f t="shared" si="3"/>
        <v>0</v>
      </c>
    </row>
    <row r="57" spans="1:5" ht="12.75">
      <c r="A57" s="242" t="s">
        <v>264</v>
      </c>
      <c r="B57" s="58"/>
      <c r="C57" s="289"/>
      <c r="D57" s="289"/>
      <c r="E57" s="247">
        <f t="shared" si="3"/>
        <v>0</v>
      </c>
    </row>
    <row r="58" spans="1:5" ht="12.75">
      <c r="A58" s="242" t="s">
        <v>265</v>
      </c>
      <c r="B58" s="58"/>
      <c r="C58" s="289"/>
      <c r="D58" s="289"/>
      <c r="E58" s="247">
        <f t="shared" si="3"/>
        <v>0</v>
      </c>
    </row>
    <row r="59" spans="1:5" ht="12.75">
      <c r="A59" s="58" t="s">
        <v>400</v>
      </c>
      <c r="B59" s="58"/>
      <c r="C59" s="289"/>
      <c r="D59" s="289"/>
      <c r="E59" s="247">
        <f t="shared" si="3"/>
        <v>0</v>
      </c>
    </row>
    <row r="60" spans="1:5" ht="12.75">
      <c r="A60" s="58" t="s">
        <v>400</v>
      </c>
      <c r="B60" s="58"/>
      <c r="C60" s="289"/>
      <c r="D60" s="289"/>
      <c r="E60" s="247">
        <f t="shared" si="3"/>
        <v>0</v>
      </c>
    </row>
    <row r="61" spans="1:5" ht="13.5" thickBot="1">
      <c r="A61" s="59"/>
      <c r="B61" s="58"/>
      <c r="C61" s="289"/>
      <c r="D61" s="289"/>
      <c r="E61" s="247">
        <f t="shared" si="3"/>
        <v>0</v>
      </c>
    </row>
    <row r="62" spans="1:5" ht="12.75">
      <c r="A62" s="53" t="s">
        <v>128</v>
      </c>
      <c r="C62" s="22"/>
      <c r="D62" s="22"/>
      <c r="E62" s="274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tabSelected="1" view="pageLayout" workbookViewId="0" topLeftCell="A1">
      <selection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4" t="s">
        <v>416</v>
      </c>
      <c r="B5" s="8"/>
      <c r="C5" s="8" t="s">
        <v>2</v>
      </c>
      <c r="D5" s="8"/>
      <c r="E5" s="8"/>
      <c r="F5" s="8"/>
    </row>
    <row r="6" spans="1:6" ht="12.75">
      <c r="A6" s="404" t="s">
        <v>397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Wasaga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6">
        <f>TAXREC!C11</f>
        <v>366</v>
      </c>
      <c r="D10" s="57"/>
      <c r="E10" s="25"/>
      <c r="F10" s="20"/>
    </row>
    <row r="11" spans="1:6" ht="12.75">
      <c r="A11" s="2" t="s">
        <v>115</v>
      </c>
      <c r="B11" s="20"/>
      <c r="C11" s="452">
        <f>TAXREC!C13</f>
        <v>11613.861525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183</v>
      </c>
      <c r="C17" s="290"/>
      <c r="D17" s="290"/>
      <c r="E17" s="308">
        <f>C17-D17</f>
        <v>0</v>
      </c>
    </row>
    <row r="18" spans="1:5" ht="12.75">
      <c r="A18" s="64" t="s">
        <v>248</v>
      </c>
      <c r="B18" t="s">
        <v>183</v>
      </c>
      <c r="C18" s="290"/>
      <c r="D18" s="290"/>
      <c r="E18" s="308">
        <f aca="true" t="shared" si="0" ref="E18:E44">C18-D18</f>
        <v>0</v>
      </c>
    </row>
    <row r="19" spans="1:5" ht="12.75">
      <c r="A19" s="64" t="s">
        <v>131</v>
      </c>
      <c r="B19" t="s">
        <v>183</v>
      </c>
      <c r="C19" s="290"/>
      <c r="D19" s="290"/>
      <c r="E19" s="308">
        <f t="shared" si="0"/>
        <v>0</v>
      </c>
    </row>
    <row r="20" spans="1:5" ht="12.75">
      <c r="A20" s="64" t="s">
        <v>401</v>
      </c>
      <c r="B20" t="s">
        <v>183</v>
      </c>
      <c r="C20" s="290"/>
      <c r="D20" s="309"/>
      <c r="E20" s="308">
        <f t="shared" si="0"/>
        <v>0</v>
      </c>
    </row>
    <row r="21" spans="1:5" ht="12.75">
      <c r="A21" s="64" t="s">
        <v>8</v>
      </c>
      <c r="B21" t="s">
        <v>183</v>
      </c>
      <c r="C21" s="290"/>
      <c r="D21" s="290"/>
      <c r="E21" s="308">
        <f t="shared" si="0"/>
        <v>0</v>
      </c>
    </row>
    <row r="22" spans="1:5" ht="12.75">
      <c r="A22" s="64"/>
      <c r="B22" t="s">
        <v>183</v>
      </c>
      <c r="C22" s="290"/>
      <c r="D22" s="290"/>
      <c r="E22" s="308">
        <f t="shared" si="0"/>
        <v>0</v>
      </c>
    </row>
    <row r="23" spans="1:5" ht="12.75">
      <c r="A23" s="64" t="s">
        <v>133</v>
      </c>
      <c r="B23" t="s">
        <v>183</v>
      </c>
      <c r="C23" s="290"/>
      <c r="D23" s="290"/>
      <c r="E23" s="308">
        <f t="shared" si="0"/>
        <v>0</v>
      </c>
    </row>
    <row r="24" spans="1:5" ht="12.75">
      <c r="A24" s="64" t="s">
        <v>134</v>
      </c>
      <c r="B24" t="s">
        <v>183</v>
      </c>
      <c r="C24" s="290"/>
      <c r="D24" s="290"/>
      <c r="E24" s="308">
        <f t="shared" si="0"/>
        <v>0</v>
      </c>
    </row>
    <row r="25" spans="1:5" ht="12.75">
      <c r="A25" s="64" t="s">
        <v>9</v>
      </c>
      <c r="B25" t="s">
        <v>183</v>
      </c>
      <c r="C25" s="290"/>
      <c r="D25" s="290"/>
      <c r="E25" s="308">
        <f t="shared" si="0"/>
        <v>0</v>
      </c>
    </row>
    <row r="26" spans="1:5" ht="12.75">
      <c r="A26" s="64" t="s">
        <v>186</v>
      </c>
      <c r="B26" t="s">
        <v>183</v>
      </c>
      <c r="C26" s="290"/>
      <c r="D26" s="290"/>
      <c r="E26" s="308">
        <f t="shared" si="0"/>
        <v>0</v>
      </c>
    </row>
    <row r="27" spans="1:5" ht="12.75">
      <c r="A27" s="64" t="s">
        <v>7</v>
      </c>
      <c r="B27" t="s">
        <v>183</v>
      </c>
      <c r="C27" s="290"/>
      <c r="D27" s="290"/>
      <c r="E27" s="308">
        <f t="shared" si="0"/>
        <v>0</v>
      </c>
    </row>
    <row r="28" spans="1:5" ht="12.75">
      <c r="A28" s="64" t="s">
        <v>120</v>
      </c>
      <c r="B28" t="s">
        <v>183</v>
      </c>
      <c r="C28" s="290"/>
      <c r="D28" s="290"/>
      <c r="E28" s="308">
        <f t="shared" si="0"/>
        <v>0</v>
      </c>
    </row>
    <row r="29" spans="1:5" ht="12.75">
      <c r="A29" s="64" t="s">
        <v>135</v>
      </c>
      <c r="B29" t="s">
        <v>183</v>
      </c>
      <c r="C29" s="290"/>
      <c r="D29" s="290"/>
      <c r="E29" s="308">
        <f t="shared" si="0"/>
        <v>0</v>
      </c>
    </row>
    <row r="30" spans="1:5" ht="12.75">
      <c r="A30" s="64" t="s">
        <v>136</v>
      </c>
      <c r="B30" t="s">
        <v>183</v>
      </c>
      <c r="C30" s="290"/>
      <c r="D30" s="290"/>
      <c r="E30" s="308">
        <f t="shared" si="0"/>
        <v>0</v>
      </c>
    </row>
    <row r="31" spans="1:5" ht="12.75">
      <c r="A31" s="64" t="s">
        <v>249</v>
      </c>
      <c r="B31" t="s">
        <v>183</v>
      </c>
      <c r="C31" s="290"/>
      <c r="D31" s="290"/>
      <c r="E31" s="308">
        <f t="shared" si="0"/>
        <v>0</v>
      </c>
    </row>
    <row r="32" spans="1:5" ht="12.75">
      <c r="A32" s="64" t="s">
        <v>137</v>
      </c>
      <c r="B32" t="s">
        <v>183</v>
      </c>
      <c r="C32" s="290"/>
      <c r="D32" s="290"/>
      <c r="E32" s="308">
        <f t="shared" si="0"/>
        <v>0</v>
      </c>
    </row>
    <row r="33" spans="1:5" ht="12.75">
      <c r="A33" s="64" t="s">
        <v>138</v>
      </c>
      <c r="B33" t="s">
        <v>183</v>
      </c>
      <c r="C33" s="290"/>
      <c r="D33" s="290"/>
      <c r="E33" s="308">
        <f t="shared" si="0"/>
        <v>0</v>
      </c>
    </row>
    <row r="34" spans="1:5" ht="12.75">
      <c r="A34" s="64" t="s">
        <v>139</v>
      </c>
      <c r="B34" t="s">
        <v>183</v>
      </c>
      <c r="C34" s="290"/>
      <c r="D34" s="290"/>
      <c r="E34" s="308">
        <f t="shared" si="0"/>
        <v>0</v>
      </c>
    </row>
    <row r="35" spans="1:5" ht="12.75">
      <c r="A35" s="64" t="s">
        <v>188</v>
      </c>
      <c r="B35" t="s">
        <v>183</v>
      </c>
      <c r="C35" s="290"/>
      <c r="D35" s="290"/>
      <c r="E35" s="308">
        <f t="shared" si="0"/>
        <v>0</v>
      </c>
    </row>
    <row r="36" spans="1:5" ht="12.75">
      <c r="A36" s="64" t="s">
        <v>425</v>
      </c>
      <c r="B36" t="s">
        <v>183</v>
      </c>
      <c r="C36" s="290"/>
      <c r="D36" s="290"/>
      <c r="E36" s="308">
        <f t="shared" si="0"/>
        <v>0</v>
      </c>
    </row>
    <row r="37" spans="1:5" ht="12.75">
      <c r="A37" s="64"/>
      <c r="B37" t="s">
        <v>183</v>
      </c>
      <c r="C37" s="290"/>
      <c r="D37" s="290"/>
      <c r="E37" s="308">
        <f t="shared" si="0"/>
        <v>0</v>
      </c>
    </row>
    <row r="38" spans="2:5" ht="12.75">
      <c r="B38" t="s">
        <v>183</v>
      </c>
      <c r="C38" s="290"/>
      <c r="D38" s="290"/>
      <c r="E38" s="247">
        <f t="shared" si="0"/>
        <v>0</v>
      </c>
    </row>
    <row r="39" spans="2:5" ht="12.75">
      <c r="B39" t="s">
        <v>183</v>
      </c>
      <c r="C39" s="289"/>
      <c r="D39" s="290"/>
      <c r="E39" s="247">
        <f t="shared" si="0"/>
        <v>0</v>
      </c>
    </row>
    <row r="40" spans="1:5" ht="12.75">
      <c r="A40" s="65" t="s">
        <v>199</v>
      </c>
      <c r="B40" t="s">
        <v>183</v>
      </c>
      <c r="C40" s="289"/>
      <c r="D40" s="289"/>
      <c r="E40" s="247">
        <f t="shared" si="0"/>
        <v>0</v>
      </c>
    </row>
    <row r="41" spans="1:5" ht="12.75">
      <c r="A41" s="64"/>
      <c r="B41" t="s">
        <v>183</v>
      </c>
      <c r="C41" s="289"/>
      <c r="D41" s="289"/>
      <c r="E41" s="247">
        <f t="shared" si="0"/>
        <v>0</v>
      </c>
    </row>
    <row r="42" spans="1:5" ht="12.75">
      <c r="A42" s="64"/>
      <c r="B42" t="s">
        <v>183</v>
      </c>
      <c r="C42" s="289"/>
      <c r="D42" s="289"/>
      <c r="E42" s="247">
        <f t="shared" si="0"/>
        <v>0</v>
      </c>
    </row>
    <row r="43" spans="1:5" ht="12.75">
      <c r="A43" s="64"/>
      <c r="B43" t="s">
        <v>183</v>
      </c>
      <c r="C43" s="289"/>
      <c r="D43" s="289"/>
      <c r="E43" s="247">
        <f t="shared" si="0"/>
        <v>0</v>
      </c>
    </row>
    <row r="44" spans="1:5" ht="12.75">
      <c r="A44" s="64"/>
      <c r="B44" t="s">
        <v>183</v>
      </c>
      <c r="C44" s="289"/>
      <c r="D44" s="289"/>
      <c r="E44" s="247">
        <f t="shared" si="0"/>
        <v>0</v>
      </c>
    </row>
    <row r="45" spans="1:5" ht="12.75">
      <c r="A45" s="64"/>
      <c r="B45" t="s">
        <v>183</v>
      </c>
      <c r="C45" s="289"/>
      <c r="D45" s="289"/>
      <c r="E45" s="274"/>
    </row>
    <row r="46" spans="1:5" ht="12.75">
      <c r="A46" s="67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0" t="str">
        <f>IF($E17&gt;$C$11,A17," ")</f>
        <v> </v>
      </c>
      <c r="B49" s="268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0" t="str">
        <f>IF($E18&gt;$C$11,A18," ")</f>
        <v> </v>
      </c>
      <c r="B50" s="268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0" t="str">
        <f>IF($E19&gt;$C$11,#REF!," ")</f>
        <v> </v>
      </c>
      <c r="B51" s="268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0" t="str">
        <f>IF($E20&gt;$C$11,#REF!," ")</f>
        <v> </v>
      </c>
      <c r="B52" s="268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0" t="str">
        <f aca="true" t="shared" si="2" ref="A53:A59">IF($E21&gt;$C$11,A19," ")</f>
        <v> </v>
      </c>
      <c r="B53" s="268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0" t="str">
        <f t="shared" si="2"/>
        <v> </v>
      </c>
      <c r="B54" s="268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0" t="str">
        <f t="shared" si="2"/>
        <v> </v>
      </c>
      <c r="B55" s="268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0" t="str">
        <f t="shared" si="2"/>
        <v> </v>
      </c>
      <c r="B56" s="268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0" t="str">
        <f t="shared" si="2"/>
        <v> </v>
      </c>
      <c r="B57" s="268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0" t="str">
        <f t="shared" si="2"/>
        <v> </v>
      </c>
      <c r="B58" s="268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0" t="str">
        <f t="shared" si="2"/>
        <v> </v>
      </c>
      <c r="B59" s="268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0" t="str">
        <f>IF($E28&gt;$C$11,A28," ")</f>
        <v> </v>
      </c>
      <c r="B60" s="268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0" t="str">
        <f>IF($E29&gt;$C$11,#REF!," ")</f>
        <v> </v>
      </c>
      <c r="B61" s="268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0" t="str">
        <f>IF($E30&gt;$C$11,#REF!," ")</f>
        <v> </v>
      </c>
      <c r="B62" s="268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0" t="str">
        <f>IF($E31&gt;$C$11,A26," ")</f>
        <v> </v>
      </c>
      <c r="B63" s="268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0" t="str">
        <f>IF($E33&gt;$C$11,#REF!," ")</f>
        <v> </v>
      </c>
      <c r="B64" s="268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0" t="str">
        <f>IF($E34&gt;$C$11,#REF!," ")</f>
        <v> </v>
      </c>
      <c r="B65" s="268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0" t="str">
        <f>IF($E35&gt;$C$11,#REF!," ")</f>
        <v> </v>
      </c>
      <c r="B66" s="268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0" t="str">
        <f>IF($E36&gt;$C$11,A36," ")</f>
        <v> </v>
      </c>
      <c r="B67" s="268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0" t="str">
        <f>IF($E37&gt;$C$11,A37," ")</f>
        <v> </v>
      </c>
      <c r="B68" s="268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0" t="str">
        <f>IF($E38&gt;$C$11,A29," ")</f>
        <v> </v>
      </c>
      <c r="B69" s="268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0" t="str">
        <f>IF($E39&gt;$C$11,A35," ")</f>
        <v> </v>
      </c>
      <c r="B70" s="268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0" t="str">
        <f aca="true" t="shared" si="4" ref="A71:A76">IF($E40&gt;$C$11,A40," ")</f>
        <v> </v>
      </c>
      <c r="B71" s="268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0" t="str">
        <f t="shared" si="4"/>
        <v> </v>
      </c>
      <c r="B72" s="268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0" t="str">
        <f t="shared" si="4"/>
        <v> </v>
      </c>
      <c r="B73" s="268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0" t="str">
        <f t="shared" si="4"/>
        <v> </v>
      </c>
      <c r="B74" s="268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0" t="str">
        <f t="shared" si="4"/>
        <v> </v>
      </c>
      <c r="B75" s="268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0" t="str">
        <f t="shared" si="4"/>
        <v> </v>
      </c>
      <c r="B76" s="269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1" t="s">
        <v>140</v>
      </c>
      <c r="B77" s="268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1" t="s">
        <v>198</v>
      </c>
      <c r="B78" s="272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1" t="s">
        <v>166</v>
      </c>
      <c r="B79" s="272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184</v>
      </c>
      <c r="C82" s="289"/>
      <c r="D82" s="289"/>
      <c r="E82" s="247">
        <f>C82-D82</f>
        <v>0</v>
      </c>
    </row>
    <row r="83" spans="1:5" ht="12.75">
      <c r="A83" s="68" t="s">
        <v>148</v>
      </c>
      <c r="B83" s="8" t="s">
        <v>184</v>
      </c>
      <c r="C83" s="289"/>
      <c r="D83" s="289"/>
      <c r="E83" s="247">
        <f aca="true" t="shared" si="5" ref="E83:E98">C83-D83</f>
        <v>0</v>
      </c>
    </row>
    <row r="84" spans="1:5" ht="12.75">
      <c r="A84" s="68" t="s">
        <v>143</v>
      </c>
      <c r="B84" s="8" t="s">
        <v>184</v>
      </c>
      <c r="C84" s="289"/>
      <c r="D84" s="289"/>
      <c r="E84" s="247">
        <f t="shared" si="5"/>
        <v>0</v>
      </c>
    </row>
    <row r="85" spans="1:5" ht="12.75">
      <c r="A85" s="68" t="s">
        <v>250</v>
      </c>
      <c r="B85" s="8" t="s">
        <v>184</v>
      </c>
      <c r="C85" s="289"/>
      <c r="D85" s="289"/>
      <c r="E85" s="247">
        <f t="shared" si="5"/>
        <v>0</v>
      </c>
    </row>
    <row r="86" spans="1:5" ht="12.75">
      <c r="A86" s="64" t="s">
        <v>189</v>
      </c>
      <c r="B86" s="8" t="s">
        <v>184</v>
      </c>
      <c r="C86" s="289"/>
      <c r="D86" s="289"/>
      <c r="E86" s="247">
        <f t="shared" si="5"/>
        <v>0</v>
      </c>
    </row>
    <row r="87" spans="1:5" ht="12.75">
      <c r="A87" s="64" t="s">
        <v>367</v>
      </c>
      <c r="B87" s="8" t="s">
        <v>184</v>
      </c>
      <c r="C87" s="289"/>
      <c r="D87" s="289"/>
      <c r="E87" s="247">
        <f t="shared" si="5"/>
        <v>0</v>
      </c>
    </row>
    <row r="88" spans="1:5" ht="12.75">
      <c r="A88" s="64" t="s">
        <v>190</v>
      </c>
      <c r="B88" s="8" t="s">
        <v>184</v>
      </c>
      <c r="C88" s="289"/>
      <c r="D88" s="289"/>
      <c r="E88" s="247">
        <f t="shared" si="5"/>
        <v>0</v>
      </c>
    </row>
    <row r="89" spans="1:5" ht="12.75">
      <c r="A89" s="64" t="s">
        <v>163</v>
      </c>
      <c r="B89" s="8" t="s">
        <v>184</v>
      </c>
      <c r="C89" s="289"/>
      <c r="D89" s="289"/>
      <c r="E89" s="247">
        <f t="shared" si="5"/>
        <v>0</v>
      </c>
    </row>
    <row r="90" spans="1:5" ht="12.75">
      <c r="A90" s="64" t="s">
        <v>164</v>
      </c>
      <c r="B90" s="8" t="s">
        <v>184</v>
      </c>
      <c r="C90" s="289"/>
      <c r="D90" s="289"/>
      <c r="E90" s="247">
        <f t="shared" si="5"/>
        <v>0</v>
      </c>
    </row>
    <row r="91" spans="1:5" ht="12.75">
      <c r="A91" s="64" t="s">
        <v>165</v>
      </c>
      <c r="B91" s="8" t="s">
        <v>184</v>
      </c>
      <c r="C91" s="289"/>
      <c r="D91" s="289"/>
      <c r="E91" s="247">
        <f t="shared" si="5"/>
        <v>0</v>
      </c>
    </row>
    <row r="92" spans="2:5" ht="12.75">
      <c r="B92" s="8" t="s">
        <v>184</v>
      </c>
      <c r="C92" s="289"/>
      <c r="D92" s="289"/>
      <c r="E92" s="247"/>
    </row>
    <row r="93" spans="1:5" ht="12.75">
      <c r="A93" s="64"/>
      <c r="B93" s="8" t="s">
        <v>184</v>
      </c>
      <c r="C93" s="289"/>
      <c r="D93" s="289"/>
      <c r="E93" s="247">
        <f t="shared" si="5"/>
        <v>0</v>
      </c>
    </row>
    <row r="94" spans="1:5" ht="12.75">
      <c r="A94" s="64"/>
      <c r="B94" s="8" t="s">
        <v>184</v>
      </c>
      <c r="C94" s="289"/>
      <c r="D94" s="289"/>
      <c r="E94" s="247">
        <f t="shared" si="5"/>
        <v>0</v>
      </c>
    </row>
    <row r="95" spans="1:5" ht="12.75">
      <c r="A95" s="65" t="s">
        <v>200</v>
      </c>
      <c r="B95" s="8" t="s">
        <v>184</v>
      </c>
      <c r="C95" s="289"/>
      <c r="D95" s="289"/>
      <c r="E95" s="247">
        <f t="shared" si="5"/>
        <v>0</v>
      </c>
    </row>
    <row r="96" spans="1:5" ht="12.75">
      <c r="A96" s="64" t="s">
        <v>426</v>
      </c>
      <c r="B96" s="8" t="s">
        <v>184</v>
      </c>
      <c r="C96" s="289"/>
      <c r="D96" s="289"/>
      <c r="E96" s="247">
        <f t="shared" si="5"/>
        <v>0</v>
      </c>
    </row>
    <row r="97" spans="1:5" ht="12.75">
      <c r="A97" s="64"/>
      <c r="B97" s="8" t="s">
        <v>184</v>
      </c>
      <c r="C97" s="289"/>
      <c r="D97" s="289"/>
      <c r="E97" s="247">
        <f t="shared" si="5"/>
        <v>0</v>
      </c>
    </row>
    <row r="98" spans="1:5" ht="12.75">
      <c r="A98" s="64"/>
      <c r="B98" s="8" t="s">
        <v>184</v>
      </c>
      <c r="C98" s="289"/>
      <c r="D98" s="289"/>
      <c r="E98" s="247">
        <f t="shared" si="5"/>
        <v>0</v>
      </c>
    </row>
    <row r="99" spans="1:5" ht="12.75">
      <c r="A99" s="64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0" t="str">
        <f aca="true" t="shared" si="6" ref="A102:A111">IF($E82&gt;$C$11,A82," ")</f>
        <v> </v>
      </c>
      <c r="B102" s="268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0" t="str">
        <f t="shared" si="6"/>
        <v> </v>
      </c>
      <c r="B103" s="268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0" t="str">
        <f t="shared" si="6"/>
        <v> </v>
      </c>
      <c r="B104" s="268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0" t="str">
        <f t="shared" si="6"/>
        <v> </v>
      </c>
      <c r="B105" s="268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0" t="str">
        <f t="shared" si="6"/>
        <v> </v>
      </c>
      <c r="B106" s="268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0" t="str">
        <f t="shared" si="6"/>
        <v> </v>
      </c>
      <c r="B107" s="268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0" t="str">
        <f t="shared" si="6"/>
        <v> </v>
      </c>
      <c r="B108" s="268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0" t="str">
        <f t="shared" si="6"/>
        <v> </v>
      </c>
      <c r="B109" s="268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0" t="str">
        <f t="shared" si="6"/>
        <v> </v>
      </c>
      <c r="B110" s="268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0" t="str">
        <f t="shared" si="6"/>
        <v> </v>
      </c>
      <c r="B111" s="268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0" t="str">
        <f>IF($E92&gt;$C$11,A95," ")</f>
        <v> </v>
      </c>
      <c r="B112" s="268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0" t="str">
        <f>IF($E93&gt;$C$11,#REF!," ")</f>
        <v> </v>
      </c>
      <c r="B113" s="268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0" t="str">
        <f>IF($E94&gt;$C$11,A94," ")</f>
        <v> </v>
      </c>
      <c r="B114" s="268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0"/>
      <c r="B115" s="268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0" t="str">
        <f>IF($E96&gt;$C$11,A96," ")</f>
        <v> </v>
      </c>
      <c r="B116" s="268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0" t="str">
        <f>IF($E97&gt;$C$11,A97," ")</f>
        <v> </v>
      </c>
      <c r="B117" s="268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0" t="str">
        <f>IF($E98&gt;$C$11,A98," ")</f>
        <v> </v>
      </c>
      <c r="B118" s="268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3" t="s">
        <v>197</v>
      </c>
      <c r="B119" s="268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3" t="s">
        <v>196</v>
      </c>
      <c r="B120" s="268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3" t="s">
        <v>167</v>
      </c>
      <c r="B121" s="268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view="pageLayout" workbookViewId="0" topLeftCell="A1">
      <selection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371</v>
      </c>
      <c r="E3" s="88"/>
    </row>
    <row r="4" spans="1:6" ht="15.75">
      <c r="A4" s="427" t="s">
        <v>397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29" t="s">
        <v>372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Wasaga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6">
        <f>TAXREC!C11</f>
        <v>366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183</v>
      </c>
      <c r="C19" s="290"/>
      <c r="D19" s="290"/>
      <c r="E19" s="308">
        <f aca="true" t="shared" si="0" ref="E19:E45">C19-D19</f>
        <v>0</v>
      </c>
    </row>
    <row r="20" spans="1:5" ht="12.75">
      <c r="A20" t="s">
        <v>374</v>
      </c>
      <c r="B20" t="s">
        <v>183</v>
      </c>
      <c r="C20" s="290"/>
      <c r="D20" s="290"/>
      <c r="E20" s="308">
        <f t="shared" si="0"/>
        <v>0</v>
      </c>
    </row>
    <row r="21" spans="1:5" ht="12.75">
      <c r="A21" t="s">
        <v>405</v>
      </c>
      <c r="B21" t="s">
        <v>183</v>
      </c>
      <c r="C21" s="290"/>
      <c r="D21" s="290"/>
      <c r="E21" s="308">
        <f t="shared" si="0"/>
        <v>0</v>
      </c>
    </row>
    <row r="22" spans="1:5" ht="12.75">
      <c r="A22" s="64" t="s">
        <v>377</v>
      </c>
      <c r="B22" t="s">
        <v>183</v>
      </c>
      <c r="C22" s="290"/>
      <c r="D22" s="309"/>
      <c r="E22" s="308">
        <f t="shared" si="0"/>
        <v>0</v>
      </c>
    </row>
    <row r="23" spans="1:5" ht="12.75">
      <c r="A23" s="64" t="s">
        <v>378</v>
      </c>
      <c r="B23" t="s">
        <v>183</v>
      </c>
      <c r="C23" s="290"/>
      <c r="D23" s="290"/>
      <c r="E23" s="308">
        <f t="shared" si="0"/>
        <v>0</v>
      </c>
    </row>
    <row r="24" spans="1:5" ht="12.75">
      <c r="A24" s="64" t="s">
        <v>406</v>
      </c>
      <c r="B24" t="s">
        <v>183</v>
      </c>
      <c r="C24" s="290">
        <v>1522</v>
      </c>
      <c r="D24" s="290"/>
      <c r="E24" s="308">
        <f t="shared" si="0"/>
        <v>1522</v>
      </c>
    </row>
    <row r="25" spans="1:5" ht="12.75">
      <c r="A25" s="64" t="s">
        <v>121</v>
      </c>
      <c r="B25" t="s">
        <v>183</v>
      </c>
      <c r="C25" s="290"/>
      <c r="D25" s="290"/>
      <c r="E25" s="308">
        <f t="shared" si="0"/>
        <v>0</v>
      </c>
    </row>
    <row r="26" spans="1:5" ht="12.75">
      <c r="A26" s="64" t="s">
        <v>130</v>
      </c>
      <c r="B26" t="s">
        <v>183</v>
      </c>
      <c r="C26" s="290"/>
      <c r="D26" s="290"/>
      <c r="E26" s="308">
        <f t="shared" si="0"/>
        <v>0</v>
      </c>
    </row>
    <row r="27" spans="1:5" ht="12.75">
      <c r="A27" s="64" t="s">
        <v>390</v>
      </c>
      <c r="B27" t="s">
        <v>183</v>
      </c>
      <c r="C27" s="290"/>
      <c r="D27" s="290"/>
      <c r="E27" s="308">
        <f t="shared" si="0"/>
        <v>0</v>
      </c>
    </row>
    <row r="28" spans="1:5" ht="12.75">
      <c r="A28" s="64" t="s">
        <v>376</v>
      </c>
      <c r="B28" t="s">
        <v>183</v>
      </c>
      <c r="C28" s="290"/>
      <c r="D28" s="290"/>
      <c r="E28" s="308">
        <f t="shared" si="0"/>
        <v>0</v>
      </c>
    </row>
    <row r="29" spans="1:5" ht="12.75">
      <c r="A29" s="64" t="s">
        <v>132</v>
      </c>
      <c r="B29" t="s">
        <v>183</v>
      </c>
      <c r="C29" s="290"/>
      <c r="D29" s="290"/>
      <c r="E29" s="308">
        <f t="shared" si="0"/>
        <v>0</v>
      </c>
    </row>
    <row r="30" spans="1:5" ht="12.75">
      <c r="A30" s="64" t="s">
        <v>375</v>
      </c>
      <c r="B30" t="s">
        <v>183</v>
      </c>
      <c r="C30" s="290"/>
      <c r="D30" s="290"/>
      <c r="E30" s="308">
        <f t="shared" si="0"/>
        <v>0</v>
      </c>
    </row>
    <row r="31" spans="1:5" ht="12.75">
      <c r="A31" s="64" t="s">
        <v>187</v>
      </c>
      <c r="B31" t="s">
        <v>183</v>
      </c>
      <c r="C31" s="290"/>
      <c r="D31" s="290"/>
      <c r="E31" s="308">
        <f t="shared" si="0"/>
        <v>0</v>
      </c>
    </row>
    <row r="32" spans="1:5" ht="12.75">
      <c r="A32" s="64" t="s">
        <v>385</v>
      </c>
      <c r="B32" t="s">
        <v>183</v>
      </c>
      <c r="C32" s="290"/>
      <c r="D32" s="290"/>
      <c r="E32" s="308">
        <f t="shared" si="0"/>
        <v>0</v>
      </c>
    </row>
    <row r="33" spans="1:5" ht="12.75">
      <c r="A33" s="64" t="s">
        <v>386</v>
      </c>
      <c r="B33" t="s">
        <v>183</v>
      </c>
      <c r="C33" s="290"/>
      <c r="D33" s="290"/>
      <c r="E33" s="308">
        <f t="shared" si="0"/>
        <v>0</v>
      </c>
    </row>
    <row r="34" spans="1:5" ht="12.75">
      <c r="A34" s="64" t="s">
        <v>402</v>
      </c>
      <c r="B34" t="s">
        <v>183</v>
      </c>
      <c r="C34" s="290"/>
      <c r="D34" s="290"/>
      <c r="E34" s="308">
        <f t="shared" si="0"/>
        <v>0</v>
      </c>
    </row>
    <row r="35" spans="1:5" ht="12.75">
      <c r="A35" s="77" t="s">
        <v>403</v>
      </c>
      <c r="C35" s="290"/>
      <c r="D35" s="290"/>
      <c r="E35" s="308">
        <f t="shared" si="0"/>
        <v>0</v>
      </c>
    </row>
    <row r="36" spans="1:5" ht="12.75">
      <c r="A36" s="64" t="s">
        <v>387</v>
      </c>
      <c r="C36" s="290"/>
      <c r="D36" s="290"/>
      <c r="E36" s="308">
        <f t="shared" si="0"/>
        <v>0</v>
      </c>
    </row>
    <row r="37" spans="1:5" ht="12.75">
      <c r="A37" s="64" t="s">
        <v>388</v>
      </c>
      <c r="C37" s="290"/>
      <c r="D37" s="290"/>
      <c r="E37" s="308">
        <f t="shared" si="0"/>
        <v>0</v>
      </c>
    </row>
    <row r="38" spans="1:5" ht="12.75">
      <c r="A38" s="77" t="s">
        <v>379</v>
      </c>
      <c r="C38" s="290"/>
      <c r="D38" s="290"/>
      <c r="E38" s="308">
        <f t="shared" si="0"/>
        <v>0</v>
      </c>
    </row>
    <row r="39" spans="2:5" ht="12.75">
      <c r="B39" t="s">
        <v>183</v>
      </c>
      <c r="C39" s="290"/>
      <c r="D39" s="290"/>
      <c r="E39" s="308">
        <f t="shared" si="0"/>
        <v>0</v>
      </c>
    </row>
    <row r="40" spans="1:5" ht="12.75">
      <c r="A40" s="77" t="s">
        <v>373</v>
      </c>
      <c r="B40" t="s">
        <v>183</v>
      </c>
      <c r="C40" s="290"/>
      <c r="D40" s="290"/>
      <c r="E40" s="308">
        <f t="shared" si="0"/>
        <v>0</v>
      </c>
    </row>
    <row r="41" spans="1:5" ht="12.75">
      <c r="A41" s="64" t="s">
        <v>409</v>
      </c>
      <c r="B41" t="s">
        <v>183</v>
      </c>
      <c r="C41" s="290"/>
      <c r="D41" s="290"/>
      <c r="E41" s="308">
        <f t="shared" si="0"/>
        <v>0</v>
      </c>
    </row>
    <row r="42" spans="2:5" ht="12.75">
      <c r="B42" t="s">
        <v>183</v>
      </c>
      <c r="C42" s="290"/>
      <c r="D42" s="290"/>
      <c r="E42" s="308">
        <f t="shared" si="0"/>
        <v>0</v>
      </c>
    </row>
    <row r="43" spans="1:5" ht="12.75">
      <c r="A43" s="65" t="s">
        <v>199</v>
      </c>
      <c r="B43" t="s">
        <v>183</v>
      </c>
      <c r="C43" s="290"/>
      <c r="D43" s="290"/>
      <c r="E43" s="308">
        <f t="shared" si="0"/>
        <v>0</v>
      </c>
    </row>
    <row r="44" spans="2:5" ht="12.75">
      <c r="B44" t="s">
        <v>183</v>
      </c>
      <c r="C44" s="289"/>
      <c r="D44" s="289"/>
      <c r="E44" s="247">
        <f t="shared" si="0"/>
        <v>0</v>
      </c>
    </row>
    <row r="45" spans="2:5" ht="12.75">
      <c r="B45" t="s">
        <v>183</v>
      </c>
      <c r="C45" s="289"/>
      <c r="D45" s="289"/>
      <c r="E45" s="247">
        <f t="shared" si="0"/>
        <v>0</v>
      </c>
    </row>
    <row r="46" spans="1:5" ht="12.75">
      <c r="A46" s="64"/>
      <c r="B46" t="s">
        <v>183</v>
      </c>
      <c r="C46" s="289"/>
      <c r="D46" s="289"/>
      <c r="E46" s="274"/>
    </row>
    <row r="47" spans="1:5" ht="12.75">
      <c r="A47" s="423" t="s">
        <v>383</v>
      </c>
      <c r="B47" t="s">
        <v>185</v>
      </c>
      <c r="C47" s="247">
        <f>SUM(C19:C46)</f>
        <v>1522</v>
      </c>
      <c r="D47" s="247">
        <f>SUM(D19:D46)</f>
        <v>0</v>
      </c>
      <c r="E47" s="247">
        <f>SUM(E19:E46)</f>
        <v>1522</v>
      </c>
    </row>
    <row r="48" ht="12.75">
      <c r="A48" s="64"/>
    </row>
    <row r="49" ht="12.75">
      <c r="A49" s="77" t="s">
        <v>141</v>
      </c>
    </row>
    <row r="51" spans="1:5" ht="12.75">
      <c r="A51" s="68" t="s">
        <v>374</v>
      </c>
      <c r="B51" s="8" t="s">
        <v>184</v>
      </c>
      <c r="C51" s="289"/>
      <c r="D51" s="289"/>
      <c r="E51" s="247">
        <f aca="true" t="shared" si="1" ref="E51:E61">C51-D51</f>
        <v>0</v>
      </c>
    </row>
    <row r="52" spans="1:5" ht="12.75">
      <c r="A52" s="64" t="s">
        <v>405</v>
      </c>
      <c r="B52" s="8" t="s">
        <v>184</v>
      </c>
      <c r="C52" s="289"/>
      <c r="D52" s="289"/>
      <c r="E52" s="247">
        <f t="shared" si="1"/>
        <v>0</v>
      </c>
    </row>
    <row r="53" spans="1:5" ht="12.75">
      <c r="A53" t="s">
        <v>375</v>
      </c>
      <c r="B53" s="8" t="s">
        <v>184</v>
      </c>
      <c r="C53" s="289">
        <v>35851</v>
      </c>
      <c r="D53" s="289"/>
      <c r="E53" s="247">
        <f t="shared" si="1"/>
        <v>35851</v>
      </c>
    </row>
    <row r="54" spans="1:5" ht="12.75">
      <c r="A54" t="s">
        <v>389</v>
      </c>
      <c r="B54" s="8" t="s">
        <v>184</v>
      </c>
      <c r="C54" s="289"/>
      <c r="D54" s="289"/>
      <c r="E54" s="247">
        <f t="shared" si="1"/>
        <v>0</v>
      </c>
    </row>
    <row r="55" spans="1:5" ht="12.75">
      <c r="A55" s="64" t="s">
        <v>396</v>
      </c>
      <c r="B55" s="8" t="s">
        <v>184</v>
      </c>
      <c r="C55" s="289"/>
      <c r="D55" s="289"/>
      <c r="E55" s="247">
        <f t="shared" si="1"/>
        <v>0</v>
      </c>
    </row>
    <row r="56" spans="1:5" ht="12.75">
      <c r="A56" s="64" t="s">
        <v>408</v>
      </c>
      <c r="B56" s="8" t="s">
        <v>184</v>
      </c>
      <c r="C56" s="289"/>
      <c r="D56" s="289"/>
      <c r="E56" s="247">
        <f t="shared" si="1"/>
        <v>0</v>
      </c>
    </row>
    <row r="57" spans="1:5" ht="12.75">
      <c r="A57" s="2" t="s">
        <v>404</v>
      </c>
      <c r="B57" s="8" t="s">
        <v>184</v>
      </c>
      <c r="C57" s="289"/>
      <c r="D57" s="289"/>
      <c r="E57" s="247">
        <f t="shared" si="1"/>
        <v>0</v>
      </c>
    </row>
    <row r="58" spans="1:5" ht="12.75">
      <c r="A58" s="64" t="s">
        <v>407</v>
      </c>
      <c r="B58" s="8" t="s">
        <v>184</v>
      </c>
      <c r="C58" s="289"/>
      <c r="D58" s="289"/>
      <c r="E58" s="247">
        <f t="shared" si="1"/>
        <v>0</v>
      </c>
    </row>
    <row r="59" spans="1:5" ht="12.75">
      <c r="A59" s="64"/>
      <c r="B59" s="8" t="s">
        <v>184</v>
      </c>
      <c r="C59" s="289"/>
      <c r="D59" s="289"/>
      <c r="E59" s="247">
        <f t="shared" si="1"/>
        <v>0</v>
      </c>
    </row>
    <row r="60" spans="1:5" ht="12.75">
      <c r="A60" s="431" t="s">
        <v>380</v>
      </c>
      <c r="B60" s="8" t="s">
        <v>184</v>
      </c>
      <c r="C60" s="289"/>
      <c r="D60" s="289"/>
      <c r="E60" s="247">
        <f t="shared" si="1"/>
        <v>0</v>
      </c>
    </row>
    <row r="61" spans="2:5" ht="12.75">
      <c r="B61" s="8" t="s">
        <v>184</v>
      </c>
      <c r="C61" s="289"/>
      <c r="D61" s="289"/>
      <c r="E61" s="247">
        <f t="shared" si="1"/>
        <v>0</v>
      </c>
    </row>
    <row r="62" spans="1:5" ht="12.75">
      <c r="A62" s="431" t="s">
        <v>373</v>
      </c>
      <c r="B62" s="8" t="s">
        <v>184</v>
      </c>
      <c r="C62" s="289"/>
      <c r="D62" s="289"/>
      <c r="E62" s="247">
        <f aca="true" t="shared" si="2" ref="E62:E72">C62-D62</f>
        <v>0</v>
      </c>
    </row>
    <row r="63" spans="2:5" ht="12.75">
      <c r="B63" s="8" t="s">
        <v>184</v>
      </c>
      <c r="C63" s="289"/>
      <c r="D63" s="289"/>
      <c r="E63" s="247">
        <f t="shared" si="2"/>
        <v>0</v>
      </c>
    </row>
    <row r="64" spans="1:5" ht="12.75">
      <c r="A64" t="s">
        <v>445</v>
      </c>
      <c r="B64" s="8" t="s">
        <v>184</v>
      </c>
      <c r="C64" s="289"/>
      <c r="D64" s="289"/>
      <c r="E64" s="247">
        <f t="shared" si="2"/>
        <v>0</v>
      </c>
    </row>
    <row r="65" spans="2:5" ht="12.75">
      <c r="B65" s="8" t="s">
        <v>184</v>
      </c>
      <c r="C65" s="289"/>
      <c r="D65" s="289"/>
      <c r="E65" s="247">
        <f t="shared" si="2"/>
        <v>0</v>
      </c>
    </row>
    <row r="66" spans="2:5" ht="12.75">
      <c r="B66" s="8" t="s">
        <v>184</v>
      </c>
      <c r="C66" s="289"/>
      <c r="D66" s="289"/>
      <c r="E66" s="247">
        <f t="shared" si="2"/>
        <v>0</v>
      </c>
    </row>
    <row r="67" spans="1:5" ht="12.75">
      <c r="A67" s="64"/>
      <c r="B67" s="8" t="s">
        <v>184</v>
      </c>
      <c r="C67" s="289"/>
      <c r="D67" s="289"/>
      <c r="E67" s="247">
        <f t="shared" si="2"/>
        <v>0</v>
      </c>
    </row>
    <row r="68" spans="1:5" ht="12.75">
      <c r="A68" s="65" t="s">
        <v>200</v>
      </c>
      <c r="B68" s="8" t="s">
        <v>184</v>
      </c>
      <c r="C68" s="289"/>
      <c r="D68" s="289"/>
      <c r="E68" s="247">
        <f t="shared" si="2"/>
        <v>0</v>
      </c>
    </row>
    <row r="69" spans="1:5" ht="12.75">
      <c r="A69" s="64"/>
      <c r="B69" s="8" t="s">
        <v>184</v>
      </c>
      <c r="C69" s="289"/>
      <c r="D69" s="289"/>
      <c r="E69" s="247">
        <f t="shared" si="2"/>
        <v>0</v>
      </c>
    </row>
    <row r="70" spans="1:5" ht="12.75">
      <c r="A70" s="64"/>
      <c r="B70" s="8" t="s">
        <v>184</v>
      </c>
      <c r="C70" s="289"/>
      <c r="D70" s="289"/>
      <c r="E70" s="247">
        <f t="shared" si="2"/>
        <v>0</v>
      </c>
    </row>
    <row r="71" spans="1:5" ht="12.75">
      <c r="A71" s="64"/>
      <c r="B71" s="8" t="s">
        <v>184</v>
      </c>
      <c r="C71" s="289"/>
      <c r="D71" s="289"/>
      <c r="E71" s="247">
        <f t="shared" si="2"/>
        <v>0</v>
      </c>
    </row>
    <row r="72" spans="1:5" ht="12.75">
      <c r="A72" s="64"/>
      <c r="B72" s="8" t="s">
        <v>184</v>
      </c>
      <c r="C72" s="289"/>
      <c r="D72" s="289"/>
      <c r="E72" s="274">
        <f t="shared" si="2"/>
        <v>0</v>
      </c>
    </row>
    <row r="73" spans="1:5" ht="12.75">
      <c r="A73" s="422" t="s">
        <v>382</v>
      </c>
      <c r="B73" s="8" t="s">
        <v>185</v>
      </c>
      <c r="C73" s="247">
        <f>SUM(C51:C72)</f>
        <v>35851</v>
      </c>
      <c r="D73" s="247">
        <f>SUM(D51:D72)</f>
        <v>0</v>
      </c>
      <c r="E73" s="247">
        <f>SUM(E51:E72)</f>
        <v>35851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view="pageLayout" workbookViewId="0" topLeftCell="A25">
      <selection activeCell="A70" sqref="A7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421875" style="8" customWidth="1"/>
    <col min="4" max="4" width="11.28125" style="8" bestFit="1" customWidth="1"/>
    <col min="5" max="5" width="12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0" t="str">
        <f>REGINFO!A1</f>
        <v>PILs TAXES - EB-2008-381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103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302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Wasaga Distribution Inc.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2004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399" t="s">
        <v>331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67" t="s">
        <v>429</v>
      </c>
      <c r="B8" s="468"/>
      <c r="C8" s="468"/>
      <c r="D8" s="468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108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418</v>
      </c>
      <c r="B10" s="322"/>
      <c r="C10" s="371" t="s">
        <v>107</v>
      </c>
      <c r="D10" s="371"/>
      <c r="E10" s="371" t="s">
        <v>107</v>
      </c>
      <c r="F10" s="372" t="s">
        <v>430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112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295</v>
      </c>
      <c r="B13" s="398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294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299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255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105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106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109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326</v>
      </c>
      <c r="B21" s="395" t="s">
        <v>421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327</v>
      </c>
      <c r="B22" s="396" t="s">
        <v>422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1" t="s">
        <v>444</v>
      </c>
      <c r="B23" s="462"/>
      <c r="C23" s="462"/>
      <c r="D23" s="462"/>
      <c r="E23" s="462"/>
      <c r="F23" s="462"/>
      <c r="G23" s="417"/>
      <c r="H23" s="40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0"/>
      <c r="B24" s="401"/>
      <c r="C24" s="401"/>
      <c r="D24" s="401"/>
      <c r="E24" s="401"/>
      <c r="F24" s="401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399" t="s">
        <v>332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67" t="s">
        <v>440</v>
      </c>
      <c r="B26" s="468"/>
      <c r="C26" s="468"/>
      <c r="D26" s="468"/>
      <c r="E26" s="468"/>
      <c r="F26" s="468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108</v>
      </c>
      <c r="B27" s="321"/>
      <c r="C27" s="363">
        <v>0</v>
      </c>
      <c r="D27" s="363">
        <v>250001</v>
      </c>
      <c r="E27" s="363">
        <v>400001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392</v>
      </c>
      <c r="B28" s="322"/>
      <c r="C28" s="365" t="s">
        <v>107</v>
      </c>
      <c r="D28" s="365" t="s">
        <v>107</v>
      </c>
      <c r="E28" s="365" t="s">
        <v>107</v>
      </c>
      <c r="F28" s="366" t="s">
        <v>443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112</v>
      </c>
      <c r="C29" s="367">
        <v>250000</v>
      </c>
      <c r="D29" s="367">
        <v>400000</v>
      </c>
      <c r="E29" s="367">
        <v>1128000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111</v>
      </c>
      <c r="B31" s="398">
        <v>2004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294</v>
      </c>
      <c r="B32" s="398">
        <v>2004</v>
      </c>
      <c r="C32" s="323">
        <v>0.1312</v>
      </c>
      <c r="D32" s="323">
        <v>0.2212</v>
      </c>
      <c r="E32" s="324">
        <v>0.2212</v>
      </c>
      <c r="F32" s="324">
        <v>0.2212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29</v>
      </c>
      <c r="B33" s="398">
        <v>2004</v>
      </c>
      <c r="C33" s="325">
        <v>0.055</v>
      </c>
      <c r="D33" s="325">
        <v>0.055</v>
      </c>
      <c r="E33" s="326">
        <v>0.0975</v>
      </c>
      <c r="F33" s="326">
        <v>0.14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255</v>
      </c>
      <c r="B34" s="398">
        <v>2004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105</v>
      </c>
      <c r="B36" s="398">
        <v>2004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106</v>
      </c>
      <c r="B37" s="398">
        <v>2004</v>
      </c>
      <c r="C37" s="330">
        <v>0.002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109</v>
      </c>
      <c r="B38" s="398">
        <v>2004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441</v>
      </c>
      <c r="B39" s="395" t="s">
        <v>421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442</v>
      </c>
      <c r="B40" s="396" t="s">
        <v>439</v>
      </c>
      <c r="C40" s="358">
        <v>50000000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3" t="s">
        <v>329</v>
      </c>
      <c r="B41" s="462"/>
      <c r="C41" s="462"/>
      <c r="D41" s="462"/>
      <c r="E41" s="462"/>
      <c r="F41" s="462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4"/>
      <c r="B42" s="464"/>
      <c r="C42" s="464"/>
      <c r="D42" s="464"/>
      <c r="E42" s="464"/>
      <c r="F42" s="464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399" t="s">
        <v>333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7" t="s">
        <v>438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108</v>
      </c>
      <c r="B45" s="321"/>
      <c r="C45" s="363">
        <v>0</v>
      </c>
      <c r="D45" s="363">
        <v>250001</v>
      </c>
      <c r="E45" s="363">
        <v>400001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107</v>
      </c>
      <c r="D46" s="365" t="s">
        <v>107</v>
      </c>
      <c r="E46" s="365" t="s">
        <v>107</v>
      </c>
      <c r="F46" s="366" t="s">
        <v>443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112</v>
      </c>
      <c r="C47" s="367">
        <v>250000</v>
      </c>
      <c r="D47" s="367">
        <v>400000</v>
      </c>
      <c r="E47" s="367">
        <v>1128000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111</v>
      </c>
      <c r="B49" s="398">
        <v>2004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294</v>
      </c>
      <c r="B50" s="241"/>
      <c r="C50" s="347">
        <v>0.1312</v>
      </c>
      <c r="D50" s="347">
        <v>0.2212</v>
      </c>
      <c r="E50" s="348">
        <v>0</v>
      </c>
      <c r="F50" s="348">
        <v>0.2212</v>
      </c>
      <c r="G50" s="190"/>
      <c r="H50" s="454"/>
      <c r="I50" s="454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29</v>
      </c>
      <c r="B51" s="241"/>
      <c r="C51" s="349">
        <v>0.055</v>
      </c>
      <c r="D51" s="349">
        <v>0.055</v>
      </c>
      <c r="E51" s="350">
        <v>0.14</v>
      </c>
      <c r="F51" s="350">
        <v>0.14</v>
      </c>
      <c r="G51" s="190"/>
      <c r="H51" s="454"/>
      <c r="I51" s="454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255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0.14</v>
      </c>
      <c r="F52" s="328">
        <f>SUM(F50:F51)</f>
        <v>0.3612</v>
      </c>
      <c r="G52" s="190"/>
      <c r="H52" s="454"/>
      <c r="I52" s="454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105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106</v>
      </c>
      <c r="B55" s="234"/>
      <c r="C55" s="352">
        <v>0.002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109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343</v>
      </c>
      <c r="B57" s="395" t="s">
        <v>421</v>
      </c>
      <c r="C57" s="357">
        <v>3176075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344</v>
      </c>
      <c r="B58" s="396" t="s">
        <v>439</v>
      </c>
      <c r="C58" s="358">
        <v>45995000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1" t="s">
        <v>345</v>
      </c>
      <c r="B59" s="465"/>
      <c r="C59" s="465"/>
      <c r="D59" s="465"/>
      <c r="E59" s="465"/>
      <c r="F59" s="465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66"/>
      <c r="B60" s="466"/>
      <c r="C60" s="466"/>
      <c r="D60" s="466"/>
      <c r="E60" s="466"/>
      <c r="F60" s="466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horizontalDpi="600" verticalDpi="600" orientation="portrait" scale="83" r:id="rId1"/>
  <headerFooter alignWithMargins="0">
    <oddHeader>&amp;R&amp;9Wasaga Distribution Inc.
EB-2008-0381
Deferred PILs Combined Proceeding
Appendix 18</oddHeader>
    <oddFooter>&amp;L&amp;8June 30, 2012&amp;R&amp;"Arial,Bold"&amp;9&amp;A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Brandon Weiss</cp:lastModifiedBy>
  <cp:lastPrinted>2012-06-27T14:03:36Z</cp:lastPrinted>
  <dcterms:created xsi:type="dcterms:W3CDTF">2001-11-07T16:15:53Z</dcterms:created>
  <dcterms:modified xsi:type="dcterms:W3CDTF">2012-06-27T14:03:38Z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