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575" activeTab="1"/>
  </bookViews>
  <sheets>
    <sheet name="Cost Allocation to 2011" sheetId="1" r:id="rId1"/>
    <sheet name="Cost Allocaton - 2012" sheetId="2" r:id="rId2"/>
  </sheets>
  <externalReferences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<sst xmlns="http://schemas.openxmlformats.org/spreadsheetml/2006/main" count="45" uniqueCount="27">
  <si>
    <t>Calculated by Rate Class</t>
  </si>
  <si>
    <t>Total</t>
  </si>
  <si>
    <t>Residential</t>
  </si>
  <si>
    <t>GS &lt; 50</t>
  </si>
  <si>
    <t>Smart Meter Rate Adder Revenues</t>
  </si>
  <si>
    <t>Carrying Charge SMFA</t>
  </si>
  <si>
    <t>Smart Meter True-up</t>
  </si>
  <si>
    <t>Smart Meter Actual Cost Recovery Rate Rider - SMDR</t>
  </si>
  <si>
    <t>Smart Meter Actual Cost Recovery Rate Rider - SMIRR</t>
  </si>
  <si>
    <t xml:space="preserve">       Collingwood Average Smart Meter Unit Cost</t>
  </si>
  <si>
    <t xml:space="preserve">    Smart Meter Unit Base Purchase Cost</t>
  </si>
  <si>
    <t xml:space="preserve">    Allocation of Smart Meter UBP Costs</t>
  </si>
  <si>
    <t xml:space="preserve">    Number of meters installed and active to cust. base</t>
  </si>
  <si>
    <t xml:space="preserve">    Allocation of Number of meters installed &amp; active</t>
  </si>
  <si>
    <t xml:space="preserve">    OM&amp;A (use Installed Meter allocation %)</t>
  </si>
  <si>
    <t xml:space="preserve">    Amortization (use UBP allocation %)</t>
  </si>
  <si>
    <t xml:space="preserve">    Total Return (deemed interest plus ROE) use UBP %</t>
  </si>
  <si>
    <t xml:space="preserve">    Revenue Requirement before PILs (total of above $)</t>
  </si>
  <si>
    <t>Total Revenue Requirement for 2006 to 2011 to recover</t>
  </si>
  <si>
    <t>Active Metered Customers ( estimated for 2012 )</t>
  </si>
  <si>
    <t>Allocators for Unit Cost Per Class calc(color cell inputs)</t>
  </si>
  <si>
    <t xml:space="preserve">    Revenue Requirement Amortization and OM&amp;A</t>
  </si>
  <si>
    <t xml:space="preserve">    Carrying Charge Deferred Expenses ( based on RR Amort and OM&amp;A</t>
  </si>
  <si>
    <t xml:space="preserve">    PILs (based on RR before PILs)</t>
  </si>
  <si>
    <t>APPENDIX A</t>
  </si>
  <si>
    <t>APPENDIX B</t>
  </si>
  <si>
    <t>Rate Rider to Recover Smart Meter Costs Over 10 months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</si>
</sst>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-* #,##0.0_-;\-* #,##0.0_-;_-* &quot;-&quot;??_-;_-@_-"/>
    <numFmt numFmtId="174" formatCode="____@"/>
    <numFmt numFmtId="175" formatCode="________@"/>
    <numFmt numFmtId="176" formatCode="____________@"/>
    <numFmt numFmtId="177" formatCode="________________@"/>
    <numFmt numFmtId="178" formatCode="#,##0.00&quot; $&quot;;\-#,##0.00&quot; $&quot;"/>
    <numFmt numFmtId="179" formatCode="_-* #,##0.0_-;\-* #,##0.0_-;_-* &quot;-&quot;_-;_-@_-"/>
    <numFmt numFmtId="180" formatCode="_-* #,##0.00_-;\-* #,##0.00_-;_-* &quot;-&quot;_-;_-@_-"/>
    <numFmt numFmtId="181" formatCode="0.000000"/>
    <numFmt numFmtId="182" formatCode="&quot;$&quot;#,##0.00"/>
    <numFmt numFmtId="183" formatCode="_(* #,##0_);_(* \(#,##0\);_(* &quot;-&quot;??_);_(@_)"/>
    <numFmt numFmtId="184" formatCode="&quot;AMCD Vendor&quot;\ 0"/>
    <numFmt numFmtId="185" formatCode="&quot;AMRC Including WAN Costs Vendor&quot;\ 0"/>
    <numFmt numFmtId="186" formatCode="&quot;AMCC Vendor&quot;\ 0"/>
    <numFmt numFmtId="187" formatCode="&quot;AMI Miscellaneous (Including Labour For Daily Ops) Vendor&quot;\ 0"/>
    <numFmt numFmtId="188" formatCode="&quot;Smart Meter Installation Process Vendor&quot;\ 0"/>
    <numFmt numFmtId="189" formatCode="&quot;Adaptor Installation Vendor&quot;\ 0"/>
    <numFmt numFmtId="190" formatCode="&quot;Workforce Management System Vendor&quot;\ 0"/>
    <numFmt numFmtId="191" formatCode="&quot;Capturing of GPS Coordinates Vendor&quot;\ 0"/>
    <numFmt numFmtId="192" formatCode="&quot;Imaging of All Old Meters Vendor&quot;\ 0"/>
    <numFmt numFmtId="193" formatCode="&quot;Delivery of Customer Notification Package Vendor&quot;\ 0"/>
    <numFmt numFmtId="194" formatCode="&quot;Contingency at&quot;\ 0.0%"/>
    <numFmt numFmtId="195" formatCode="[$-409]mmmm\-yy;@"/>
    <numFmt numFmtId="196" formatCode="_-&quot;$&quot;* #,##0_-;\-&quot;$&quot;* #,##0_-;_-&quot;$&quot;* &quot;-&quot;??_-;_-@_-"/>
    <numFmt numFmtId="197" formatCode="[$-F800]dddd\,\ mmmm\ dd\,\ yyyy"/>
    <numFmt numFmtId="198" formatCode="_-* #,##0_-;\-* #,##0_-;_-* &quot;-&quot;??_-;_-@_-"/>
    <numFmt numFmtId="199" formatCode="0.0000"/>
    <numFmt numFmtId="200" formatCode="_(* #,##0.0000_);_(* \(#,##0.0000\);_(* &quot;-&quot;????_);_(@_)"/>
    <numFmt numFmtId="201" formatCode="0.0"/>
    <numFmt numFmtId="202" formatCode="_-* #,##0.0000_-;\-* #,##0.0000_-;_-* &quot;-&quot;_-;_-@_-"/>
    <numFmt numFmtId="203" formatCode="&quot;$&quot;#,##0;\(&quot;$&quot;#,##0\)"/>
    <numFmt numFmtId="204" formatCode="_-&quot;$&quot;* #,##0.000_-;\-&quot;$&quot;* #,##0.000_-;_-&quot;$&quot;* &quot;-&quot;??_-;_-@_-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u val="single"/>
      <sz val="10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0" fontId="0" fillId="8" borderId="1">
      <alignment horizontal="center" vertical="center"/>
      <protection/>
    </xf>
    <xf numFmtId="180" fontId="0" fillId="8" borderId="1">
      <alignment horizontal="center" vertical="center"/>
      <protection/>
    </xf>
    <xf numFmtId="180" fontId="0" fillId="8" borderId="1">
      <alignment horizontal="center" vertical="center"/>
      <protection/>
    </xf>
    <xf numFmtId="180" fontId="0" fillId="8" borderId="1">
      <alignment horizontal="center" vertical="center"/>
      <protection/>
    </xf>
    <xf numFmtId="0" fontId="3" fillId="3" borderId="0" applyNumberFormat="0" applyBorder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8" fillId="0" borderId="0">
      <alignment/>
      <protection locked="0"/>
    </xf>
    <xf numFmtId="0" fontId="9" fillId="0" borderId="0" applyNumberFormat="0" applyFill="0" applyBorder="0" applyAlignment="0" applyProtection="0"/>
    <xf numFmtId="173" fontId="0" fillId="0" borderId="0">
      <alignment/>
      <protection locked="0"/>
    </xf>
    <xf numFmtId="173" fontId="0" fillId="0" borderId="0">
      <alignment/>
      <protection locked="0"/>
    </xf>
    <xf numFmtId="173" fontId="0" fillId="0" borderId="0">
      <alignment/>
      <protection locked="0"/>
    </xf>
    <xf numFmtId="173" fontId="0" fillId="0" borderId="0">
      <alignment/>
      <protection locked="0"/>
    </xf>
    <xf numFmtId="0" fontId="37" fillId="0" borderId="0" applyNumberFormat="0" applyFill="0" applyBorder="0" applyAlignment="0" applyProtection="0"/>
    <xf numFmtId="0" fontId="10" fillId="4" borderId="0" applyNumberFormat="0" applyBorder="0" applyAlignment="0" applyProtection="0"/>
    <xf numFmtId="38" fontId="11" fillId="20" borderId="0" applyNumberFormat="0" applyBorder="0" applyAlignment="0" applyProtection="0"/>
    <xf numFmtId="38" fontId="11" fillId="20" borderId="0" applyNumberFormat="0" applyBorder="0" applyAlignment="0" applyProtection="0"/>
    <xf numFmtId="38" fontId="1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Alignment="0" applyProtection="0"/>
    <xf numFmtId="0" fontId="13" fillId="0" borderId="5">
      <alignment horizontal="left" vertical="center"/>
      <protection/>
    </xf>
    <xf numFmtId="17" fontId="14" fillId="0" borderId="0">
      <alignment horizont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20" fillId="0" borderId="0">
      <alignment/>
      <protection/>
    </xf>
    <xf numFmtId="175" fontId="20" fillId="0" borderId="0">
      <alignment/>
      <protection/>
    </xf>
    <xf numFmtId="176" fontId="20" fillId="0" borderId="0">
      <alignment/>
      <protection/>
    </xf>
    <xf numFmtId="177" fontId="20" fillId="0" borderId="0">
      <alignment/>
      <protection/>
    </xf>
    <xf numFmtId="0" fontId="21" fillId="7" borderId="2" applyNumberFormat="0" applyAlignment="0" applyProtection="0"/>
    <xf numFmtId="10" fontId="11" fillId="22" borderId="10" applyNumberFormat="0" applyBorder="0" applyAlignment="0" applyProtection="0"/>
    <xf numFmtId="10" fontId="11" fillId="22" borderId="10" applyNumberFormat="0" applyBorder="0" applyAlignment="0" applyProtection="0"/>
    <xf numFmtId="10" fontId="11" fillId="22" borderId="10" applyNumberFormat="0" applyBorder="0" applyAlignment="0" applyProtection="0"/>
    <xf numFmtId="0" fontId="22" fillId="0" borderId="11" applyNumberFormat="0" applyFill="0" applyAlignment="0" applyProtection="0"/>
    <xf numFmtId="0" fontId="23" fillId="23" borderId="0" applyNumberFormat="0" applyBorder="0" applyAlignment="0" applyProtection="0"/>
    <xf numFmtId="3" fontId="24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2" applyNumberFormat="0" applyFont="0" applyAlignment="0" applyProtection="0"/>
    <xf numFmtId="0" fontId="25" fillId="20" borderId="13" applyNumberFormat="0" applyAlignment="0" applyProtection="0"/>
    <xf numFmtId="9" fontId="0" fillId="0" borderId="0" applyFont="0" applyFill="0" applyBorder="0" applyAlignment="0" applyProtection="0"/>
    <xf numFmtId="172" fontId="6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178" fontId="0" fillId="0" borderId="15">
      <alignment/>
      <protection locked="0"/>
    </xf>
    <xf numFmtId="178" fontId="0" fillId="0" borderId="15">
      <alignment/>
      <protection locked="0"/>
    </xf>
    <xf numFmtId="178" fontId="0" fillId="0" borderId="15">
      <alignment/>
      <protection locked="0"/>
    </xf>
    <xf numFmtId="37" fontId="11" fillId="23" borderId="0" applyNumberFormat="0" applyBorder="0" applyAlignment="0" applyProtection="0"/>
    <xf numFmtId="37" fontId="11" fillId="23" borderId="0" applyNumberFormat="0" applyBorder="0" applyAlignment="0" applyProtection="0"/>
    <xf numFmtId="37" fontId="11" fillId="0" borderId="0">
      <alignment/>
      <protection/>
    </xf>
    <xf numFmtId="37" fontId="11" fillId="0" borderId="0">
      <alignment/>
      <protection/>
    </xf>
    <xf numFmtId="37" fontId="11" fillId="23" borderId="0" applyNumberFormat="0" applyBorder="0" applyAlignment="0" applyProtection="0"/>
    <xf numFmtId="3" fontId="29" fillId="0" borderId="9" applyProtection="0">
      <alignment/>
    </xf>
    <xf numFmtId="0" fontId="3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vertical="top"/>
    </xf>
    <xf numFmtId="0" fontId="33" fillId="0" borderId="16" xfId="127" applyFont="1" applyBorder="1">
      <alignment/>
      <protection/>
    </xf>
    <xf numFmtId="0" fontId="32" fillId="0" borderId="16" xfId="127" applyFont="1" applyBorder="1" applyAlignment="1">
      <alignment horizontal="center"/>
      <protection/>
    </xf>
    <xf numFmtId="0" fontId="32" fillId="0" borderId="10" xfId="127" applyFont="1" applyBorder="1">
      <alignment/>
      <protection/>
    </xf>
    <xf numFmtId="0" fontId="32" fillId="0" borderId="10" xfId="127" applyFont="1" applyBorder="1" applyAlignment="1">
      <alignment horizontal="center"/>
      <protection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170" fontId="32" fillId="0" borderId="10" xfId="59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indent="1"/>
    </xf>
    <xf numFmtId="196" fontId="32" fillId="0" borderId="10" xfId="0" applyNumberFormat="1" applyFont="1" applyFill="1" applyBorder="1" applyAlignment="1">
      <alignment/>
    </xf>
    <xf numFmtId="10" fontId="32" fillId="0" borderId="10" xfId="46" applyNumberFormat="1" applyFont="1" applyFill="1" applyBorder="1" applyAlignment="1">
      <alignment horizontal="right"/>
    </xf>
    <xf numFmtId="10" fontId="32" fillId="0" borderId="10" xfId="0" applyNumberFormat="1" applyFont="1" applyFill="1" applyBorder="1" applyAlignment="1">
      <alignment horizontal="right"/>
    </xf>
    <xf numFmtId="198" fontId="32" fillId="0" borderId="10" xfId="143" applyNumberFormat="1" applyFont="1" applyFill="1" applyBorder="1" applyAlignment="1">
      <alignment horizontal="center"/>
    </xf>
    <xf numFmtId="198" fontId="32" fillId="0" borderId="10" xfId="46" applyNumberFormat="1" applyFont="1" applyFill="1" applyBorder="1" applyAlignment="1">
      <alignment horizontal="center"/>
    </xf>
    <xf numFmtId="10" fontId="32" fillId="0" borderId="10" xfId="143" applyNumberFormat="1" applyFont="1" applyFill="1" applyBorder="1" applyAlignment="1">
      <alignment horizontal="right"/>
    </xf>
    <xf numFmtId="0" fontId="32" fillId="0" borderId="10" xfId="127" applyFont="1" applyFill="1" applyBorder="1">
      <alignment/>
      <protection/>
    </xf>
    <xf numFmtId="196" fontId="32" fillId="24" borderId="10" xfId="127" applyNumberFormat="1" applyFont="1" applyFill="1" applyBorder="1">
      <alignment/>
      <protection/>
    </xf>
    <xf numFmtId="196" fontId="32" fillId="0" borderId="10" xfId="127" applyNumberFormat="1" applyFont="1" applyFill="1" applyBorder="1">
      <alignment/>
      <protection/>
    </xf>
    <xf numFmtId="0" fontId="34" fillId="0" borderId="10" xfId="0" applyFont="1" applyFill="1" applyBorder="1" applyAlignment="1">
      <alignment/>
    </xf>
    <xf numFmtId="196" fontId="32" fillId="0" borderId="17" xfId="127" applyNumberFormat="1" applyFont="1" applyBorder="1">
      <alignment/>
      <protection/>
    </xf>
    <xf numFmtId="0" fontId="11" fillId="0" borderId="10" xfId="0" applyFont="1" applyFill="1" applyBorder="1" applyAlignment="1">
      <alignment/>
    </xf>
    <xf numFmtId="196" fontId="32" fillId="0" borderId="16" xfId="127" applyNumberFormat="1" applyFont="1" applyBorder="1">
      <alignment/>
      <protection/>
    </xf>
    <xf numFmtId="0" fontId="32" fillId="0" borderId="16" xfId="127" applyFont="1" applyBorder="1">
      <alignment/>
      <protection/>
    </xf>
    <xf numFmtId="198" fontId="32" fillId="0" borderId="10" xfId="154" applyNumberFormat="1" applyFont="1" applyFill="1" applyBorder="1" applyAlignment="1">
      <alignment horizontal="center"/>
    </xf>
    <xf numFmtId="0" fontId="32" fillId="0" borderId="18" xfId="127" applyFont="1" applyBorder="1">
      <alignment/>
      <protection/>
    </xf>
    <xf numFmtId="0" fontId="32" fillId="25" borderId="10" xfId="127" applyFont="1" applyFill="1" applyBorder="1">
      <alignment/>
      <protection/>
    </xf>
    <xf numFmtId="10" fontId="32" fillId="0" borderId="16" xfId="154" applyNumberFormat="1" applyFont="1" applyBorder="1" applyAlignment="1">
      <alignment/>
    </xf>
    <xf numFmtId="203" fontId="32" fillId="24" borderId="10" xfId="64" applyNumberFormat="1" applyFont="1" applyFill="1" applyBorder="1" applyAlignment="1">
      <alignment/>
    </xf>
    <xf numFmtId="203" fontId="32" fillId="0" borderId="10" xfId="64" applyNumberFormat="1" applyFont="1" applyFill="1" applyBorder="1" applyAlignment="1">
      <alignment/>
    </xf>
    <xf numFmtId="203" fontId="32" fillId="24" borderId="10" xfId="127" applyNumberFormat="1" applyFont="1" applyFill="1" applyBorder="1">
      <alignment/>
      <protection/>
    </xf>
    <xf numFmtId="170" fontId="32" fillId="0" borderId="17" xfId="64" applyNumberFormat="1" applyFont="1" applyBorder="1" applyAlignment="1">
      <alignment/>
    </xf>
    <xf numFmtId="196" fontId="32" fillId="0" borderId="19" xfId="64" applyNumberFormat="1" applyFont="1" applyFill="1" applyBorder="1" applyAlignment="1">
      <alignment/>
    </xf>
    <xf numFmtId="203" fontId="32" fillId="0" borderId="10" xfId="127" applyNumberFormat="1" applyFont="1" applyFill="1" applyBorder="1">
      <alignment/>
      <protection/>
    </xf>
    <xf numFmtId="0" fontId="35" fillId="0" borderId="0" xfId="0" applyFont="1" applyAlignment="1">
      <alignment horizontal="center"/>
    </xf>
    <xf numFmtId="170" fontId="32" fillId="25" borderId="17" xfId="64" applyNumberFormat="1" applyFont="1" applyFill="1" applyBorder="1" applyAlignment="1">
      <alignment/>
    </xf>
    <xf numFmtId="0" fontId="32" fillId="8" borderId="20" xfId="128" applyFont="1" applyFill="1" applyBorder="1" applyAlignment="1">
      <alignment horizontal="center"/>
      <protection/>
    </xf>
    <xf numFmtId="0" fontId="32" fillId="8" borderId="21" xfId="128" applyFont="1" applyFill="1" applyBorder="1" applyAlignment="1">
      <alignment horizontal="center"/>
      <protection/>
    </xf>
    <xf numFmtId="0" fontId="32" fillId="8" borderId="22" xfId="128" applyFont="1" applyFill="1" applyBorder="1" applyAlignment="1">
      <alignment horizontal="center"/>
      <protection/>
    </xf>
    <xf numFmtId="0" fontId="32" fillId="8" borderId="23" xfId="128" applyFont="1" applyFill="1" applyBorder="1" applyAlignment="1">
      <alignment horizontal="center"/>
      <protection/>
    </xf>
    <xf numFmtId="0" fontId="32" fillId="8" borderId="24" xfId="128" applyFont="1" applyFill="1" applyBorder="1" applyAlignment="1">
      <alignment horizontal="center"/>
      <protection/>
    </xf>
    <xf numFmtId="0" fontId="32" fillId="8" borderId="25" xfId="128" applyFont="1" applyFill="1" applyBorder="1" applyAlignment="1">
      <alignment horizontal="center"/>
      <protection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Actual Date 2" xfId="40"/>
    <cellStyle name="Actual Date 2 2" xfId="41"/>
    <cellStyle name="Actual Date_Parry Sound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omma 2 2 2" xfId="50"/>
    <cellStyle name="Comma 3" xfId="51"/>
    <cellStyle name="Comma 3 2" xfId="52"/>
    <cellStyle name="Comma 4" xfId="53"/>
    <cellStyle name="Comma 5" xfId="54"/>
    <cellStyle name="Comma 6" xfId="55"/>
    <cellStyle name="Comma0" xfId="56"/>
    <cellStyle name="Comma0 2" xfId="57"/>
    <cellStyle name="Comma0 2 2" xfId="58"/>
    <cellStyle name="Currency" xfId="59"/>
    <cellStyle name="Currency [0]" xfId="60"/>
    <cellStyle name="Currency 2" xfId="61"/>
    <cellStyle name="Currency 2 2" xfId="62"/>
    <cellStyle name="Currency 3" xfId="63"/>
    <cellStyle name="Currency 4" xfId="64"/>
    <cellStyle name="Currency0" xfId="65"/>
    <cellStyle name="Currency0 2" xfId="66"/>
    <cellStyle name="Currency0 2 2" xfId="67"/>
    <cellStyle name="Date" xfId="68"/>
    <cellStyle name="Explanatory Text" xfId="69"/>
    <cellStyle name="Fixed" xfId="70"/>
    <cellStyle name="Fixed 2" xfId="71"/>
    <cellStyle name="Fixed 2 2" xfId="72"/>
    <cellStyle name="Fixed_Parry Sound" xfId="73"/>
    <cellStyle name="Followed Hyperlink" xfId="74"/>
    <cellStyle name="Good" xfId="75"/>
    <cellStyle name="Grey" xfId="76"/>
    <cellStyle name="Grey 2" xfId="77"/>
    <cellStyle name="Grey_Parry Sound" xfId="78"/>
    <cellStyle name="HEADER" xfId="79"/>
    <cellStyle name="Header1" xfId="80"/>
    <cellStyle name="Header2" xfId="81"/>
    <cellStyle name="Heading" xfId="82"/>
    <cellStyle name="Heading 1" xfId="83"/>
    <cellStyle name="Heading 2" xfId="84"/>
    <cellStyle name="Heading 3" xfId="85"/>
    <cellStyle name="Heading 4" xfId="86"/>
    <cellStyle name="Heading1" xfId="87"/>
    <cellStyle name="Heading1 2" xfId="88"/>
    <cellStyle name="Heading1 2 2" xfId="89"/>
    <cellStyle name="Heading1_Parry Sound" xfId="90"/>
    <cellStyle name="Heading2" xfId="91"/>
    <cellStyle name="Heading2 2" xfId="92"/>
    <cellStyle name="Heading2 2 2" xfId="93"/>
    <cellStyle name="Heading2_Parry Sound" xfId="94"/>
    <cellStyle name="HIGHLIGHT" xfId="95"/>
    <cellStyle name="Hyperlink" xfId="96"/>
    <cellStyle name="Hyperlink 2" xfId="97"/>
    <cellStyle name="Hyperlink 3" xfId="98"/>
    <cellStyle name="Indent (1)" xfId="99"/>
    <cellStyle name="Indent (2)" xfId="100"/>
    <cellStyle name="Indent (3)" xfId="101"/>
    <cellStyle name="Indent (4)" xfId="102"/>
    <cellStyle name="Input" xfId="103"/>
    <cellStyle name="Input [yellow]" xfId="104"/>
    <cellStyle name="Input [yellow] 2" xfId="105"/>
    <cellStyle name="Input [yellow]_Parry Sound" xfId="106"/>
    <cellStyle name="Linked Cell" xfId="107"/>
    <cellStyle name="Neutral" xfId="108"/>
    <cellStyle name="no dec" xfId="109"/>
    <cellStyle name="Normal - Style1" xfId="110"/>
    <cellStyle name="Normal - Style1 2" xfId="111"/>
    <cellStyle name="Normal - Style1 2 2" xfId="112"/>
    <cellStyle name="Normal - Style1_Parry Sound" xfId="113"/>
    <cellStyle name="Normal 10" xfId="114"/>
    <cellStyle name="Normal 11" xfId="115"/>
    <cellStyle name="Normal 12" xfId="116"/>
    <cellStyle name="Normal 13" xfId="117"/>
    <cellStyle name="Normal 14" xfId="118"/>
    <cellStyle name="Normal 15" xfId="119"/>
    <cellStyle name="Normal 16" xfId="120"/>
    <cellStyle name="Normal 17" xfId="121"/>
    <cellStyle name="Normal 18" xfId="122"/>
    <cellStyle name="Normal 19" xfId="123"/>
    <cellStyle name="Normal 2" xfId="124"/>
    <cellStyle name="Normal 2 2" xfId="125"/>
    <cellStyle name="Normal 20" xfId="126"/>
    <cellStyle name="Normal 21" xfId="127"/>
    <cellStyle name="Normal 22" xfId="128"/>
    <cellStyle name="Normal 3" xfId="129"/>
    <cellStyle name="Normal 3 2" xfId="130"/>
    <cellStyle name="Normal 4" xfId="131"/>
    <cellStyle name="Normal 4 2" xfId="132"/>
    <cellStyle name="Normal 5" xfId="133"/>
    <cellStyle name="Normal 5 2" xfId="134"/>
    <cellStyle name="Normal 6" xfId="135"/>
    <cellStyle name="Normal 6 2" xfId="136"/>
    <cellStyle name="Normal 7" xfId="137"/>
    <cellStyle name="Normal 7 2" xfId="138"/>
    <cellStyle name="Normal 8" xfId="139"/>
    <cellStyle name="Normal 9" xfId="140"/>
    <cellStyle name="Note" xfId="141"/>
    <cellStyle name="Output" xfId="142"/>
    <cellStyle name="Percent" xfId="143"/>
    <cellStyle name="Percent (1)" xfId="144"/>
    <cellStyle name="Percent [2]" xfId="145"/>
    <cellStyle name="Percent [2] 2" xfId="146"/>
    <cellStyle name="Percent [2] 2 2" xfId="147"/>
    <cellStyle name="Percent 10" xfId="148"/>
    <cellStyle name="Percent 11" xfId="149"/>
    <cellStyle name="Percent 12" xfId="150"/>
    <cellStyle name="Percent 13" xfId="151"/>
    <cellStyle name="Percent 14" xfId="152"/>
    <cellStyle name="Percent 15" xfId="153"/>
    <cellStyle name="Percent 16" xfId="154"/>
    <cellStyle name="Percent 17" xfId="155"/>
    <cellStyle name="Percent 2" xfId="156"/>
    <cellStyle name="Percent 2 2" xfId="157"/>
    <cellStyle name="Percent 2 3" xfId="158"/>
    <cellStyle name="Percent 2 4" xfId="159"/>
    <cellStyle name="Percent 3" xfId="160"/>
    <cellStyle name="Percent 3 2" xfId="161"/>
    <cellStyle name="Percent 4" xfId="162"/>
    <cellStyle name="Percent 4 2" xfId="163"/>
    <cellStyle name="Percent 5" xfId="164"/>
    <cellStyle name="Percent 5 2" xfId="165"/>
    <cellStyle name="Percent 6" xfId="166"/>
    <cellStyle name="Percent 6 2" xfId="167"/>
    <cellStyle name="Percent 7" xfId="168"/>
    <cellStyle name="Percent 8" xfId="169"/>
    <cellStyle name="Percent 9" xfId="170"/>
    <cellStyle name="PSChar" xfId="171"/>
    <cellStyle name="Style 1" xfId="172"/>
    <cellStyle name="Style 1 2" xfId="173"/>
    <cellStyle name="Style 1 2 2" xfId="174"/>
    <cellStyle name="Title" xfId="175"/>
    <cellStyle name="Total" xfId="176"/>
    <cellStyle name="Total 2" xfId="177"/>
    <cellStyle name="Total 3" xfId="178"/>
    <cellStyle name="Total 3 2" xfId="179"/>
    <cellStyle name="Unprot" xfId="180"/>
    <cellStyle name="Unprot 2" xfId="181"/>
    <cellStyle name="Unprot$" xfId="182"/>
    <cellStyle name="Unprot$ 2" xfId="183"/>
    <cellStyle name="Unprot_BH_InstallationRFP_PricingSheet_DATE" xfId="184"/>
    <cellStyle name="Unprotect" xfId="185"/>
    <cellStyle name="Warning Text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fryer\AppData\Local\Microsoft\Windows\Temporary%20Internet%20Files\Content.IE5\W0QKY9DU\COLLUS%20Power_SMRR%20App%20Upd%202_OEBV2%2017_062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</sheetNames>
    <sheetDataSet>
      <sheetData sheetId="4">
        <row r="47">
          <cell r="K47">
            <v>19585.32312855</v>
          </cell>
          <cell r="M47">
            <v>85192.76301092833</v>
          </cell>
          <cell r="O47">
            <v>140343.48499906668</v>
          </cell>
          <cell r="Q47">
            <v>150037.66515186668</v>
          </cell>
          <cell r="S47">
            <v>146442.32847386668</v>
          </cell>
        </row>
        <row r="50">
          <cell r="Q50">
            <v>108201</v>
          </cell>
          <cell r="S50">
            <v>282000</v>
          </cell>
        </row>
        <row r="58">
          <cell r="K58">
            <v>17864.433333333334</v>
          </cell>
          <cell r="M58">
            <v>88275.1</v>
          </cell>
          <cell r="O58">
            <v>157226.06666666665</v>
          </cell>
          <cell r="Q58">
            <v>184764.8333333333</v>
          </cell>
          <cell r="S58">
            <v>195898.86666666667</v>
          </cell>
        </row>
        <row r="68">
          <cell r="K68">
            <v>3877.819748373431</v>
          </cell>
          <cell r="M68">
            <v>6677.539199010904</v>
          </cell>
          <cell r="O68">
            <v>2987.353865433517</v>
          </cell>
          <cell r="Q68">
            <v>7046.001933293346</v>
          </cell>
          <cell r="S68">
            <v>16781.13312609061</v>
          </cell>
        </row>
      </sheetData>
      <sheetData sheetId="10">
        <row r="32">
          <cell r="U32">
            <v>7582.425668819444</v>
          </cell>
        </row>
        <row r="40">
          <cell r="U40">
            <v>1029617</v>
          </cell>
        </row>
        <row r="42">
          <cell r="U42">
            <v>25173.78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31"/>
  <sheetViews>
    <sheetView zoomScalePageLayoutView="0" workbookViewId="0" topLeftCell="A7">
      <selection activeCell="E31" sqref="E31"/>
    </sheetView>
  </sheetViews>
  <sheetFormatPr defaultColWidth="9.140625" defaultRowHeight="12.75"/>
  <cols>
    <col min="1" max="2" width="9.140625" style="1" customWidth="1"/>
    <col min="3" max="3" width="56.00390625" style="1" customWidth="1"/>
    <col min="4" max="4" width="13.8515625" style="1" customWidth="1"/>
    <col min="5" max="5" width="12.57421875" style="1" customWidth="1"/>
    <col min="6" max="6" width="12.7109375" style="1" customWidth="1"/>
    <col min="7" max="16384" width="9.140625" style="1" customWidth="1"/>
  </cols>
  <sheetData>
    <row r="2" ht="23.25">
      <c r="C2" s="35" t="s">
        <v>24</v>
      </c>
    </row>
    <row r="3" ht="15" thickBot="1"/>
    <row r="4" spans="3:6" ht="15" thickTop="1">
      <c r="C4" s="37" t="s">
        <v>7</v>
      </c>
      <c r="D4" s="38"/>
      <c r="E4" s="38"/>
      <c r="F4" s="39"/>
    </row>
    <row r="5" spans="3:6" ht="15" thickBot="1">
      <c r="C5" s="40" t="s">
        <v>0</v>
      </c>
      <c r="D5" s="41"/>
      <c r="E5" s="41"/>
      <c r="F5" s="42"/>
    </row>
    <row r="6" spans="3:6" ht="14.25">
      <c r="C6" s="3"/>
      <c r="D6" s="4" t="s">
        <v>1</v>
      </c>
      <c r="E6" s="4" t="s">
        <v>2</v>
      </c>
      <c r="F6" s="4" t="s">
        <v>3</v>
      </c>
    </row>
    <row r="7" spans="3:6" ht="14.25">
      <c r="C7" s="5" t="s">
        <v>20</v>
      </c>
      <c r="D7" s="6"/>
      <c r="E7" s="6"/>
      <c r="F7" s="6"/>
    </row>
    <row r="8" spans="3:6" ht="14.25">
      <c r="C8" s="7" t="s">
        <v>9</v>
      </c>
      <c r="D8" s="8"/>
      <c r="E8" s="9">
        <v>75.48</v>
      </c>
      <c r="F8" s="9">
        <v>232.05</v>
      </c>
    </row>
    <row r="9" spans="3:6" ht="14.25">
      <c r="C9" s="10" t="s">
        <v>10</v>
      </c>
      <c r="D9" s="11">
        <f>F9+E9</f>
        <v>1460534.9400000002</v>
      </c>
      <c r="E9" s="11">
        <f>E8*E11</f>
        <v>1051662.84</v>
      </c>
      <c r="F9" s="11">
        <f>F8*F11</f>
        <v>408872.10000000003</v>
      </c>
    </row>
    <row r="10" spans="3:6" ht="14.25">
      <c r="C10" s="10" t="s">
        <v>11</v>
      </c>
      <c r="D10" s="12">
        <f>SUM(E10:F10)</f>
        <v>1</v>
      </c>
      <c r="E10" s="13">
        <f>E9/D9</f>
        <v>0.7200531881832283</v>
      </c>
      <c r="F10" s="13">
        <f>F9/D9</f>
        <v>0.2799468118167717</v>
      </c>
    </row>
    <row r="11" spans="3:6" ht="14.25">
      <c r="C11" s="10" t="s">
        <v>12</v>
      </c>
      <c r="D11" s="14">
        <v>15695</v>
      </c>
      <c r="E11" s="15">
        <v>13933</v>
      </c>
      <c r="F11" s="15">
        <f>D11-E11</f>
        <v>1762</v>
      </c>
    </row>
    <row r="12" spans="3:6" s="2" customFormat="1" ht="14.25">
      <c r="C12" s="10" t="s">
        <v>13</v>
      </c>
      <c r="D12" s="16">
        <f>SUM(E12:F12)</f>
        <v>1</v>
      </c>
      <c r="E12" s="16">
        <f>E11/D11</f>
        <v>0.887734947435489</v>
      </c>
      <c r="F12" s="16">
        <f>F11/D11</f>
        <v>0.112265052564511</v>
      </c>
    </row>
    <row r="13" spans="3:6" ht="14.25">
      <c r="C13" s="17"/>
      <c r="D13" s="5"/>
      <c r="E13" s="5"/>
      <c r="F13" s="5"/>
    </row>
    <row r="14" spans="3:6" ht="14.25">
      <c r="C14" s="17" t="s">
        <v>16</v>
      </c>
      <c r="D14" s="18">
        <f>SUM('[1]5. SM_Rev_Reqt'!$K$47:$Q$47)</f>
        <v>395159.2362904117</v>
      </c>
      <c r="E14" s="19">
        <f>D14*E10</f>
        <v>284535.66793096054</v>
      </c>
      <c r="F14" s="19">
        <f>D14*F10</f>
        <v>110623.5683594511</v>
      </c>
    </row>
    <row r="15" spans="3:6" ht="14.25">
      <c r="C15" s="17" t="s">
        <v>15</v>
      </c>
      <c r="D15" s="18">
        <f>SUM('[1]5. SM_Rev_Reqt'!$K$58:$Q$58)</f>
        <v>448130.4333333333</v>
      </c>
      <c r="E15" s="19">
        <f>D15*E10</f>
        <v>322677.7472435983</v>
      </c>
      <c r="F15" s="19">
        <f>D15*F10</f>
        <v>125452.68608973503</v>
      </c>
    </row>
    <row r="16" spans="3:6" ht="14.25">
      <c r="C16" s="17" t="s">
        <v>14</v>
      </c>
      <c r="D16" s="18">
        <f>SUM('[1]5. SM_Rev_Reqt'!$Q$50)</f>
        <v>108201</v>
      </c>
      <c r="E16" s="19">
        <f>D16*E12</f>
        <v>96053.80904746734</v>
      </c>
      <c r="F16" s="19">
        <f>D16*F12</f>
        <v>12147.190952532654</v>
      </c>
    </row>
    <row r="17" spans="3:6" ht="14.25">
      <c r="C17" s="17" t="s">
        <v>21</v>
      </c>
      <c r="D17" s="19">
        <f>SUM(D15:D16)</f>
        <v>556331.4333333333</v>
      </c>
      <c r="E17" s="19">
        <f>SUM(E15:E16)</f>
        <v>418731.55629106564</v>
      </c>
      <c r="F17" s="19">
        <f>SUM(F15:F16)</f>
        <v>137599.87704226768</v>
      </c>
    </row>
    <row r="18" spans="3:6" ht="14.25">
      <c r="C18" s="17" t="s">
        <v>17</v>
      </c>
      <c r="D18" s="19">
        <f>SUM(D14:D16)</f>
        <v>951490.6696237449</v>
      </c>
      <c r="E18" s="19">
        <f>SUM(E14:E16)</f>
        <v>703267.2242220261</v>
      </c>
      <c r="F18" s="19">
        <f>SUM(F14:F16)</f>
        <v>248223.4454017188</v>
      </c>
    </row>
    <row r="19" spans="3:6" ht="14.25">
      <c r="C19" s="17" t="s">
        <v>23</v>
      </c>
      <c r="D19" s="18">
        <f>SUM('[1]5. SM_Rev_Reqt'!$K$68:$R$68)</f>
        <v>20588.714746111196</v>
      </c>
      <c r="E19" s="19">
        <f>D19*E18/D18</f>
        <v>15217.562013006815</v>
      </c>
      <c r="F19" s="19">
        <f>D19*F18/D18</f>
        <v>5371.152733104382</v>
      </c>
    </row>
    <row r="20" spans="3:6" ht="15" thickBot="1">
      <c r="C20" s="17" t="s">
        <v>22</v>
      </c>
      <c r="D20" s="31">
        <f>SUM('[1]9. SMFA_SMDR_SMIRR'!$U$32)</f>
        <v>7582.425668819444</v>
      </c>
      <c r="E20" s="30">
        <f>E17/D17*D20</f>
        <v>5707.031295612135</v>
      </c>
      <c r="F20" s="30">
        <f>F17/D17*D20</f>
        <v>1875.3943732073074</v>
      </c>
    </row>
    <row r="21" spans="3:6" ht="15.75" thickBot="1" thickTop="1">
      <c r="C21" s="20" t="s">
        <v>18</v>
      </c>
      <c r="D21" s="21">
        <f>D18+D19+D20</f>
        <v>979661.8100386756</v>
      </c>
      <c r="E21" s="21">
        <f>E18+E19+E20</f>
        <v>724191.8175306449</v>
      </c>
      <c r="F21" s="21">
        <f>F18+F19+F20</f>
        <v>255469.9925080305</v>
      </c>
    </row>
    <row r="22" spans="3:6" ht="15" thickTop="1">
      <c r="C22" s="17"/>
      <c r="D22" s="23"/>
      <c r="E22" s="24"/>
      <c r="F22" s="24"/>
    </row>
    <row r="23" spans="3:6" ht="14.25">
      <c r="C23" s="17"/>
      <c r="D23" s="28"/>
      <c r="E23" s="28"/>
      <c r="F23" s="28"/>
    </row>
    <row r="24" spans="3:7" ht="14.25">
      <c r="C24" s="17" t="s">
        <v>4</v>
      </c>
      <c r="D24" s="29">
        <f>-'[1]9. SMFA_SMDR_SMIRR'!$U$40</f>
        <v>-1029617</v>
      </c>
      <c r="E24" s="30"/>
      <c r="F24" s="30"/>
      <c r="G24"/>
    </row>
    <row r="25" spans="3:6" ht="14.25">
      <c r="C25" s="17" t="s">
        <v>5</v>
      </c>
      <c r="D25" s="31">
        <f>-'[1]9. SMFA_SMDR_SMIRR'!$U$42</f>
        <v>-25173.78</v>
      </c>
      <c r="E25" s="30"/>
      <c r="F25" s="30"/>
    </row>
    <row r="26" spans="3:6" ht="14.25">
      <c r="C26" s="5"/>
      <c r="D26" s="34">
        <f>SUM(D24:D25)</f>
        <v>-1054790.78</v>
      </c>
      <c r="E26" s="30">
        <f>-(932000+(E11/D11)*8000)</f>
        <v>-939101.8795794839</v>
      </c>
      <c r="F26" s="30">
        <f>D26-E26</f>
        <v>-115688.90042051615</v>
      </c>
    </row>
    <row r="27" spans="3:6" ht="15" thickBot="1">
      <c r="C27" s="5" t="s">
        <v>6</v>
      </c>
      <c r="D27" s="33">
        <f>D21+D26</f>
        <v>-75128.96996132447</v>
      </c>
      <c r="E27" s="33">
        <f>E21+E26</f>
        <v>-214910.06204883894</v>
      </c>
      <c r="F27" s="33">
        <f>F21+F26</f>
        <v>139781.09208751435</v>
      </c>
    </row>
    <row r="28" spans="3:6" ht="15" thickTop="1">
      <c r="C28" s="5"/>
      <c r="D28" s="24"/>
      <c r="E28" s="24"/>
      <c r="F28" s="24"/>
    </row>
    <row r="29" spans="3:6" ht="14.25">
      <c r="C29" s="17" t="s">
        <v>19</v>
      </c>
      <c r="D29" s="25">
        <v>16000</v>
      </c>
      <c r="E29" s="25">
        <f>E12*D29</f>
        <v>14203.759158967823</v>
      </c>
      <c r="F29" s="25">
        <f>F12*D29</f>
        <v>1796.240841032176</v>
      </c>
    </row>
    <row r="30" spans="3:6" ht="15" thickBot="1">
      <c r="C30" s="5"/>
      <c r="D30" s="26"/>
      <c r="E30" s="26"/>
      <c r="F30" s="26"/>
    </row>
    <row r="31" spans="3:6" ht="15.75" thickBot="1" thickTop="1">
      <c r="C31" s="27" t="s">
        <v>26</v>
      </c>
      <c r="D31" s="32">
        <f>D27/D29/10</f>
        <v>-0.46955606225827795</v>
      </c>
      <c r="E31" s="36">
        <f>E27/E29/10</f>
        <v>-1.5130505920550703</v>
      </c>
      <c r="F31" s="36">
        <f>F27/F29/10</f>
        <v>7.781868048785251</v>
      </c>
    </row>
  </sheetData>
  <sheetProtection/>
  <mergeCells count="2">
    <mergeCell ref="C4:F4"/>
    <mergeCell ref="C5:F5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23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2" width="9.140625" style="1" customWidth="1"/>
    <col min="3" max="3" width="47.7109375" style="1" customWidth="1"/>
    <col min="4" max="4" width="12.140625" style="1" customWidth="1"/>
    <col min="5" max="5" width="11.140625" style="1" customWidth="1"/>
    <col min="6" max="6" width="11.421875" style="1" customWidth="1"/>
    <col min="7" max="16384" width="9.140625" style="1" customWidth="1"/>
  </cols>
  <sheetData>
    <row r="2" ht="23.25">
      <c r="C2" s="35" t="s">
        <v>25</v>
      </c>
    </row>
    <row r="3" ht="15" thickBot="1"/>
    <row r="4" spans="3:6" ht="15" thickTop="1">
      <c r="C4" s="37" t="s">
        <v>8</v>
      </c>
      <c r="D4" s="38"/>
      <c r="E4" s="38"/>
      <c r="F4" s="39"/>
    </row>
    <row r="5" spans="3:6" ht="15" thickBot="1">
      <c r="C5" s="40" t="s">
        <v>0</v>
      </c>
      <c r="D5" s="41"/>
      <c r="E5" s="41"/>
      <c r="F5" s="42"/>
    </row>
    <row r="6" spans="3:6" ht="14.25">
      <c r="C6" s="3"/>
      <c r="D6" s="4" t="s">
        <v>1</v>
      </c>
      <c r="E6" s="4" t="s">
        <v>2</v>
      </c>
      <c r="F6" s="4" t="s">
        <v>3</v>
      </c>
    </row>
    <row r="7" spans="3:6" ht="14.25">
      <c r="C7" s="5" t="s">
        <v>20</v>
      </c>
      <c r="D7" s="6"/>
      <c r="E7" s="6"/>
      <c r="F7" s="6"/>
    </row>
    <row r="8" spans="3:6" ht="14.25">
      <c r="C8" s="7" t="s">
        <v>9</v>
      </c>
      <c r="D8" s="8"/>
      <c r="E8" s="9">
        <v>75.48</v>
      </c>
      <c r="F8" s="9">
        <v>232.05</v>
      </c>
    </row>
    <row r="9" spans="3:6" ht="14.25">
      <c r="C9" s="10" t="s">
        <v>10</v>
      </c>
      <c r="D9" s="11">
        <f>F9+E9</f>
        <v>1460534.9400000002</v>
      </c>
      <c r="E9" s="11">
        <f>E8*E11</f>
        <v>1051662.84</v>
      </c>
      <c r="F9" s="11">
        <f>F8*F11</f>
        <v>408872.10000000003</v>
      </c>
    </row>
    <row r="10" spans="3:6" ht="14.25">
      <c r="C10" s="10" t="s">
        <v>11</v>
      </c>
      <c r="D10" s="12">
        <f>SUM(E10:F10)</f>
        <v>1</v>
      </c>
      <c r="E10" s="13">
        <f>E9/D9</f>
        <v>0.7200531881832283</v>
      </c>
      <c r="F10" s="13">
        <f>F9/D9</f>
        <v>0.2799468118167717</v>
      </c>
    </row>
    <row r="11" spans="3:6" ht="14.25">
      <c r="C11" s="10" t="s">
        <v>12</v>
      </c>
      <c r="D11" s="14">
        <v>15695</v>
      </c>
      <c r="E11" s="15">
        <v>13933</v>
      </c>
      <c r="F11" s="15">
        <f>D11-E11</f>
        <v>1762</v>
      </c>
    </row>
    <row r="12" spans="3:6" s="2" customFormat="1" ht="14.25">
      <c r="C12" s="10" t="s">
        <v>13</v>
      </c>
      <c r="D12" s="16">
        <f>SUM(E12:F12)</f>
        <v>1</v>
      </c>
      <c r="E12" s="16">
        <f>E11/D11</f>
        <v>0.887734947435489</v>
      </c>
      <c r="F12" s="16">
        <f>F11/D11</f>
        <v>0.112265052564511</v>
      </c>
    </row>
    <row r="13" spans="3:6" ht="14.25">
      <c r="C13" s="17"/>
      <c r="D13" s="17"/>
      <c r="E13" s="17"/>
      <c r="F13" s="17"/>
    </row>
    <row r="14" spans="3:6" ht="14.25">
      <c r="C14" s="17" t="s">
        <v>16</v>
      </c>
      <c r="D14" s="18">
        <f>'[1]5. SM_Rev_Reqt'!$S$47</f>
        <v>146442.32847386668</v>
      </c>
      <c r="E14" s="19">
        <f>D14*E10</f>
        <v>105446.26550258325</v>
      </c>
      <c r="F14" s="19">
        <f>D14*F10</f>
        <v>40996.06297128343</v>
      </c>
    </row>
    <row r="15" spans="3:6" ht="14.25">
      <c r="C15" s="17" t="s">
        <v>15</v>
      </c>
      <c r="D15" s="18">
        <f>'[1]5. SM_Rev_Reqt'!$S$58</f>
        <v>195898.86666666667</v>
      </c>
      <c r="E15" s="19">
        <f>D15*E10</f>
        <v>141057.60350481447</v>
      </c>
      <c r="F15" s="19">
        <f>D15*F10</f>
        <v>54841.26316185219</v>
      </c>
    </row>
    <row r="16" spans="3:6" ht="14.25">
      <c r="C16" s="17" t="s">
        <v>14</v>
      </c>
      <c r="D16" s="18">
        <f>'[1]5. SM_Rev_Reqt'!$S$50</f>
        <v>282000</v>
      </c>
      <c r="E16" s="19">
        <f>D16*E12</f>
        <v>250341.2551768079</v>
      </c>
      <c r="F16" s="19">
        <f>D16*F12</f>
        <v>31658.7448231921</v>
      </c>
    </row>
    <row r="17" spans="3:6" ht="14.25">
      <c r="C17" s="17" t="s">
        <v>17</v>
      </c>
      <c r="D17" s="19">
        <f>SUM(D14:D16)</f>
        <v>624341.1951405334</v>
      </c>
      <c r="E17" s="19">
        <f>SUM(E14:E16)</f>
        <v>496845.12418420566</v>
      </c>
      <c r="F17" s="19">
        <f>SUM(F14:F16)</f>
        <v>127496.07095632772</v>
      </c>
    </row>
    <row r="18" spans="3:6" ht="15" thickBot="1">
      <c r="C18" s="17" t="s">
        <v>23</v>
      </c>
      <c r="D18" s="18">
        <f>'[1]5. SM_Rev_Reqt'!$S$68</f>
        <v>16781.13312609061</v>
      </c>
      <c r="E18" s="19">
        <f>D18*E17/D17</f>
        <v>13354.275253465305</v>
      </c>
      <c r="F18" s="19">
        <f>D18*F17/D17</f>
        <v>3426.8578726253077</v>
      </c>
    </row>
    <row r="19" spans="3:6" ht="15.75" thickBot="1" thickTop="1">
      <c r="C19" s="20" t="s">
        <v>18</v>
      </c>
      <c r="D19" s="21">
        <f>D17+D18</f>
        <v>641122.328266624</v>
      </c>
      <c r="E19" s="21">
        <f>E17+E18</f>
        <v>510199.39943767095</v>
      </c>
      <c r="F19" s="21">
        <f>F17+F18</f>
        <v>130922.92882895302</v>
      </c>
    </row>
    <row r="20" spans="3:6" ht="15" thickTop="1">
      <c r="C20" s="22"/>
      <c r="D20" s="23"/>
      <c r="E20" s="24"/>
      <c r="F20" s="24"/>
    </row>
    <row r="21" spans="3:6" ht="14.25">
      <c r="C21" s="17" t="s">
        <v>19</v>
      </c>
      <c r="D21" s="25">
        <v>16000</v>
      </c>
      <c r="E21" s="25">
        <f>E12*D21</f>
        <v>14203.759158967823</v>
      </c>
      <c r="F21" s="25">
        <f>F12*D21</f>
        <v>1796.240841032176</v>
      </c>
    </row>
    <row r="22" spans="3:6" ht="15" thickBot="1">
      <c r="C22" s="5"/>
      <c r="D22" s="26"/>
      <c r="E22" s="26"/>
      <c r="F22" s="26"/>
    </row>
    <row r="23" spans="3:6" ht="15.75" thickBot="1" thickTop="1">
      <c r="C23" s="27" t="s">
        <v>26</v>
      </c>
      <c r="D23" s="32">
        <f>D19/D21/10</f>
        <v>4.0070145516663995</v>
      </c>
      <c r="E23" s="36">
        <f>E19/E21/10</f>
        <v>3.5920026080951004</v>
      </c>
      <c r="F23" s="36">
        <f>F19/F21/10</f>
        <v>7.288717962437633</v>
      </c>
    </row>
    <row r="24" ht="15" thickTop="1"/>
  </sheetData>
  <sheetProtection/>
  <mergeCells count="2">
    <mergeCell ref="C4:F4"/>
    <mergeCell ref="C5:F5"/>
  </mergeCells>
  <printOptions horizontalCentered="1" verticalCentered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Borden Ladner Gervais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bbacon</dc:creator>
  <cp:keywords/>
  <dc:description/>
  <cp:lastModifiedBy>tfryer</cp:lastModifiedBy>
  <cp:lastPrinted>2012-04-25T18:42:30Z</cp:lastPrinted>
  <dcterms:created xsi:type="dcterms:W3CDTF">2011-12-22T18:24:07Z</dcterms:created>
  <dcterms:modified xsi:type="dcterms:W3CDTF">2012-06-23T11:33:47Z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