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9810" activeTab="0"/>
  </bookViews>
  <sheets>
    <sheet name="SMDR" sheetId="1" r:id="rId1"/>
  </sheets>
  <externalReferences>
    <externalReference r:id="rId4"/>
    <externalReference r:id="rId5"/>
  </externalReferences>
  <definedNames>
    <definedName name="_xlnm.Print_Area" localSheetId="0">'SMDR'!$D$1:$H$32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<sst xmlns="http://schemas.openxmlformats.org/spreadsheetml/2006/main" count="29" uniqueCount="26">
  <si>
    <t>Total</t>
  </si>
  <si>
    <t>Residential</t>
  </si>
  <si>
    <t>GS &lt; 50</t>
  </si>
  <si>
    <t>Smart Meter True-up</t>
  </si>
  <si>
    <t>Metered Customers</t>
  </si>
  <si>
    <t>Calculated by Rate Class</t>
  </si>
  <si>
    <t xml:space="preserve">    Amortization</t>
  </si>
  <si>
    <t xml:space="preserve">    OM&amp;A</t>
  </si>
  <si>
    <t xml:space="preserve">    PILs</t>
  </si>
  <si>
    <t>Smart Meter Rate Adder Revenues</t>
  </si>
  <si>
    <t>Smart Meter Actual Cost Recovery Rate Rider - SMDR</t>
  </si>
  <si>
    <t xml:space="preserve">    Total Before PILs</t>
  </si>
  <si>
    <t xml:space="preserve">    Allocaiton of Smart Meter Costs</t>
  </si>
  <si>
    <t xml:space="preserve">    Allocation of Number of meters installed</t>
  </si>
  <si>
    <t xml:space="preserve">    Smart Meter Cost</t>
  </si>
  <si>
    <t xml:space="preserve">    Total Return (deemed interest plus 
     return on equity)</t>
  </si>
  <si>
    <t>GS &gt; 50</t>
  </si>
  <si>
    <t xml:space="preserve">    Total Revenue Requirement</t>
  </si>
  <si>
    <t xml:space="preserve">Total Carrying Charge </t>
  </si>
  <si>
    <t>Rate Rider to Recover Smart Meter Costs  
- 3 yrs</t>
  </si>
  <si>
    <t xml:space="preserve">    A3RL meters</t>
  </si>
  <si>
    <t xml:space="preserve">    A3TL meters</t>
  </si>
  <si>
    <t xml:space="preserve">    Rex 2 Meters</t>
  </si>
  <si>
    <t xml:space="preserve">    Number of meters installed </t>
  </si>
  <si>
    <t xml:space="preserve">    Atikkoan Hydro Smart Meter Unit Cost</t>
  </si>
  <si>
    <t xml:space="preserve">    Total number of meters installed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</si>
</sst>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??_-;_-@_-"/>
    <numFmt numFmtId="166" formatCode="_-* #,##0_-;\-* #,##0_-;_-* &quot;-&quot;??_-;_-@_-"/>
    <numFmt numFmtId="167" formatCode="&quot;$&quot;#,##0;\(&quot;$&quot;#,##0\)"/>
    <numFmt numFmtId="168" formatCode="_-* #,##0.0_-;\-* #,##0.0_-;_-* &quot;-&quot;??_-;_-@_-"/>
  </numFmts>
  <fonts count="22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44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66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165" fontId="3" fillId="0" borderId="0" xfId="0" applyNumberFormat="1" applyFont="1" applyAlignment="1">
      <alignment/>
    </xf>
    <xf numFmtId="10" fontId="3" fillId="0" borderId="0" xfId="59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0" borderId="11" xfId="44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1" xfId="42" applyNumberFormat="1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 horizontal="right"/>
    </xf>
    <xf numFmtId="166" fontId="1" fillId="0" borderId="11" xfId="42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0" fontId="1" fillId="0" borderId="10" xfId="59" applyNumberFormat="1" applyFont="1" applyBorder="1" applyAlignment="1">
      <alignment/>
    </xf>
    <xf numFmtId="167" fontId="1" fillId="0" borderId="11" xfId="44" applyNumberFormat="1" applyFont="1" applyFill="1" applyBorder="1" applyAlignment="1">
      <alignment/>
    </xf>
    <xf numFmtId="167" fontId="1" fillId="0" borderId="12" xfId="0" applyNumberFormat="1" applyFont="1" applyFill="1" applyBorder="1" applyAlignment="1">
      <alignment/>
    </xf>
    <xf numFmtId="167" fontId="1" fillId="0" borderId="12" xfId="44" applyNumberFormat="1" applyFont="1" applyFill="1" applyBorder="1" applyAlignment="1">
      <alignment/>
    </xf>
    <xf numFmtId="165" fontId="1" fillId="0" borderId="13" xfId="44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66" fontId="1" fillId="0" borderId="11" xfId="59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4" fontId="1" fillId="0" borderId="17" xfId="44" applyFont="1" applyBorder="1" applyAlignment="1">
      <alignment horizontal="center"/>
    </xf>
    <xf numFmtId="0" fontId="3" fillId="0" borderId="17" xfId="0" applyFont="1" applyBorder="1" applyAlignment="1">
      <alignment/>
    </xf>
    <xf numFmtId="166" fontId="1" fillId="0" borderId="17" xfId="42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165" fontId="1" fillId="0" borderId="17" xfId="0" applyNumberFormat="1" applyFont="1" applyBorder="1" applyAlignment="1">
      <alignment/>
    </xf>
    <xf numFmtId="10" fontId="1" fillId="0" borderId="17" xfId="0" applyNumberFormat="1" applyFont="1" applyBorder="1" applyAlignment="1">
      <alignment horizontal="right"/>
    </xf>
    <xf numFmtId="166" fontId="1" fillId="0" borderId="17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165" fontId="1" fillId="0" borderId="19" xfId="0" applyNumberFormat="1" applyFont="1" applyBorder="1" applyAlignment="1">
      <alignment/>
    </xf>
    <xf numFmtId="10" fontId="1" fillId="0" borderId="15" xfId="59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167" fontId="1" fillId="0" borderId="17" xfId="44" applyNumberFormat="1" applyFont="1" applyFill="1" applyBorder="1" applyAlignment="1">
      <alignment/>
    </xf>
    <xf numFmtId="167" fontId="1" fillId="0" borderId="18" xfId="44" applyNumberFormat="1" applyFont="1" applyFill="1" applyBorder="1" applyAlignment="1">
      <alignment/>
    </xf>
    <xf numFmtId="165" fontId="1" fillId="0" borderId="19" xfId="44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66" fontId="1" fillId="0" borderId="17" xfId="59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 wrapText="1"/>
    </xf>
    <xf numFmtId="44" fontId="1" fillId="0" borderId="22" xfId="44" applyFont="1" applyBorder="1" applyAlignment="1">
      <alignment/>
    </xf>
    <xf numFmtId="44" fontId="1" fillId="0" borderId="23" xfId="44" applyFont="1" applyBorder="1" applyAlignment="1">
      <alignment/>
    </xf>
    <xf numFmtId="0" fontId="1" fillId="20" borderId="24" xfId="0" applyFont="1" applyFill="1" applyBorder="1" applyAlignment="1">
      <alignment horizontal="center"/>
    </xf>
    <xf numFmtId="0" fontId="1" fillId="20" borderId="25" xfId="0" applyFont="1" applyFill="1" applyBorder="1" applyAlignment="1">
      <alignment horizontal="center"/>
    </xf>
    <xf numFmtId="0" fontId="1" fillId="20" borderId="26" xfId="0" applyFont="1" applyFill="1" applyBorder="1" applyAlignment="1">
      <alignment horizontal="center"/>
    </xf>
    <xf numFmtId="0" fontId="1" fillId="20" borderId="27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Atikokan\2012%20Rate%20Application\Interogatories\9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ikokan_Cos%202012_smart_meter_model_DR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5"/>
      <sheetName val="39"/>
      <sheetName val="38"/>
    </sheetNames>
    <sheetDataSet>
      <sheetData sheetId="0">
        <row r="28">
          <cell r="E28">
            <v>279.76755003371795</v>
          </cell>
        </row>
        <row r="30">
          <cell r="E30">
            <v>629.5012307692308</v>
          </cell>
        </row>
        <row r="32">
          <cell r="E32">
            <v>1003.100909090909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</sheetNames>
    <sheetDataSet>
      <sheetData sheetId="1">
        <row r="25">
          <cell r="M25">
            <v>1427</v>
          </cell>
        </row>
        <row r="27">
          <cell r="M27">
            <v>159</v>
          </cell>
          <cell r="O27">
            <v>65</v>
          </cell>
        </row>
        <row r="33">
          <cell r="Q33">
            <v>22</v>
          </cell>
        </row>
      </sheetData>
      <sheetData sheetId="4">
        <row r="47">
          <cell r="M47">
            <v>7076.680392053971</v>
          </cell>
          <cell r="O47">
            <v>14131.6993720796</v>
          </cell>
          <cell r="Q47">
            <v>14370.675542010433</v>
          </cell>
        </row>
        <row r="50">
          <cell r="M50">
            <v>30936.856200000006</v>
          </cell>
          <cell r="O50">
            <v>42040.03258954909</v>
          </cell>
          <cell r="Q50">
            <v>39126.67681415929</v>
          </cell>
        </row>
        <row r="58">
          <cell r="M58">
            <v>7361.52337904762</v>
          </cell>
          <cell r="O58">
            <v>15669.907728596716</v>
          </cell>
          <cell r="Q58">
            <v>17034.644188773706</v>
          </cell>
        </row>
        <row r="68">
          <cell r="M68">
            <v>826.9734719366672</v>
          </cell>
          <cell r="O68">
            <v>987.2893883240677</v>
          </cell>
          <cell r="Q68">
            <v>1187.618001429306</v>
          </cell>
        </row>
      </sheetData>
      <sheetData sheetId="10">
        <row r="32">
          <cell r="U32">
            <v>2577.4780098776455</v>
          </cell>
        </row>
        <row r="40">
          <cell r="G40">
            <v>2690.66</v>
          </cell>
          <cell r="I40">
            <v>5133.36</v>
          </cell>
          <cell r="K40">
            <v>5110.5</v>
          </cell>
          <cell r="M40">
            <v>13387.970000000001</v>
          </cell>
          <cell r="O40">
            <v>38967.89</v>
          </cell>
          <cell r="Q40">
            <v>67362.91</v>
          </cell>
          <cell r="S40">
            <v>23282</v>
          </cell>
        </row>
        <row r="42">
          <cell r="U42">
            <v>3261.6500000000005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37"/>
  <sheetViews>
    <sheetView tabSelected="1" zoomScalePageLayoutView="0" workbookViewId="0" topLeftCell="A13">
      <selection activeCell="J32" sqref="J32"/>
    </sheetView>
  </sheetViews>
  <sheetFormatPr defaultColWidth="9.140625" defaultRowHeight="15"/>
  <cols>
    <col min="1" max="2" width="9.140625" style="4" customWidth="1"/>
    <col min="3" max="3" width="5.421875" style="4" customWidth="1"/>
    <col min="4" max="4" width="45.00390625" style="4" customWidth="1"/>
    <col min="5" max="6" width="12.7109375" style="4" bestFit="1" customWidth="1"/>
    <col min="7" max="7" width="12.7109375" style="4" customWidth="1"/>
    <col min="8" max="8" width="12.7109375" style="4" bestFit="1" customWidth="1"/>
    <col min="9" max="9" width="14.28125" style="4" bestFit="1" customWidth="1"/>
    <col min="10" max="10" width="13.421875" style="4" customWidth="1"/>
    <col min="11" max="11" width="15.8515625" style="4" customWidth="1"/>
    <col min="12" max="12" width="16.8515625" style="4" customWidth="1"/>
    <col min="13" max="16384" width="9.140625" style="4" customWidth="1"/>
  </cols>
  <sheetData>
    <row r="1" ht="15" thickBot="1"/>
    <row r="2" spans="4:8" ht="15">
      <c r="D2" s="55" t="s">
        <v>10</v>
      </c>
      <c r="E2" s="56"/>
      <c r="F2" s="56"/>
      <c r="G2" s="57"/>
      <c r="H2" s="58"/>
    </row>
    <row r="3" spans="4:8" ht="15.75" thickBot="1">
      <c r="D3" s="59" t="s">
        <v>5</v>
      </c>
      <c r="E3" s="60"/>
      <c r="F3" s="60"/>
      <c r="G3" s="61"/>
      <c r="H3" s="62"/>
    </row>
    <row r="4" spans="4:9" ht="15">
      <c r="D4" s="28"/>
      <c r="E4" s="9" t="s">
        <v>0</v>
      </c>
      <c r="F4" s="9" t="s">
        <v>1</v>
      </c>
      <c r="G4" s="9" t="s">
        <v>2</v>
      </c>
      <c r="H4" s="29" t="s">
        <v>16</v>
      </c>
      <c r="I4" s="3"/>
    </row>
    <row r="5" spans="4:8" ht="15">
      <c r="D5" s="30" t="s">
        <v>24</v>
      </c>
      <c r="E5" s="10"/>
      <c r="F5" s="11"/>
      <c r="G5" s="11"/>
      <c r="H5" s="31"/>
    </row>
    <row r="6" spans="4:8" ht="15">
      <c r="D6" s="30" t="s">
        <v>22</v>
      </c>
      <c r="E6" s="10"/>
      <c r="F6" s="11">
        <f>'[1]9.5'!$E$28</f>
        <v>279.76755003371795</v>
      </c>
      <c r="G6" s="11">
        <f>F6</f>
        <v>279.76755003371795</v>
      </c>
      <c r="H6" s="31"/>
    </row>
    <row r="7" spans="4:8" ht="15">
      <c r="D7" s="30" t="s">
        <v>21</v>
      </c>
      <c r="E7" s="10"/>
      <c r="F7" s="11"/>
      <c r="G7" s="11">
        <f>'[1]9.5'!$E$30</f>
        <v>629.5012307692308</v>
      </c>
      <c r="H7" s="31"/>
    </row>
    <row r="8" spans="4:8" ht="15">
      <c r="D8" s="30" t="s">
        <v>20</v>
      </c>
      <c r="E8" s="10"/>
      <c r="F8" s="11"/>
      <c r="G8" s="11"/>
      <c r="H8" s="31">
        <f>'[1]9.5'!$E$32</f>
        <v>1003.100909090909</v>
      </c>
    </row>
    <row r="9" spans="4:8" ht="15">
      <c r="D9" s="30" t="s">
        <v>23</v>
      </c>
      <c r="E9" s="10"/>
      <c r="F9" s="11"/>
      <c r="G9" s="11"/>
      <c r="H9" s="32"/>
    </row>
    <row r="10" spans="4:8" ht="15">
      <c r="D10" s="30" t="s">
        <v>22</v>
      </c>
      <c r="E10" s="12">
        <f aca="true" t="shared" si="0" ref="E10:E16">SUM(F10:H10)</f>
        <v>1586</v>
      </c>
      <c r="F10" s="13">
        <f>'[2]2. Smart_Meter_Costs'!$M$25</f>
        <v>1427</v>
      </c>
      <c r="G10" s="13">
        <f>'[2]2. Smart_Meter_Costs'!$M$27</f>
        <v>159</v>
      </c>
      <c r="H10" s="31"/>
    </row>
    <row r="11" spans="4:8" ht="15">
      <c r="D11" s="30" t="s">
        <v>21</v>
      </c>
      <c r="E11" s="12">
        <f t="shared" si="0"/>
        <v>65</v>
      </c>
      <c r="F11" s="11"/>
      <c r="G11" s="13">
        <f>'[2]2. Smart_Meter_Costs'!$O$27</f>
        <v>65</v>
      </c>
      <c r="H11" s="31"/>
    </row>
    <row r="12" spans="4:8" ht="15">
      <c r="D12" s="30" t="s">
        <v>20</v>
      </c>
      <c r="E12" s="12">
        <f t="shared" si="0"/>
        <v>22</v>
      </c>
      <c r="F12" s="11"/>
      <c r="G12" s="11"/>
      <c r="H12" s="33">
        <f>'[2]2. Smart_Meter_Costs'!$Q$33</f>
        <v>22</v>
      </c>
    </row>
    <row r="13" spans="4:8" ht="15">
      <c r="D13" s="34" t="s">
        <v>25</v>
      </c>
      <c r="E13" s="12">
        <f t="shared" si="0"/>
        <v>1673</v>
      </c>
      <c r="F13" s="16">
        <f>SUM(F10:F12)</f>
        <v>1427</v>
      </c>
      <c r="G13" s="16">
        <f>SUM(G10:G12)</f>
        <v>224</v>
      </c>
      <c r="H13" s="37">
        <f>SUM(H10:H12)</f>
        <v>22</v>
      </c>
    </row>
    <row r="14" spans="4:9" ht="15">
      <c r="D14" s="34" t="s">
        <v>14</v>
      </c>
      <c r="E14" s="14">
        <f t="shared" si="0"/>
        <v>506697.13435347663</v>
      </c>
      <c r="F14" s="14">
        <f>F6*F10+F7*F11+F8*F12</f>
        <v>399228.2938981155</v>
      </c>
      <c r="G14" s="14">
        <f>G6*G10+G7*G11+G8*G12</f>
        <v>85400.62045536115</v>
      </c>
      <c r="H14" s="35">
        <f>H6*H10+H7*H11+H8*H12</f>
        <v>22068.219999999998</v>
      </c>
      <c r="I14" s="5"/>
    </row>
    <row r="15" spans="4:9" ht="15">
      <c r="D15" s="34" t="s">
        <v>12</v>
      </c>
      <c r="E15" s="15">
        <f t="shared" si="0"/>
        <v>1</v>
      </c>
      <c r="F15" s="15">
        <f>F14/$E$14</f>
        <v>0.7879032006121632</v>
      </c>
      <c r="G15" s="15">
        <f>G14/$E$14</f>
        <v>0.16854372102247747</v>
      </c>
      <c r="H15" s="36">
        <f>H14/$E$14</f>
        <v>0.04355307836535938</v>
      </c>
      <c r="I15" s="5"/>
    </row>
    <row r="16" spans="4:9" ht="15">
      <c r="D16" s="34" t="s">
        <v>13</v>
      </c>
      <c r="E16" s="15">
        <f t="shared" si="0"/>
        <v>1</v>
      </c>
      <c r="F16" s="15">
        <f>F13/$E$13</f>
        <v>0.8529587567244471</v>
      </c>
      <c r="G16" s="15">
        <f>G13/$E$13</f>
        <v>0.13389121338912133</v>
      </c>
      <c r="H16" s="36">
        <f>H13/$E$13</f>
        <v>0.01315002988643156</v>
      </c>
      <c r="I16" s="6"/>
    </row>
    <row r="17" spans="4:8" ht="15">
      <c r="D17" s="38"/>
      <c r="E17" s="17"/>
      <c r="F17" s="17"/>
      <c r="G17" s="17"/>
      <c r="H17" s="39"/>
    </row>
    <row r="18" spans="4:9" ht="30">
      <c r="D18" s="30" t="s">
        <v>15</v>
      </c>
      <c r="E18" s="14">
        <f>SUM('[2]5. SM_Rev_Reqt'!$M$47:$Q$47)</f>
        <v>35579.055306144</v>
      </c>
      <c r="F18" s="14">
        <f>$E$18*F15</f>
        <v>28032.85155046803</v>
      </c>
      <c r="G18" s="14">
        <f>$E$18*G15</f>
        <v>5996.626371762031</v>
      </c>
      <c r="H18" s="35">
        <f>$E$18*H15</f>
        <v>1549.577383913945</v>
      </c>
      <c r="I18" s="7"/>
    </row>
    <row r="19" spans="4:9" ht="15">
      <c r="D19" s="38" t="s">
        <v>6</v>
      </c>
      <c r="E19" s="14">
        <f>SUM('[2]5. SM_Rev_Reqt'!$M$58:$Q$58)</f>
        <v>40066.07529641804</v>
      </c>
      <c r="F19" s="14">
        <f>E19*F15</f>
        <v>31568.1889620157</v>
      </c>
      <c r="G19" s="14">
        <f>E19*G15</f>
        <v>6752.885417225059</v>
      </c>
      <c r="H19" s="35">
        <f>E19*H15</f>
        <v>1745.0009171772845</v>
      </c>
      <c r="I19" s="7"/>
    </row>
    <row r="20" spans="4:9" ht="15">
      <c r="D20" s="38" t="s">
        <v>7</v>
      </c>
      <c r="E20" s="14">
        <f>SUM('[2]5. SM_Rev_Reqt'!$M$50:$Q$50)</f>
        <v>112103.56560370838</v>
      </c>
      <c r="F20" s="14">
        <f>E20*F16</f>
        <v>95619.71794171659</v>
      </c>
      <c r="G20" s="14">
        <f>E20*G16</f>
        <v>15009.682423927481</v>
      </c>
      <c r="H20" s="35">
        <f>E20*H16</f>
        <v>1474.1652380643063</v>
      </c>
      <c r="I20" s="7"/>
    </row>
    <row r="21" spans="4:9" ht="15">
      <c r="D21" s="38" t="s">
        <v>11</v>
      </c>
      <c r="E21" s="18">
        <f>SUM(E18:E20)</f>
        <v>187748.69620627043</v>
      </c>
      <c r="F21" s="18">
        <f>SUM(F18:F20)</f>
        <v>155220.75845420032</v>
      </c>
      <c r="G21" s="18">
        <f>SUM(G18:G20)</f>
        <v>27759.194212914572</v>
      </c>
      <c r="H21" s="40">
        <f>SUM(H18:H20)</f>
        <v>4768.7435391555355</v>
      </c>
      <c r="I21" s="7"/>
    </row>
    <row r="22" spans="4:9" ht="15.75" thickBot="1">
      <c r="D22" s="38" t="s">
        <v>8</v>
      </c>
      <c r="E22" s="14">
        <f>SUM('[2]5. SM_Rev_Reqt'!$M$68:$Q$68)</f>
        <v>3001.880861690041</v>
      </c>
      <c r="F22" s="18">
        <f>F21/E21*E22</f>
        <v>2481.797389574174</v>
      </c>
      <c r="G22" s="18">
        <f>G21/E21*E22</f>
        <v>443.83687092098245</v>
      </c>
      <c r="H22" s="40">
        <f>H21/E21*E22</f>
        <v>76.24660119488455</v>
      </c>
      <c r="I22" s="7"/>
    </row>
    <row r="23" spans="4:9" ht="16.5" thickBot="1" thickTop="1">
      <c r="D23" s="41" t="s">
        <v>17</v>
      </c>
      <c r="E23" s="19">
        <f>E21+E22</f>
        <v>190750.57706796046</v>
      </c>
      <c r="F23" s="19">
        <f>F21+F22</f>
        <v>157702.5558437745</v>
      </c>
      <c r="G23" s="19">
        <f>G21+G22</f>
        <v>28203.031083835554</v>
      </c>
      <c r="H23" s="42">
        <f>H21+H22</f>
        <v>4844.99014035042</v>
      </c>
      <c r="I23" s="7"/>
    </row>
    <row r="24" spans="4:9" ht="15.75" thickTop="1">
      <c r="D24" s="38"/>
      <c r="E24" s="15">
        <f>SUM(F24:H24)</f>
        <v>1</v>
      </c>
      <c r="F24" s="20">
        <f>F23/E23</f>
        <v>0.8267474639806115</v>
      </c>
      <c r="G24" s="20">
        <f>G23/E23</f>
        <v>0.14785292667181502</v>
      </c>
      <c r="H24" s="43">
        <f>H23/E23</f>
        <v>0.025399609347573564</v>
      </c>
      <c r="I24" s="7"/>
    </row>
    <row r="25" spans="4:9" ht="15">
      <c r="D25" s="38"/>
      <c r="E25" s="44"/>
      <c r="F25" s="44"/>
      <c r="G25" s="44"/>
      <c r="H25" s="45"/>
      <c r="I25" s="8"/>
    </row>
    <row r="26" spans="4:9" ht="15">
      <c r="D26" s="38" t="s">
        <v>9</v>
      </c>
      <c r="E26" s="21">
        <f>-SUM('[2]9. SMFA_SMDR_SMIRR'!$G$40:$T$40)</f>
        <v>-155935.29</v>
      </c>
      <c r="F26" s="21"/>
      <c r="G26" s="21"/>
      <c r="H26" s="46"/>
      <c r="I26" s="7"/>
    </row>
    <row r="27" spans="4:9" ht="15.75" thickBot="1">
      <c r="D27" s="38" t="s">
        <v>18</v>
      </c>
      <c r="E27" s="22">
        <f>'[2]9. SMFA_SMDR_SMIRR'!$U$32-'[2]9. SMFA_SMDR_SMIRR'!$U$42</f>
        <v>-684.171990122355</v>
      </c>
      <c r="F27" s="23"/>
      <c r="G27" s="23"/>
      <c r="H27" s="47"/>
      <c r="I27" s="7"/>
    </row>
    <row r="28" spans="4:9" ht="16.5" thickBot="1" thickTop="1">
      <c r="D28" s="38" t="s">
        <v>3</v>
      </c>
      <c r="E28" s="24">
        <f>E23+E26+E27</f>
        <v>34131.1150778381</v>
      </c>
      <c r="F28" s="24">
        <f>E28*F24</f>
        <v>28217.812833433058</v>
      </c>
      <c r="G28" s="24">
        <f>E28*G24</f>
        <v>5046.385254830876</v>
      </c>
      <c r="H28" s="48">
        <f>E28*H24</f>
        <v>866.9169895741655</v>
      </c>
      <c r="I28" s="7"/>
    </row>
    <row r="29" spans="4:9" ht="15.75" thickTop="1">
      <c r="D29" s="38"/>
      <c r="E29" s="25"/>
      <c r="F29" s="25"/>
      <c r="G29" s="25"/>
      <c r="H29" s="49"/>
      <c r="I29" s="7"/>
    </row>
    <row r="30" spans="4:9" ht="15">
      <c r="D30" s="38" t="s">
        <v>4</v>
      </c>
      <c r="E30" s="12">
        <f>SUM(F30:H30)</f>
        <v>1673</v>
      </c>
      <c r="F30" s="26">
        <f>F13</f>
        <v>1427</v>
      </c>
      <c r="G30" s="26">
        <f>G13</f>
        <v>224</v>
      </c>
      <c r="H30" s="50">
        <f>H13</f>
        <v>22</v>
      </c>
      <c r="I30" s="7"/>
    </row>
    <row r="31" spans="4:9" ht="15.75" thickBot="1">
      <c r="D31" s="38"/>
      <c r="E31" s="27"/>
      <c r="F31" s="27"/>
      <c r="G31" s="27"/>
      <c r="H31" s="51"/>
      <c r="I31" s="7"/>
    </row>
    <row r="32" spans="4:9" ht="31.5" thickBot="1" thickTop="1">
      <c r="D32" s="52" t="s">
        <v>19</v>
      </c>
      <c r="E32" s="53">
        <f>E28/E30/36</f>
        <v>0.5666984638015226</v>
      </c>
      <c r="F32" s="53">
        <f>F28/F30/36</f>
        <v>0.549283906280329</v>
      </c>
      <c r="G32" s="53">
        <f>G28/G30/36</f>
        <v>0.6257918222756542</v>
      </c>
      <c r="H32" s="54">
        <f>H28/H30/36</f>
        <v>1.0945921585532394</v>
      </c>
      <c r="I32" s="7"/>
    </row>
    <row r="33" spans="4:8" ht="15">
      <c r="D33" s="1"/>
      <c r="E33" s="2"/>
      <c r="F33" s="2"/>
      <c r="G33" s="2"/>
      <c r="H33" s="2"/>
    </row>
    <row r="37" spans="6:7" ht="14.25">
      <c r="F37" s="7"/>
      <c r="G37" s="7"/>
    </row>
  </sheetData>
  <sheetProtection/>
  <mergeCells count="2">
    <mergeCell ref="D2:H2"/>
    <mergeCell ref="D3:H3"/>
  </mergeCells>
  <printOptions/>
  <pageMargins left="0.19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Kelly</dc:creator>
  <cp:keywords/>
  <dc:description/>
  <cp:lastModifiedBy>BBacon</cp:lastModifiedBy>
  <cp:lastPrinted>2011-12-12T15:51:19Z</cp:lastPrinted>
  <dcterms:created xsi:type="dcterms:W3CDTF">2011-11-17T20:53:16Z</dcterms:created>
  <dcterms:modified xsi:type="dcterms:W3CDTF">2012-06-28T21:29:41Z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