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<sst xmlns="http://schemas.openxmlformats.org/spreadsheetml/2006/main" count="864" uniqueCount="496">
  <si>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</si>
  <si>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</si>
  <si>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</si>
  <si>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</si>
  <si>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</si>
  <si>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</si>
  <si>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</si>
  <si>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</si>
  <si>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</si>
  <si>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</si>
  <si>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</si>
  <si>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</si>
  <si>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</si>
  <si>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</si>
  <si>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</si>
  <si>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</si>
  <si>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</si>
  <si>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</si>
  <si>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</si>
  <si>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</si>
  <si>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</si>
  <si>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</si>
  <si>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</si>
  <si>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</si>
  <si>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</si>
  <si>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</si>
  <si>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</si>
  <si>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</si>
  <si>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</si>
  <si>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</si>
  <si>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</si>
  <si>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</si>
  <si>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</si>
  <si>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</si>
  <si>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</si>
  <si>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</si>
  <si>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</si>
  <si>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</si>
  <si>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</si>
  <si>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</si>
  <si>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</si>
  <si>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</si>
  <si>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</si>
  <si>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</si>
  <si>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</si>
  <si>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</si>
  <si>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</si>
  <si>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</si>
  <si>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</si>
  <si>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</si>
  <si>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</si>
  <si>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</si>
  <si>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</si>
  <si>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</si>
  <si>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</si>
  <si>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</si>
  <si>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</si>
  <si>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</si>
  <si>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</si>
  <si>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</si>
  <si>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</si>
  <si>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</si>
  <si>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</si>
  <si>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</si>
  <si>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</si>
  <si>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</si>
  <si>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</si>
  <si>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</si>
  <si>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</si>
  <si>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</si>
  <si>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</si>
  <si>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</si>
  <si>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</si>
  <si>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</si>
  <si>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</si>
  <si>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</si>
  <si>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</si>
  <si>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</si>
  <si>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</si>
  <si>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</si>
  <si>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</si>
  <si>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</si>
  <si>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</si>
  <si>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</si>
  <si>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</si>
  <si>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</si>
  <si>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</si>
  <si>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</si>
  <si>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</si>
  <si>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</si>
  <si>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</si>
  <si>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</si>
  <si>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</si>
  <si>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</si>
  <si>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</si>
  <si>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</si>
  <si>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</si>
  <si>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</si>
  <si>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</si>
  <si>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</si>
  <si>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</si>
  <si>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</si>
  <si>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</si>
  <si>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</si>
  <si>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</si>
  <si>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</si>
  <si>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</si>
  <si>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</si>
  <si>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</si>
  <si>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</si>
  <si>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</si>
  <si>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</si>
  <si>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</si>
  <si>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</si>
  <si>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</si>
  <si>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</si>
  <si>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</si>
  <si>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</si>
  <si>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</si>
  <si>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</si>
  <si>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</si>
  <si>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</si>
  <si>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</si>
  <si>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</si>
  <si>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</si>
  <si>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</si>
  <si>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</si>
  <si>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</si>
  <si>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</si>
  <si>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</si>
  <si>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</si>
  <si>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</si>
  <si>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</si>
  <si>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</si>
  <si>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</si>
  <si>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</si>
  <si>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</si>
  <si>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</si>
  <si>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</si>
  <si>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</si>
  <si>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</si>
  <si>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</si>
  <si>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</si>
  <si>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</si>
  <si>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</si>
  <si>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</si>
  <si>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</si>
  <si>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</si>
  <si>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</si>
  <si>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</si>
  <si>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</si>
  <si>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</si>
  <si>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</si>
  <si>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</si>
  <si>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</si>
  <si>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</si>
  <si>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</si>
  <si>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</si>
  <si>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</si>
  <si>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</si>
  <si>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</si>
  <si>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</si>
  <si>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</si>
  <si>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</si>
  <si>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</si>
  <si>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</si>
  <si>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</si>
  <si>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</si>
  <si>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</si>
  <si>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</si>
  <si>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</si>
  <si>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</si>
  <si>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</si>
  <si>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</si>
  <si>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</si>
  <si>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</si>
  <si>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</si>
  <si>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</si>
  <si>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</si>
  <si>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</si>
  <si>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</si>
  <si>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</si>
  <si>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</si>
  <si>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</si>
  <si>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</si>
  <si>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</si>
  <si>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</si>
  <si>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</si>
  <si>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</si>
  <si>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</si>
  <si>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</si>
  <si>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</si>
  <si>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</si>
  <si>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</si>
  <si>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</si>
  <si>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</si>
  <si>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</si>
  <si>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</si>
  <si>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</si>
  <si>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</si>
  <si>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</si>
  <si>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</si>
  <si>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</si>
  <si>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</si>
  <si>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</si>
  <si>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</si>
  <si>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</si>
  <si>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</si>
  <si>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</si>
  <si>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</si>
  <si>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</si>
  <si>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</si>
  <si>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</si>
  <si>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</si>
  <si>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</si>
  <si>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</si>
  <si>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</si>
  <si>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</si>
  <si>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</si>
  <si>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</si>
  <si>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</si>
  <si>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</si>
  <si>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</si>
  <si>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</si>
  <si>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</si>
  <si>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</si>
  <si>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</si>
  <si>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</si>
  <si>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</si>
  <si>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</si>
  <si>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</si>
  <si>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</si>
  <si>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</si>
  <si>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</si>
  <si>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</si>
  <si>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</si>
  <si>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</si>
  <si>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</si>
  <si>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</si>
  <si>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</si>
  <si>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</si>
  <si>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</si>
  <si>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</si>
  <si>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</si>
  <si>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</si>
  <si>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</si>
  <si>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</si>
  <si>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</si>
  <si>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</si>
  <si>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</si>
  <si>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</si>
  <si>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</si>
  <si>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</si>
  <si>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</si>
  <si>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</si>
  <si>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</si>
  <si>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</si>
  <si>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</si>
  <si>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</si>
  <si>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</si>
  <si>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</si>
  <si>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</si>
  <si>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</si>
  <si>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</si>
  <si>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</si>
  <si>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</si>
  <si>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</si>
  <si>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</si>
  <si>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</si>
  <si>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</si>
  <si>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</si>
  <si>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</si>
  <si>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</si>
  <si>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</si>
  <si>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</si>
  <si>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</si>
  <si>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</si>
  <si>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</si>
  <si>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</si>
  <si>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</si>
  <si>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</si>
  <si>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</si>
  <si>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</si>
  <si>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</si>
  <si>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</si>
  <si>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</si>
  <si>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</si>
  <si>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</si>
  <si>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</si>
  <si>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</si>
  <si>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</si>
  <si>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</si>
  <si>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</si>
  <si>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</si>
  <si>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</si>
  <si>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</si>
  <si>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</si>
  <si>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</si>
  <si>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</si>
  <si>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</si>
  <si>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</si>
  <si>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</si>
  <si>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</si>
  <si>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</si>
  <si>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</si>
  <si>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</si>
  <si>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</si>
  <si>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</si>
  <si>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</si>
  <si>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</si>
  <si>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</si>
  <si>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</si>
  <si>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</si>
  <si>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</si>
  <si>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</si>
  <si>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</si>
  <si>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</si>
  <si>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</si>
  <si>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</si>
  <si>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</si>
  <si>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</si>
  <si>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</si>
  <si>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</si>
  <si>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</si>
  <si>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</si>
  <si>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</si>
  <si>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</si>
  <si>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</si>
  <si>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</si>
  <si>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</si>
  <si>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</si>
  <si>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</si>
  <si>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</si>
  <si>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</si>
  <si>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</si>
  <si>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</si>
  <si>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</si>
  <si>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</si>
  <si>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</si>
  <si>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</si>
  <si>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</si>
  <si>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</si>
  <si>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</si>
  <si>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</si>
  <si>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</si>
  <si>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</si>
  <si>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</si>
  <si>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</si>
  <si>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</si>
  <si>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</si>
  <si>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</si>
  <si>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</si>
  <si>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</si>
  <si>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</si>
  <si>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</si>
  <si>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</si>
  <si>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</si>
  <si>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</si>
  <si>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</si>
  <si>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</si>
  <si>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</si>
  <si>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</si>
  <si>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</si>
  <si>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</si>
  <si>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</si>
  <si>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</si>
  <si>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</si>
  <si>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</si>
  <si>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</si>
  <si>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</si>
  <si>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</si>
  <si>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</si>
  <si>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</si>
  <si>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</si>
  <si>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</si>
  <si>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</si>
  <si>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</si>
  <si>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</si>
  <si>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</si>
  <si>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</si>
  <si>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</si>
  <si>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</si>
  <si>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</si>
  <si>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</si>
  <si>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</si>
  <si>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</si>
  <si>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</si>
  <si>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</si>
  <si>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</si>
  <si>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</si>
  <si>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</si>
  <si>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</si>
  <si>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</si>
  <si>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</si>
  <si>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</si>
  <si>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</si>
  <si>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</si>
  <si>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</si>
  <si>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</si>
  <si>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</si>
  <si>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</si>
  <si>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</si>
  <si>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</si>
  <si>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</si>
  <si>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</si>
  <si>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</si>
  <si>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</si>
  <si>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</si>
  <si>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</si>
  <si>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</si>
  <si>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</si>
  <si>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</si>
  <si>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</si>
  <si>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</si>
  <si>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</si>
  <si>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</si>
  <si>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</si>
  <si>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</si>
  <si>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</si>
  <si>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</si>
  <si>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</si>
  <si>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</si>
  <si>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</si>
  <si>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</si>
  <si>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</si>
  <si>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</si>
  <si>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</si>
  <si>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</si>
  <si>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</si>
  <si>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</si>
  <si>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</si>
  <si>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</si>
  <si>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</si>
  <si>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</si>
  <si>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</si>
  <si>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</si>
  <si>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</si>
  <si>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</si>
  <si>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</si>
  <si>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</si>
  <si>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</si>
  <si>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</si>
  <si>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</si>
  <si>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</si>
  <si>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</si>
  <si>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</si>
  <si>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</si>
  <si>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</si>
  <si>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</si>
  <si>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</si>
  <si>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</si>
  <si>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</si>
  <si>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</si>
  <si>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</si>
  <si>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</si>
  <si>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</si>
  <si>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</si>
  <si>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</si>
  <si>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</si>
  <si>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</si>
  <si>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</si>
  <si>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</si>
  <si>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</si>
  <si>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</si>
  <si>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</si>
  <si>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</si>
  <si>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</si>
  <si>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</si>
  <si>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</si>
  <si>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</si>
  <si>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</si>
  <si>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</si>
  <si>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</si>
  <si>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</si>
  <si>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</si>
  <si>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</si>
  <si>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</si>
  <si>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</si>
  <si>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</si>
  <si>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</si>
  <si>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</si>
  <si>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</si>
  <si>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</si>
  <si>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</si>
  <si>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</si>
  <si>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</si>
  <si>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</si>
  <si>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</si>
  <si>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</si>
  <si>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</si>
  <si>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</si>
  <si>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 xml:space="preserve">     Reg Asset movement</t>
  </si>
  <si>
    <t>Bad debts - pre-October 1, 2001 Denied</t>
  </si>
  <si>
    <t xml:space="preserve">PILs TAXES </t>
  </si>
  <si>
    <t>Utility Name: Niagara-on-the-Lake Hydro Inc.</t>
  </si>
  <si>
    <t>Deemed interest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</si>
</sst>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&quot;$&quot;#,##0.000"/>
    <numFmt numFmtId="183" formatCode="&quot;$&quot;#,##0.00000"/>
    <numFmt numFmtId="184" formatCode="&quot;$&quot;#,##0.0000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&quot;$&quot;* #,##0.0_);_(&quot;$&quot;* \(#,##0.0\);_(&quot;$&quot;* &quot;-&quot;_);_(@_)"/>
    <numFmt numFmtId="191" formatCode="0.000000"/>
    <numFmt numFmtId="192" formatCode="_-&quot;$&quot;* #,##0.0_-;\-&quot;$&quot;* #,##0.0_-;_-&quot;$&quot;* &quot;-&quot;??_-;_-@_-"/>
    <numFmt numFmtId="193" formatCode="_-&quot;$&quot;* #,##0_-;\-&quot;$&quot;* #,##0_-;_-&quot;$&quot;* &quot;-&quot;??_-;_-@_-"/>
    <numFmt numFmtId="194" formatCode="[$€-2]\ #,##0.00_);[Red]\([$€-2]\ #,##0.00\)"/>
    <numFmt numFmtId="195" formatCode="#,##0_ ;[Red]\-#,##0\ "/>
    <numFmt numFmtId="196" formatCode="0.0000000"/>
    <numFmt numFmtId="197" formatCode="0.0000"/>
    <numFmt numFmtId="198" formatCode="0.000"/>
    <numFmt numFmtId="199" formatCode="0.0"/>
    <numFmt numFmtId="200" formatCode="0.0000\ ;\ \(0.0000\)"/>
    <numFmt numFmtId="201" formatCode="#,##0.00_ ;[Red]\-#,##0.00\ "/>
    <numFmt numFmtId="202" formatCode="#,##0.0000_ ;[Red]\-#,##0.0000\ "/>
    <numFmt numFmtId="203" formatCode="0.0000000000000"/>
    <numFmt numFmtId="204" formatCode="_(&quot;$&quot;* #,##0.0000_);_(&quot;$&quot;* \(#,##0.0000\);_(&quot;$&quot;* &quot;-&quot;????_);_(@_)"/>
    <numFmt numFmtId="205" formatCode="&quot;$&quot;#,##0.0_);[Red]\(&quot;$&quot;#,##0.0\)"/>
    <numFmt numFmtId="206" formatCode="mmmm\ d\,\ yyyy"/>
    <numFmt numFmtId="207" formatCode="[$-1009]mmmm\ d\,\ yyyy"/>
    <numFmt numFmtId="208" formatCode="[$-F800]dddd\,\ mmmm\ dd\,\ yyyy"/>
    <numFmt numFmtId="209" formatCode="\ @"/>
    <numFmt numFmtId="210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0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5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6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3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9" fontId="0" fillId="39" borderId="0" xfId="0" applyNumberFormat="1" applyFill="1" applyAlignment="1">
      <alignment horizontal="center" vertical="top"/>
    </xf>
    <xf numFmtId="16" fontId="0" fillId="39" borderId="0" xfId="0" applyNumberFormat="1" applyFill="1" applyAlignment="1">
      <alignment horizontal="center" vertical="top"/>
    </xf>
    <xf numFmtId="10" fontId="0" fillId="39" borderId="0" xfId="63" applyFont="1" applyFill="1" applyAlignment="1" applyProtection="1">
      <alignment horizontal="right" vertical="top"/>
      <protection locked="0"/>
    </xf>
    <xf numFmtId="37" fontId="0" fillId="39" borderId="0" xfId="0" applyNumberFormat="1" applyFill="1" applyAlignment="1">
      <alignment vertical="top"/>
    </xf>
    <xf numFmtId="0" fontId="4" fillId="0" borderId="0" xfId="0" applyFont="1" applyAlignment="1">
      <alignment horizontal="right" vertical="top" wrapText="1"/>
    </xf>
    <xf numFmtId="10" fontId="0" fillId="39" borderId="14" xfId="0" applyNumberForma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10" fontId="0" fillId="32" borderId="14" xfId="0" applyNumberFormat="1" applyFill="1" applyBorder="1" applyAlignment="1" applyProtection="1" quotePrefix="1">
      <alignment vertical="top"/>
      <protection/>
    </xf>
    <xf numFmtId="3" fontId="0" fillId="42" borderId="14" xfId="0" applyNumberFormat="1" applyFill="1" applyBorder="1" applyAlignment="1" applyProtection="1">
      <alignment vertical="top"/>
      <protection/>
    </xf>
    <xf numFmtId="37" fontId="0" fillId="32" borderId="14" xfId="0" applyNumberFormat="1" applyFill="1" applyBorder="1" applyAlignment="1" applyProtection="1">
      <alignment/>
      <protection/>
    </xf>
    <xf numFmtId="3" fontId="0" fillId="32" borderId="14" xfId="0" applyNumberFormat="1" applyFill="1" applyBorder="1" applyAlignment="1" applyProtection="1" quotePrefix="1">
      <alignment/>
      <protection/>
    </xf>
    <xf numFmtId="10" fontId="0" fillId="43" borderId="14" xfId="0" applyNumberFormat="1" applyFill="1" applyBorder="1" applyAlignment="1" applyProtection="1" quotePrefix="1">
      <alignment horizontal="right" vertical="top"/>
      <protection/>
    </xf>
    <xf numFmtId="3" fontId="0" fillId="43" borderId="17" xfId="0" applyNumberFormat="1" applyFill="1" applyBorder="1" applyAlignment="1" applyProtection="1">
      <alignment horizontal="center"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25">
      <selection activeCell="H33" sqref="H3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493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494</v>
      </c>
      <c r="C3" s="8"/>
      <c r="D3" s="446" t="s">
        <v>444</v>
      </c>
      <c r="E3" s="8"/>
      <c r="F3" s="8"/>
      <c r="G3" s="8"/>
      <c r="H3" s="8"/>
    </row>
    <row r="4" spans="1:8" ht="12.75">
      <c r="A4" s="2" t="s">
        <v>476</v>
      </c>
      <c r="C4" s="8"/>
      <c r="D4" s="445" t="s">
        <v>439</v>
      </c>
      <c r="E4" s="419"/>
      <c r="H4" s="8"/>
    </row>
    <row r="5" spans="1:8" ht="12.75">
      <c r="A5" s="51"/>
      <c r="C5" s="8"/>
      <c r="D5" s="444" t="s">
        <v>440</v>
      </c>
      <c r="E5" s="397"/>
      <c r="H5" s="8"/>
    </row>
    <row r="6" spans="1:8" ht="12.75">
      <c r="A6" s="2" t="s">
        <v>126</v>
      </c>
      <c r="B6" s="387">
        <v>365</v>
      </c>
      <c r="C6" s="8" t="s">
        <v>127</v>
      </c>
      <c r="D6" s="21"/>
      <c r="H6" s="8"/>
    </row>
    <row r="7" spans="1:8" ht="13.5" thickBot="1">
      <c r="A7" s="51" t="s">
        <v>255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7"/>
    </row>
    <row r="18" spans="1:4" ht="15" customHeight="1">
      <c r="A18" s="388" t="s">
        <v>314</v>
      </c>
      <c r="C18" s="8"/>
      <c r="D18" s="8"/>
    </row>
    <row r="19" spans="1:4" ht="15" customHeight="1">
      <c r="A19" s="487" t="s">
        <v>315</v>
      </c>
      <c r="B19" s="8" t="s">
        <v>312</v>
      </c>
      <c r="C19" s="8" t="s">
        <v>64</v>
      </c>
      <c r="D19" s="387"/>
    </row>
    <row r="20" spans="1:4" ht="13.5" thickBot="1">
      <c r="A20" s="488"/>
      <c r="B20" s="8" t="s">
        <v>313</v>
      </c>
      <c r="C20" s="8" t="s">
        <v>64</v>
      </c>
      <c r="D20" s="257"/>
    </row>
    <row r="21" spans="1:4" ht="12.75">
      <c r="A21" s="487" t="s">
        <v>311</v>
      </c>
      <c r="B21" s="8" t="s">
        <v>312</v>
      </c>
      <c r="C21" s="8"/>
      <c r="D21" s="472">
        <v>1</v>
      </c>
    </row>
    <row r="22" spans="1:4" ht="12.75">
      <c r="A22" s="487"/>
      <c r="B22" s="8" t="s">
        <v>313</v>
      </c>
      <c r="C22" s="8"/>
      <c r="D22" s="472">
        <v>1</v>
      </c>
    </row>
    <row r="23" spans="1:4" ht="7.5" customHeight="1">
      <c r="A23" s="45"/>
      <c r="C23" s="8"/>
      <c r="D23" s="8"/>
    </row>
    <row r="24" spans="1:4" ht="12.75">
      <c r="A24" s="45" t="s">
        <v>211</v>
      </c>
      <c r="C24" s="8" t="s">
        <v>212</v>
      </c>
      <c r="D24" s="473" t="s">
        <v>477</v>
      </c>
    </row>
    <row r="25" ht="6.75" customHeight="1" thickBot="1">
      <c r="A25" s="12"/>
    </row>
    <row r="26" spans="1:5" ht="12.75">
      <c r="A26" s="254" t="s">
        <v>67</v>
      </c>
      <c r="C26" s="8"/>
      <c r="E26" s="434" t="s">
        <v>296</v>
      </c>
    </row>
    <row r="27" spans="1:5" ht="12.75">
      <c r="A27" s="255" t="s">
        <v>68</v>
      </c>
      <c r="C27" s="8"/>
      <c r="E27" s="435" t="s">
        <v>297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286</v>
      </c>
      <c r="D31" s="475">
        <v>13859589</v>
      </c>
      <c r="H31" s="5"/>
    </row>
    <row r="32" ht="6" customHeight="1"/>
    <row r="33" spans="1:8" ht="12.75">
      <c r="A33" t="s">
        <v>71</v>
      </c>
      <c r="D33" s="47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74">
        <v>0.0988</v>
      </c>
      <c r="H37" s="41"/>
    </row>
    <row r="38" ht="4.5" customHeight="1">
      <c r="H38" s="34"/>
    </row>
    <row r="39" spans="1:8" ht="12.75">
      <c r="A39" t="s">
        <v>74</v>
      </c>
      <c r="D39" s="474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1187073.79785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75">
        <v>591755</v>
      </c>
      <c r="E43" s="386">
        <f>D43</f>
        <v>591755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595318.79785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75">
        <v>198440</v>
      </c>
      <c r="E47" s="386">
        <f aca="true" t="shared" si="0" ref="E47:E53">D47</f>
        <v>198440</v>
      </c>
      <c r="H47" s="40"/>
      <c r="J47" s="5"/>
      <c r="K47" s="5"/>
    </row>
    <row r="48" spans="1:11" ht="12.75">
      <c r="A48" t="s">
        <v>289</v>
      </c>
      <c r="D48" s="475">
        <v>198440</v>
      </c>
      <c r="E48" s="386">
        <f>D48</f>
        <v>198440</v>
      </c>
      <c r="F48" s="22"/>
      <c r="H48" s="40"/>
      <c r="J48" s="5"/>
      <c r="K48" s="5"/>
    </row>
    <row r="49" spans="1:11" ht="12.75">
      <c r="A49" t="s">
        <v>290</v>
      </c>
      <c r="D49" s="475">
        <v>198440</v>
      </c>
      <c r="E49" s="386">
        <v>0</v>
      </c>
      <c r="F49" s="22"/>
      <c r="H49" s="40"/>
      <c r="J49" s="5"/>
      <c r="K49" s="5"/>
    </row>
    <row r="50" spans="1:11" ht="12.75">
      <c r="A50" t="s">
        <v>291</v>
      </c>
      <c r="D50" s="419"/>
      <c r="E50" s="386">
        <f t="shared" si="0"/>
        <v>0</v>
      </c>
      <c r="H50" s="40"/>
      <c r="J50" s="5"/>
      <c r="K50" s="5"/>
    </row>
    <row r="51" spans="1:11" ht="12.75">
      <c r="A51" t="s">
        <v>436</v>
      </c>
      <c r="D51" s="419"/>
      <c r="E51" s="386">
        <f t="shared" si="0"/>
        <v>0</v>
      </c>
      <c r="H51" s="40"/>
      <c r="J51" s="5"/>
      <c r="K51" s="5"/>
    </row>
    <row r="52" spans="1:11" ht="12.75">
      <c r="A52" t="s">
        <v>459</v>
      </c>
      <c r="D52" s="419"/>
      <c r="E52" s="386">
        <f t="shared" si="0"/>
        <v>0</v>
      </c>
      <c r="H52" s="40"/>
      <c r="J52" s="5"/>
      <c r="K52" s="5"/>
    </row>
    <row r="53" spans="4:11" ht="12.75">
      <c r="D53" s="419"/>
      <c r="E53" s="386">
        <f t="shared" si="0"/>
        <v>0</v>
      </c>
      <c r="H53" s="40"/>
      <c r="J53" s="5"/>
      <c r="K53" s="5"/>
    </row>
    <row r="54" spans="1:11" ht="12.75">
      <c r="A54" s="2" t="s">
        <v>292</v>
      </c>
      <c r="E54" s="253">
        <f>SUM(E43:E53)</f>
        <v>988635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6929794.5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684663.6966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6929794.5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1">
        <f>D60*D39</f>
        <v>502410.10124999995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2">
        <f>IF(D41&gt;0,(((D43+D47)/D41)*D62),0)</f>
        <v>334437.4635143024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2">
        <f>IF(D41&gt;0,(((D43+D47+D48)/D41)*D62),0)</f>
        <v>418424.0367775831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2">
        <f>IF(D41&gt;0,(((D43+D47+D48)/D41)*D62),0)</f>
        <v>418424.0367775831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2">
        <f>D62</f>
        <v>502410.10124999995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3" r:id="rId1"/>
  <headerFooter alignWithMargins="0">
    <oddHeader>&amp;L&amp;Z&amp;F&amp;A</oddHeader>
    <oddFooter>&amp;L&amp;8&amp;D&amp;T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75" zoomScaleNormal="75" zoomScalePageLayoutView="0" workbookViewId="0" topLeftCell="A160">
      <selection activeCell="E177" sqref="E17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461</v>
      </c>
      <c r="H1" s="209"/>
    </row>
    <row r="2" spans="1:8" ht="12.75">
      <c r="A2" s="210" t="s">
        <v>460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462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249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Niagara-on-the-Lake Hydro Inc.</v>
      </c>
      <c r="B6" s="114"/>
      <c r="D6" s="136"/>
      <c r="E6" s="114"/>
      <c r="G6" s="114"/>
      <c r="H6" s="456"/>
    </row>
    <row r="7" spans="1:8" ht="12.75">
      <c r="A7" s="210" t="str">
        <f>REGINFO!A4</f>
        <v>Reporting period:  2003</v>
      </c>
      <c r="B7" s="114"/>
      <c r="D7" s="136"/>
      <c r="E7" s="114"/>
      <c r="G7" s="114"/>
      <c r="H7" s="456"/>
    </row>
    <row r="8" spans="2:8" ht="12.75">
      <c r="B8" s="221"/>
      <c r="C8" s="229"/>
      <c r="D8" s="213"/>
      <c r="E8" s="136"/>
      <c r="F8" s="219"/>
      <c r="G8" s="182" t="s">
        <v>87</v>
      </c>
      <c r="H8" s="216"/>
    </row>
    <row r="9" spans="1:8" ht="12.75">
      <c r="A9" s="210" t="s">
        <v>126</v>
      </c>
      <c r="B9" s="420">
        <f>REGINFO!B6</f>
        <v>365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255</v>
      </c>
      <c r="B10" s="420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340</v>
      </c>
      <c r="B16" s="124">
        <v>1</v>
      </c>
      <c r="C16" s="258">
        <f>REGINFO!E54</f>
        <v>988635</v>
      </c>
      <c r="D16" s="17"/>
      <c r="E16" s="266">
        <f>G16-C16</f>
        <v>41191</v>
      </c>
      <c r="F16" s="3"/>
      <c r="G16" s="266">
        <f>TAXREC!E50</f>
        <v>1029826</v>
      </c>
      <c r="H16" s="150"/>
    </row>
    <row r="17" spans="1:10" ht="12.75">
      <c r="A17" s="151"/>
      <c r="B17" s="124"/>
      <c r="C17" s="105"/>
      <c r="D17" s="17"/>
      <c r="E17" s="138"/>
      <c r="F17" s="3"/>
      <c r="G17" s="138"/>
      <c r="H17" s="150"/>
      <c r="J17" s="34"/>
    </row>
    <row r="18" spans="1:10" ht="12.75">
      <c r="A18" s="151" t="s">
        <v>26</v>
      </c>
      <c r="B18" s="124"/>
      <c r="C18" s="105"/>
      <c r="D18" s="17"/>
      <c r="E18" s="138"/>
      <c r="F18" s="3"/>
      <c r="G18" s="138"/>
      <c r="H18" s="150"/>
      <c r="J18" s="34"/>
    </row>
    <row r="19" spans="1:10" ht="12.75">
      <c r="A19" s="155" t="s">
        <v>207</v>
      </c>
      <c r="B19" s="125"/>
      <c r="C19" s="104"/>
      <c r="D19" s="18"/>
      <c r="E19" s="138"/>
      <c r="F19" s="6"/>
      <c r="G19" s="138"/>
      <c r="H19" s="150"/>
      <c r="J19" s="34"/>
    </row>
    <row r="20" spans="1:10" ht="12.75">
      <c r="A20" s="156" t="s">
        <v>4</v>
      </c>
      <c r="B20" s="126">
        <v>2</v>
      </c>
      <c r="C20" s="260">
        <v>689379</v>
      </c>
      <c r="D20" s="18"/>
      <c r="E20" s="266">
        <f>G20-C20</f>
        <v>310850</v>
      </c>
      <c r="F20" s="6"/>
      <c r="G20" s="266">
        <f>TAXREC!E61</f>
        <v>1000229</v>
      </c>
      <c r="H20" s="150"/>
      <c r="J20" s="34"/>
    </row>
    <row r="21" spans="1:10" ht="12.75">
      <c r="A21" s="157" t="s">
        <v>56</v>
      </c>
      <c r="B21" s="126">
        <v>3</v>
      </c>
      <c r="C21" s="260"/>
      <c r="D21" s="18"/>
      <c r="E21" s="266">
        <f>G21-C21</f>
        <v>34777</v>
      </c>
      <c r="F21" s="6"/>
      <c r="G21" s="266">
        <f>TAXREC!E62</f>
        <v>34777</v>
      </c>
      <c r="H21" s="150"/>
      <c r="J21" s="34"/>
    </row>
    <row r="22" spans="1:10" ht="12.75">
      <c r="A22" s="157" t="s">
        <v>263</v>
      </c>
      <c r="B22" s="126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0"/>
      <c r="J22" s="34"/>
    </row>
    <row r="23" spans="1:10" ht="12.75">
      <c r="A23" s="157" t="s">
        <v>262</v>
      </c>
      <c r="B23" s="126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0"/>
      <c r="J23" s="34"/>
    </row>
    <row r="24" spans="1:10" ht="12.75">
      <c r="A24" s="157" t="s">
        <v>264</v>
      </c>
      <c r="B24" s="126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0"/>
      <c r="J24" s="34"/>
    </row>
    <row r="25" spans="1:10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  <c r="J25" s="34"/>
    </row>
    <row r="26" spans="1:10" ht="12.75">
      <c r="A26" s="157" t="s">
        <v>155</v>
      </c>
      <c r="B26" s="126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0"/>
      <c r="J26" s="34"/>
    </row>
    <row r="27" spans="1:10" ht="12.75">
      <c r="A27" s="157" t="s">
        <v>158</v>
      </c>
      <c r="B27" s="126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0"/>
      <c r="J27" s="34"/>
    </row>
    <row r="28" spans="1:10" ht="12.75">
      <c r="A28" s="157" t="s">
        <v>157</v>
      </c>
      <c r="B28" s="126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0"/>
      <c r="J28" s="34"/>
    </row>
    <row r="29" spans="1:10" ht="12.75">
      <c r="A29" s="157" t="s">
        <v>156</v>
      </c>
      <c r="B29" s="126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0"/>
      <c r="J29" s="34"/>
    </row>
    <row r="30" spans="1:10" ht="15.75">
      <c r="A30" s="466" t="s">
        <v>392</v>
      </c>
      <c r="B30" s="126"/>
      <c r="C30" s="258">
        <v>92205</v>
      </c>
      <c r="D30" s="18"/>
      <c r="E30" s="266">
        <f>G30-C30</f>
        <v>-90225</v>
      </c>
      <c r="F30" s="6"/>
      <c r="G30" s="266">
        <f>TAXREC!E66</f>
        <v>1980</v>
      </c>
      <c r="H30" s="150"/>
      <c r="J30" s="34"/>
    </row>
    <row r="31" spans="1:10" ht="12.75">
      <c r="A31" s="157"/>
      <c r="B31" s="126"/>
      <c r="C31" s="104"/>
      <c r="D31" s="18"/>
      <c r="E31" s="138"/>
      <c r="F31" s="6"/>
      <c r="G31" s="138"/>
      <c r="H31" s="150"/>
      <c r="J31" s="34"/>
    </row>
    <row r="32" spans="1:10" ht="12.75">
      <c r="A32" s="155" t="s">
        <v>341</v>
      </c>
      <c r="B32" s="125"/>
      <c r="C32" s="104"/>
      <c r="D32" s="131"/>
      <c r="E32" s="138"/>
      <c r="F32" s="6"/>
      <c r="G32" s="138"/>
      <c r="H32" s="150"/>
      <c r="J32" s="34"/>
    </row>
    <row r="33" spans="1:10" ht="12.75">
      <c r="A33" s="154" t="s">
        <v>103</v>
      </c>
      <c r="B33" s="126">
        <v>7</v>
      </c>
      <c r="C33" s="260">
        <v>784044</v>
      </c>
      <c r="D33" s="131"/>
      <c r="E33" s="266">
        <f aca="true" t="shared" si="0" ref="E33:E42">G33-C33</f>
        <v>449854</v>
      </c>
      <c r="F33" s="6"/>
      <c r="G33" s="266">
        <f>TAXREC!E97+TAXREC!E98</f>
        <v>1233898</v>
      </c>
      <c r="H33" s="150"/>
      <c r="J33" s="34"/>
    </row>
    <row r="34" spans="1:10" ht="12.75">
      <c r="A34" s="157" t="s">
        <v>57</v>
      </c>
      <c r="B34" s="126">
        <v>8</v>
      </c>
      <c r="C34" s="260"/>
      <c r="D34" s="131"/>
      <c r="E34" s="266">
        <f t="shared" si="0"/>
        <v>0</v>
      </c>
      <c r="F34" s="6"/>
      <c r="G34" s="266">
        <f>TAXREC!E99</f>
        <v>0</v>
      </c>
      <c r="H34" s="150"/>
      <c r="J34" s="34"/>
    </row>
    <row r="35" spans="1:10" ht="12.75">
      <c r="A35" s="157" t="s">
        <v>45</v>
      </c>
      <c r="B35" s="126">
        <v>9</v>
      </c>
      <c r="C35" s="260"/>
      <c r="D35" s="131"/>
      <c r="E35" s="266">
        <f t="shared" si="0"/>
        <v>0</v>
      </c>
      <c r="F35" s="6"/>
      <c r="G35" s="266">
        <f>TAXREC!E100</f>
        <v>0</v>
      </c>
      <c r="H35" s="150"/>
      <c r="J35" s="34"/>
    </row>
    <row r="36" spans="1:10" ht="12.75">
      <c r="A36" s="157" t="s">
        <v>265</v>
      </c>
      <c r="B36" s="126">
        <v>10</v>
      </c>
      <c r="C36" s="260"/>
      <c r="D36" s="131"/>
      <c r="E36" s="266">
        <f t="shared" si="0"/>
        <v>0</v>
      </c>
      <c r="F36" s="6"/>
      <c r="G36" s="266">
        <f>TAXREC!E102+TAXREC!E103</f>
        <v>0</v>
      </c>
      <c r="H36" s="150"/>
      <c r="J36" s="34"/>
    </row>
    <row r="37" spans="1:10" ht="12.75">
      <c r="A37" s="154" t="s">
        <v>86</v>
      </c>
      <c r="B37" s="124">
        <v>11</v>
      </c>
      <c r="C37" s="259">
        <f>REGINFO!D66</f>
        <v>418424.0367775831</v>
      </c>
      <c r="D37" s="131"/>
      <c r="E37" s="266">
        <f t="shared" si="0"/>
        <v>174715.96322241687</v>
      </c>
      <c r="F37" s="6"/>
      <c r="G37" s="266">
        <f>TAXREC!E51</f>
        <v>593140</v>
      </c>
      <c r="H37" s="150"/>
      <c r="J37" s="34"/>
    </row>
    <row r="38" spans="1:10" ht="12.75">
      <c r="A38" s="154" t="s">
        <v>261</v>
      </c>
      <c r="B38" s="124">
        <v>4</v>
      </c>
      <c r="C38" s="260"/>
      <c r="D38" s="131"/>
      <c r="E38" s="266">
        <f t="shared" si="0"/>
        <v>0</v>
      </c>
      <c r="F38" s="6"/>
      <c r="G38" s="266">
        <f>TAXREC!E104</f>
        <v>0</v>
      </c>
      <c r="H38" s="150"/>
      <c r="J38" s="34"/>
    </row>
    <row r="39" spans="1:10" ht="12.75">
      <c r="A39" s="154" t="s">
        <v>260</v>
      </c>
      <c r="B39" s="124">
        <v>4</v>
      </c>
      <c r="C39" s="260"/>
      <c r="D39" s="131"/>
      <c r="E39" s="266">
        <f t="shared" si="0"/>
        <v>0</v>
      </c>
      <c r="F39" s="6"/>
      <c r="G39" s="266">
        <f>TAXREC!E105</f>
        <v>0</v>
      </c>
      <c r="H39" s="150"/>
      <c r="J39" s="34"/>
    </row>
    <row r="40" spans="1:10" ht="12.75">
      <c r="A40" s="154" t="s">
        <v>12</v>
      </c>
      <c r="B40" s="124">
        <v>3</v>
      </c>
      <c r="C40" s="260"/>
      <c r="D40" s="131"/>
      <c r="E40" s="266">
        <f t="shared" si="0"/>
        <v>0</v>
      </c>
      <c r="F40" s="6"/>
      <c r="G40" s="266">
        <f>TAXREC!E106</f>
        <v>0</v>
      </c>
      <c r="H40" s="150"/>
      <c r="J40" s="34"/>
    </row>
    <row r="41" spans="1:10" ht="12.75">
      <c r="A41" s="154" t="s">
        <v>13</v>
      </c>
      <c r="B41" s="124">
        <v>3</v>
      </c>
      <c r="C41" s="260"/>
      <c r="D41" s="131"/>
      <c r="E41" s="266">
        <f t="shared" si="0"/>
        <v>0</v>
      </c>
      <c r="F41" s="6"/>
      <c r="G41" s="266">
        <f>TAXREC!E107</f>
        <v>0</v>
      </c>
      <c r="H41" s="150"/>
      <c r="J41" s="34"/>
    </row>
    <row r="42" spans="1:10" ht="12.75">
      <c r="A42" s="154" t="s">
        <v>183</v>
      </c>
      <c r="B42" s="124">
        <v>11</v>
      </c>
      <c r="C42" s="260"/>
      <c r="D42" s="131"/>
      <c r="E42" s="266">
        <f t="shared" si="0"/>
        <v>0</v>
      </c>
      <c r="F42" s="6"/>
      <c r="G42" s="266">
        <f>TAXREC!E109</f>
        <v>0</v>
      </c>
      <c r="H42" s="150"/>
      <c r="J42" s="34"/>
    </row>
    <row r="43" spans="1:10" ht="12.75">
      <c r="A43" s="157" t="s">
        <v>54</v>
      </c>
      <c r="B43" s="126"/>
      <c r="C43" s="104"/>
      <c r="D43" s="131"/>
      <c r="E43" s="138"/>
      <c r="F43" s="6"/>
      <c r="G43" s="138"/>
      <c r="H43" s="150"/>
      <c r="J43" s="34"/>
    </row>
    <row r="44" spans="1:10" ht="12.75">
      <c r="A44" s="157" t="s">
        <v>155</v>
      </c>
      <c r="B44" s="126">
        <v>12</v>
      </c>
      <c r="C44" s="260"/>
      <c r="D44" s="131"/>
      <c r="E44" s="266">
        <f>G44-C44</f>
        <v>0</v>
      </c>
      <c r="F44" s="6"/>
      <c r="G44" s="250">
        <f>TAXREC!E130</f>
        <v>0</v>
      </c>
      <c r="H44" s="150"/>
      <c r="J44" s="34"/>
    </row>
    <row r="45" spans="1:10" ht="12.75">
      <c r="A45" s="157" t="s">
        <v>152</v>
      </c>
      <c r="B45" s="126">
        <v>12</v>
      </c>
      <c r="C45" s="260"/>
      <c r="D45" s="131"/>
      <c r="E45" s="266">
        <f>G45-C45</f>
        <v>0</v>
      </c>
      <c r="F45" s="6"/>
      <c r="G45" s="250">
        <f>TAXREC!E131</f>
        <v>0</v>
      </c>
      <c r="H45" s="150"/>
      <c r="J45" s="34"/>
    </row>
    <row r="46" spans="1:10" ht="12.75">
      <c r="A46" s="157" t="s">
        <v>154</v>
      </c>
      <c r="B46" s="126">
        <v>12</v>
      </c>
      <c r="C46" s="260"/>
      <c r="D46" s="131"/>
      <c r="E46" s="266">
        <f>G46-C46</f>
        <v>0</v>
      </c>
      <c r="F46" s="6"/>
      <c r="G46" s="250">
        <f>TAXREC!E110</f>
        <v>0</v>
      </c>
      <c r="H46" s="150"/>
      <c r="J46" s="34"/>
    </row>
    <row r="47" spans="1:10" ht="12.75">
      <c r="A47" s="157" t="s">
        <v>153</v>
      </c>
      <c r="B47" s="126">
        <v>12</v>
      </c>
      <c r="C47" s="260"/>
      <c r="D47" s="131"/>
      <c r="E47" s="266">
        <f>G47-C47</f>
        <v>0</v>
      </c>
      <c r="F47" s="6"/>
      <c r="G47" s="250">
        <f>TAXREC!E111</f>
        <v>0</v>
      </c>
      <c r="H47" s="150"/>
      <c r="J47" s="34"/>
    </row>
    <row r="48" spans="1:10" ht="15.75">
      <c r="A48" s="466" t="s">
        <v>392</v>
      </c>
      <c r="B48" s="126"/>
      <c r="C48" s="258"/>
      <c r="D48" s="131"/>
      <c r="E48" s="266">
        <f>G48-C48</f>
        <v>346565</v>
      </c>
      <c r="F48" s="6"/>
      <c r="G48" s="250">
        <f>TAXREC!E108</f>
        <v>346565</v>
      </c>
      <c r="H48" s="150"/>
      <c r="J48" s="34"/>
    </row>
    <row r="49" spans="1:10" ht="12.75">
      <c r="A49" s="157"/>
      <c r="B49" s="126"/>
      <c r="C49" s="104"/>
      <c r="D49" s="131"/>
      <c r="E49" s="138"/>
      <c r="F49" s="6"/>
      <c r="G49" s="138"/>
      <c r="H49" s="150"/>
      <c r="J49" s="34"/>
    </row>
    <row r="50" spans="1:10" ht="12.75">
      <c r="A50" s="151" t="s">
        <v>327</v>
      </c>
      <c r="B50" s="124"/>
      <c r="C50" s="262">
        <f>C16+SUM(C20:C30)-SUM(C33:C48)</f>
        <v>567750.9632224168</v>
      </c>
      <c r="D50" s="101"/>
      <c r="E50" s="262">
        <f>E16+SUM(E20:E30)-SUM(E33:E48)</f>
        <v>-674541.9632224168</v>
      </c>
      <c r="F50" s="422"/>
      <c r="G50" s="262">
        <f>G16+SUM(G20:G30)-SUM(G33:G48)</f>
        <v>-106791</v>
      </c>
      <c r="H50" s="159"/>
      <c r="J50" s="34"/>
    </row>
    <row r="51" spans="1:10" ht="12.75">
      <c r="A51" s="158"/>
      <c r="B51" s="124"/>
      <c r="C51" s="106"/>
      <c r="D51" s="131"/>
      <c r="E51" s="106"/>
      <c r="F51" s="6"/>
      <c r="G51" s="106"/>
      <c r="H51" s="150"/>
      <c r="I51" s="115"/>
      <c r="J51" s="34"/>
    </row>
    <row r="52" spans="1:10" ht="12.75">
      <c r="A52" s="157" t="s">
        <v>335</v>
      </c>
      <c r="B52" s="126"/>
      <c r="C52" s="107"/>
      <c r="D52" s="131"/>
      <c r="E52" s="138"/>
      <c r="F52" s="6"/>
      <c r="G52" s="138"/>
      <c r="H52" s="150"/>
      <c r="J52" s="34"/>
    </row>
    <row r="53" spans="1:10" ht="12.75">
      <c r="A53" s="157" t="s">
        <v>339</v>
      </c>
      <c r="B53" s="126">
        <v>13</v>
      </c>
      <c r="C53" s="261">
        <f>IF($C$50&gt;'Tax Rates'!$E$11,'Tax Rates'!$F$16,IF($C$50&gt;'Tax Rates'!$C$11,'Tax Rates'!$E$16,'Tax Rates'!$C$16))</f>
        <v>0.3412</v>
      </c>
      <c r="D53" s="101"/>
      <c r="E53" s="267">
        <f>+G53-C53</f>
        <v>-0.5047624724930003</v>
      </c>
      <c r="F53" s="113"/>
      <c r="G53" s="480">
        <f>TAXREC!E151</f>
        <v>-0.16356247249300035</v>
      </c>
      <c r="H53" s="150"/>
      <c r="I53" s="461"/>
      <c r="J53" s="34"/>
    </row>
    <row r="54" spans="1:10" ht="12.75">
      <c r="A54" s="157"/>
      <c r="B54" s="126"/>
      <c r="C54" s="104"/>
      <c r="D54" s="131"/>
      <c r="E54" s="138"/>
      <c r="F54" s="6"/>
      <c r="G54" s="138"/>
      <c r="H54" s="150"/>
      <c r="J54" s="34"/>
    </row>
    <row r="55" spans="1:10" ht="12.75">
      <c r="A55" s="157" t="s">
        <v>28</v>
      </c>
      <c r="B55" s="126"/>
      <c r="C55" s="263">
        <f>IF(C50&gt;0,C50*C53,0)</f>
        <v>193716.62865148863</v>
      </c>
      <c r="D55" s="101"/>
      <c r="E55" s="266">
        <f>G55-C55</f>
        <v>-176249.62865148863</v>
      </c>
      <c r="F55" s="422"/>
      <c r="G55" s="263">
        <f>TAXREC!E144</f>
        <v>17467</v>
      </c>
      <c r="H55" s="160"/>
      <c r="J55" s="34"/>
    </row>
    <row r="56" spans="1:10" ht="12.75">
      <c r="A56" s="157"/>
      <c r="B56" s="126"/>
      <c r="C56" s="104"/>
      <c r="D56" s="131"/>
      <c r="E56" s="138"/>
      <c r="F56" s="113"/>
      <c r="G56" s="138"/>
      <c r="H56" s="150"/>
      <c r="J56" s="34"/>
    </row>
    <row r="57" spans="1:10" ht="12.75">
      <c r="A57" s="157"/>
      <c r="B57" s="126"/>
      <c r="C57" s="104"/>
      <c r="D57" s="131"/>
      <c r="E57" s="138"/>
      <c r="F57" s="6"/>
      <c r="G57" s="138"/>
      <c r="H57" s="150"/>
      <c r="J57" s="34"/>
    </row>
    <row r="58" spans="1:10" ht="12.75">
      <c r="A58" s="157" t="s">
        <v>36</v>
      </c>
      <c r="B58" s="126">
        <v>14</v>
      </c>
      <c r="C58" s="264"/>
      <c r="D58" s="131"/>
      <c r="E58" s="266">
        <f>+G58-C58</f>
        <v>0</v>
      </c>
      <c r="F58" s="422"/>
      <c r="G58" s="269">
        <f>TAXREC!E145</f>
        <v>0</v>
      </c>
      <c r="H58" s="150"/>
      <c r="J58" s="34"/>
    </row>
    <row r="59" spans="1:10" ht="13.5" thickBot="1">
      <c r="A59" s="157"/>
      <c r="B59" s="126"/>
      <c r="C59" s="104"/>
      <c r="D59" s="18"/>
      <c r="E59" s="138"/>
      <c r="F59" s="6"/>
      <c r="G59" s="138"/>
      <c r="H59" s="150"/>
      <c r="J59" s="34"/>
    </row>
    <row r="60" spans="1:10" ht="13.5" thickBot="1">
      <c r="A60" s="149" t="s">
        <v>37</v>
      </c>
      <c r="B60" s="133"/>
      <c r="C60" s="265">
        <f>+C55-C58</f>
        <v>193716.62865148863</v>
      </c>
      <c r="D60" s="132"/>
      <c r="E60" s="268">
        <f>+E55-E58</f>
        <v>-176249.62865148863</v>
      </c>
      <c r="F60" s="422"/>
      <c r="G60" s="268">
        <f>+G55-G58</f>
        <v>17467</v>
      </c>
      <c r="H60" s="134"/>
      <c r="J60" s="34"/>
    </row>
    <row r="61" spans="1:10" ht="12.75">
      <c r="A61" s="157"/>
      <c r="B61" s="126"/>
      <c r="C61" s="104"/>
      <c r="D61" s="18"/>
      <c r="E61" s="138"/>
      <c r="F61" s="6"/>
      <c r="G61" s="138"/>
      <c r="H61" s="150"/>
      <c r="J61" s="34"/>
    </row>
    <row r="62" spans="1:10" ht="12.75">
      <c r="A62" s="157"/>
      <c r="B62" s="122"/>
      <c r="C62" s="104"/>
      <c r="D62" s="18"/>
      <c r="E62" s="138"/>
      <c r="F62" s="6"/>
      <c r="G62" s="138"/>
      <c r="H62" s="150"/>
      <c r="J62" s="34"/>
    </row>
    <row r="63" spans="1:10" ht="12.75">
      <c r="A63" s="153" t="s">
        <v>31</v>
      </c>
      <c r="B63" s="127"/>
      <c r="C63" s="104"/>
      <c r="D63" s="18"/>
      <c r="E63" s="138"/>
      <c r="F63" s="6"/>
      <c r="G63" s="138"/>
      <c r="H63" s="150"/>
      <c r="J63" s="34"/>
    </row>
    <row r="64" spans="1:10" ht="12.75">
      <c r="A64" s="157"/>
      <c r="B64" s="126"/>
      <c r="C64" s="104"/>
      <c r="D64" s="18"/>
      <c r="E64" s="138"/>
      <c r="F64" s="6"/>
      <c r="G64" s="138"/>
      <c r="H64" s="150"/>
      <c r="J64" s="34"/>
    </row>
    <row r="65" spans="1:10" ht="12.75">
      <c r="A65" s="155" t="s">
        <v>29</v>
      </c>
      <c r="B65" s="125"/>
      <c r="C65" s="104"/>
      <c r="D65" s="18"/>
      <c r="E65" s="138"/>
      <c r="F65" s="6"/>
      <c r="G65" s="138"/>
      <c r="H65" s="150"/>
      <c r="J65" s="34"/>
    </row>
    <row r="66" spans="1:10" ht="12.75">
      <c r="A66" s="151" t="s">
        <v>17</v>
      </c>
      <c r="B66" s="124">
        <v>15</v>
      </c>
      <c r="C66" s="263">
        <f>Ratebase</f>
        <v>13859589</v>
      </c>
      <c r="D66" s="101"/>
      <c r="E66" s="266">
        <f>G66-C66</f>
        <v>4064237</v>
      </c>
      <c r="F66" s="6"/>
      <c r="G66" s="264">
        <v>17923826</v>
      </c>
      <c r="H66" s="150"/>
      <c r="I66" s="462" t="s">
        <v>472</v>
      </c>
      <c r="J66" s="34"/>
    </row>
    <row r="67" spans="1:10" ht="12.75">
      <c r="A67" s="151" t="s">
        <v>359</v>
      </c>
      <c r="B67" s="124">
        <v>16</v>
      </c>
      <c r="C67" s="259">
        <f>IF(C66&gt;0,'Tax Rates'!C21,0)</f>
        <v>5000000</v>
      </c>
      <c r="D67" s="101"/>
      <c r="E67" s="266">
        <f>G67-C67</f>
        <v>-84503</v>
      </c>
      <c r="F67" s="6"/>
      <c r="G67" s="266">
        <f>'Tax Rates'!C57</f>
        <v>4915497</v>
      </c>
      <c r="H67" s="150"/>
      <c r="I67" s="462" t="s">
        <v>472</v>
      </c>
      <c r="J67" s="478"/>
    </row>
    <row r="68" spans="1:10" ht="12.75">
      <c r="A68" s="151" t="s">
        <v>42</v>
      </c>
      <c r="B68" s="124"/>
      <c r="C68" s="263">
        <f>IF((C66-C67)&gt;0,C66-C67,0)</f>
        <v>8859589</v>
      </c>
      <c r="D68" s="101"/>
      <c r="E68" s="266">
        <f>SUM(E66:E67)</f>
        <v>3979734</v>
      </c>
      <c r="F68" s="113"/>
      <c r="G68" s="263">
        <f>G66-G67</f>
        <v>13008329</v>
      </c>
      <c r="H68" s="159"/>
      <c r="J68" s="34"/>
    </row>
    <row r="69" spans="1:10" ht="12.75">
      <c r="A69" s="151"/>
      <c r="B69" s="124"/>
      <c r="C69" s="109"/>
      <c r="D69" s="18"/>
      <c r="E69" s="138"/>
      <c r="F69" s="6"/>
      <c r="G69" s="138"/>
      <c r="H69" s="150"/>
      <c r="J69" s="34"/>
    </row>
    <row r="70" spans="1:10" ht="12.75">
      <c r="A70" s="151" t="s">
        <v>360</v>
      </c>
      <c r="B70" s="124">
        <v>17</v>
      </c>
      <c r="C70" s="300">
        <f>'Tax Rates'!C18</f>
        <v>0.003</v>
      </c>
      <c r="D70" s="101"/>
      <c r="E70" s="267">
        <f>+G70-C70</f>
        <v>0</v>
      </c>
      <c r="F70" s="6"/>
      <c r="G70" s="300">
        <v>0.003</v>
      </c>
      <c r="H70" s="150"/>
      <c r="J70" s="34"/>
    </row>
    <row r="71" spans="1:10" ht="12.75">
      <c r="A71" s="151"/>
      <c r="B71" s="124"/>
      <c r="C71" s="184"/>
      <c r="D71" s="18"/>
      <c r="E71" s="139"/>
      <c r="F71" s="6"/>
      <c r="G71" s="184"/>
      <c r="H71" s="150"/>
      <c r="J71" s="34"/>
    </row>
    <row r="72" spans="1:10" ht="12.75">
      <c r="A72" s="151" t="s">
        <v>316</v>
      </c>
      <c r="B72" s="124"/>
      <c r="C72" s="263">
        <f>IF(C68&gt;0,C68*C70,0)*REGINFO!$B$6/REGINFO!$B$7</f>
        <v>26578.767</v>
      </c>
      <c r="D72" s="100"/>
      <c r="E72" s="266">
        <f>+G72-C72</f>
        <v>12446.220000000001</v>
      </c>
      <c r="F72" s="463"/>
      <c r="G72" s="263">
        <f>IF(G68&gt;0,G68*G70,0)*REGINFO!$B$6/REGINFO!$B$7</f>
        <v>39024.987</v>
      </c>
      <c r="H72" s="160"/>
      <c r="J72" s="34"/>
    </row>
    <row r="73" spans="1:10" ht="12.75">
      <c r="A73" s="149"/>
      <c r="B73" s="128"/>
      <c r="C73" s="109"/>
      <c r="D73" s="135"/>
      <c r="E73" s="138"/>
      <c r="F73" s="6"/>
      <c r="G73" s="138"/>
      <c r="H73" s="150"/>
      <c r="J73" s="34"/>
    </row>
    <row r="74" spans="1:10" ht="12.75">
      <c r="A74" s="155" t="s">
        <v>217</v>
      </c>
      <c r="B74" s="125"/>
      <c r="C74" s="109"/>
      <c r="D74" s="18"/>
      <c r="E74" s="138"/>
      <c r="F74" s="6"/>
      <c r="G74" s="138"/>
      <c r="H74" s="150"/>
      <c r="J74" s="34"/>
    </row>
    <row r="75" spans="1:10" ht="12.75">
      <c r="A75" s="151" t="s">
        <v>17</v>
      </c>
      <c r="B75" s="124">
        <v>18</v>
      </c>
      <c r="C75" s="263">
        <f>Ratebase</f>
        <v>13859589</v>
      </c>
      <c r="D75" s="101"/>
      <c r="E75" s="266">
        <f>+G75-C75</f>
        <v>4583681</v>
      </c>
      <c r="F75" s="6"/>
      <c r="G75" s="264">
        <v>18443270</v>
      </c>
      <c r="H75" s="150"/>
      <c r="I75" s="462" t="s">
        <v>472</v>
      </c>
      <c r="J75" s="34"/>
    </row>
    <row r="76" spans="1:10" ht="12.75">
      <c r="A76" s="151" t="s">
        <v>359</v>
      </c>
      <c r="B76" s="124">
        <v>19</v>
      </c>
      <c r="C76" s="259">
        <f>IF(C75&gt;0,'Tax Rates'!C22,0)</f>
        <v>10000000</v>
      </c>
      <c r="D76" s="18"/>
      <c r="E76" s="266">
        <f>+G76-C76</f>
        <v>-9331</v>
      </c>
      <c r="F76" s="6"/>
      <c r="G76" s="266">
        <f>'Tax Rates'!C58</f>
        <v>9990669</v>
      </c>
      <c r="H76" s="150"/>
      <c r="I76" s="462" t="s">
        <v>472</v>
      </c>
      <c r="J76" s="34"/>
    </row>
    <row r="77" spans="1:10" ht="12.75">
      <c r="A77" s="151" t="s">
        <v>42</v>
      </c>
      <c r="B77" s="124"/>
      <c r="C77" s="263">
        <f>IF((C75-C76)&gt;0,C75-C76,0)</f>
        <v>3859589</v>
      </c>
      <c r="D77" s="19"/>
      <c r="E77" s="266">
        <f>SUM(E75:E76)</f>
        <v>4574350</v>
      </c>
      <c r="F77" s="113"/>
      <c r="G77" s="263">
        <f>G75-G76</f>
        <v>8452601</v>
      </c>
      <c r="H77" s="159"/>
      <c r="J77" s="34"/>
    </row>
    <row r="78" spans="1:10" ht="12.75">
      <c r="A78" s="151"/>
      <c r="B78" s="124"/>
      <c r="C78" s="109"/>
      <c r="D78" s="18"/>
      <c r="E78" s="138"/>
      <c r="F78" s="6"/>
      <c r="G78" s="138"/>
      <c r="H78" s="150"/>
      <c r="J78" s="34"/>
    </row>
    <row r="79" spans="1:10" ht="12.75">
      <c r="A79" s="151" t="s">
        <v>360</v>
      </c>
      <c r="B79" s="124">
        <v>20</v>
      </c>
      <c r="C79" s="300">
        <f>'Tax Rates'!C19</f>
        <v>0.00225</v>
      </c>
      <c r="D79" s="101"/>
      <c r="E79" s="267">
        <f>G79-C79</f>
        <v>0</v>
      </c>
      <c r="F79" s="6"/>
      <c r="G79" s="267">
        <f>'Tax Rates'!C55</f>
        <v>0.00225</v>
      </c>
      <c r="H79" s="150"/>
      <c r="J79" s="34"/>
    </row>
    <row r="80" spans="1:10" ht="12.75">
      <c r="A80" s="151"/>
      <c r="B80" s="124"/>
      <c r="C80" s="109"/>
      <c r="D80" s="18"/>
      <c r="E80" s="138"/>
      <c r="F80" s="6"/>
      <c r="G80" s="138"/>
      <c r="H80" s="150"/>
      <c r="J80" s="34"/>
    </row>
    <row r="81" spans="1:10" ht="12.75">
      <c r="A81" s="151" t="s">
        <v>317</v>
      </c>
      <c r="B81" s="124"/>
      <c r="C81" s="263">
        <f>IF(C77&gt;0,C77*C79,0)*REGINFO!$B$6/REGINFO!$B$7</f>
        <v>8684.07525</v>
      </c>
      <c r="D81" s="101"/>
      <c r="E81" s="266">
        <f>+G81-C81</f>
        <v>10334.277</v>
      </c>
      <c r="F81" s="6"/>
      <c r="G81" s="263">
        <f>G77*G79*B9/B10</f>
        <v>19018.35225</v>
      </c>
      <c r="H81" s="150"/>
      <c r="J81" s="34"/>
    </row>
    <row r="82" spans="1:10" ht="12.75">
      <c r="A82" s="151" t="s">
        <v>318</v>
      </c>
      <c r="B82" s="124">
        <v>21</v>
      </c>
      <c r="C82" s="299">
        <f>IF(C77&gt;0,IF(C60&gt;0,C50*'Tax Rates'!C20,0),0)</f>
        <v>6358.810788091068</v>
      </c>
      <c r="D82" s="101"/>
      <c r="E82" s="266">
        <f>+G82-C82</f>
        <v>-6358.810788091068</v>
      </c>
      <c r="F82" s="6"/>
      <c r="G82" s="299">
        <f>IF(G77&gt;0,IF(G60&gt;0,G50*'Tax Rates'!G20,0),0)</f>
        <v>0</v>
      </c>
      <c r="H82" s="150"/>
      <c r="J82" s="34"/>
    </row>
    <row r="83" spans="1:10" ht="12.75">
      <c r="A83" s="151"/>
      <c r="B83" s="124"/>
      <c r="C83" s="109"/>
      <c r="D83" s="18"/>
      <c r="E83" s="138"/>
      <c r="F83" s="6"/>
      <c r="G83" s="138"/>
      <c r="H83" s="150"/>
      <c r="J83" s="34"/>
    </row>
    <row r="84" spans="1:12" ht="12.75">
      <c r="A84" s="151" t="s">
        <v>32</v>
      </c>
      <c r="B84" s="124"/>
      <c r="C84" s="263">
        <f>C81-C82</f>
        <v>2325.2644619089315</v>
      </c>
      <c r="D84" s="16"/>
      <c r="E84" s="266">
        <f>E81-E82</f>
        <v>16693.08778809107</v>
      </c>
      <c r="F84" s="102"/>
      <c r="G84" s="263">
        <f>G81-G82</f>
        <v>19018.35225</v>
      </c>
      <c r="H84" s="160"/>
      <c r="J84" s="34"/>
      <c r="L84" s="22"/>
    </row>
    <row r="85" spans="1:10" ht="12.75">
      <c r="A85" s="151"/>
      <c r="B85" s="124"/>
      <c r="C85" s="104"/>
      <c r="D85" s="11"/>
      <c r="E85" s="140"/>
      <c r="F85" s="6"/>
      <c r="G85" s="140"/>
      <c r="H85" s="162"/>
      <c r="J85" s="34"/>
    </row>
    <row r="86" spans="1:10" ht="12.75">
      <c r="A86" s="153" t="s">
        <v>118</v>
      </c>
      <c r="B86" s="127"/>
      <c r="C86" s="104"/>
      <c r="D86" s="11"/>
      <c r="E86" s="114"/>
      <c r="F86" s="3"/>
      <c r="G86" s="122"/>
      <c r="H86" s="150"/>
      <c r="J86" s="34"/>
    </row>
    <row r="87" spans="1:10" ht="12.75">
      <c r="A87" s="153"/>
      <c r="B87" s="127"/>
      <c r="C87" s="104"/>
      <c r="D87" s="11"/>
      <c r="E87" s="113"/>
      <c r="F87" s="6"/>
      <c r="G87" s="197"/>
      <c r="H87" s="150"/>
      <c r="J87" s="34"/>
    </row>
    <row r="88" spans="1:10" ht="12.75">
      <c r="A88" s="151" t="s">
        <v>226</v>
      </c>
      <c r="B88" s="124"/>
      <c r="C88" s="261">
        <f>IF($C$50&gt;'Tax Rates'!$E$11,'Tax Rates'!$F$16,IF(AND($C$50&gt;='Tax Rates'!$C$11,$C$50&lt;='Tax Rates'!E11),'Tax Rates'!$E$16,'Tax Rates'!$C$16))-1.12%</f>
        <v>0.33</v>
      </c>
      <c r="D88" s="11"/>
      <c r="E88" s="113"/>
      <c r="F88" s="6"/>
      <c r="G88" s="197"/>
      <c r="H88" s="150"/>
      <c r="J88" s="34"/>
    </row>
    <row r="89" spans="1:10" ht="12.75">
      <c r="A89" s="149"/>
      <c r="B89" s="128"/>
      <c r="C89" s="109"/>
      <c r="D89" s="11"/>
      <c r="E89" s="113"/>
      <c r="F89" s="6"/>
      <c r="G89" s="197"/>
      <c r="H89" s="150"/>
      <c r="J89" s="34"/>
    </row>
    <row r="90" spans="1:10" ht="12.75">
      <c r="A90" s="157" t="s">
        <v>366</v>
      </c>
      <c r="B90" s="126">
        <v>22</v>
      </c>
      <c r="C90" s="263">
        <f>C60/(1-C88)</f>
        <v>289129.29649475915</v>
      </c>
      <c r="D90" s="20"/>
      <c r="E90" s="138"/>
      <c r="F90" s="421" t="s">
        <v>478</v>
      </c>
      <c r="G90" s="269">
        <f>TAXREC!E156</f>
        <v>17467</v>
      </c>
      <c r="H90" s="150"/>
      <c r="J90" s="34"/>
    </row>
    <row r="91" spans="1:10" ht="12.75">
      <c r="A91" s="157" t="s">
        <v>367</v>
      </c>
      <c r="B91" s="126">
        <v>23</v>
      </c>
      <c r="C91" s="263">
        <f>C84/(1-C88)</f>
        <v>3470.5439729984055</v>
      </c>
      <c r="D91" s="20"/>
      <c r="E91" s="138"/>
      <c r="F91" s="421" t="s">
        <v>478</v>
      </c>
      <c r="G91" s="269">
        <f>TAXREC!E158</f>
        <v>19018</v>
      </c>
      <c r="H91" s="150"/>
      <c r="J91" s="34"/>
    </row>
    <row r="92" spans="1:10" ht="12.75">
      <c r="A92" s="157" t="s">
        <v>347</v>
      </c>
      <c r="B92" s="126">
        <v>24</v>
      </c>
      <c r="C92" s="263">
        <f>C72</f>
        <v>26578.767</v>
      </c>
      <c r="D92" s="20"/>
      <c r="E92" s="138"/>
      <c r="F92" s="421" t="s">
        <v>478</v>
      </c>
      <c r="G92" s="269">
        <f>TAXREC!E157</f>
        <v>39025</v>
      </c>
      <c r="H92" s="150"/>
      <c r="J92" s="34"/>
    </row>
    <row r="93" spans="1:10" ht="12.75">
      <c r="A93" s="157"/>
      <c r="B93" s="126"/>
      <c r="C93" s="109"/>
      <c r="D93" s="11"/>
      <c r="E93" s="138"/>
      <c r="F93" s="6"/>
      <c r="G93" s="138"/>
      <c r="H93" s="150"/>
      <c r="J93" s="34"/>
    </row>
    <row r="94" spans="1:10" ht="13.5" thickBot="1">
      <c r="A94" s="157"/>
      <c r="B94" s="126"/>
      <c r="C94" s="109"/>
      <c r="D94" s="11"/>
      <c r="E94" s="138"/>
      <c r="F94" s="6"/>
      <c r="G94" s="138"/>
      <c r="H94" s="150"/>
      <c r="J94" s="34"/>
    </row>
    <row r="95" spans="1:10" ht="13.5" thickBot="1">
      <c r="A95" s="155" t="s">
        <v>479</v>
      </c>
      <c r="B95" s="124">
        <v>25</v>
      </c>
      <c r="C95" s="268">
        <f>SUM(C90:C93)</f>
        <v>319178.60746775754</v>
      </c>
      <c r="D95" s="6"/>
      <c r="E95" s="138"/>
      <c r="F95" s="421" t="s">
        <v>478</v>
      </c>
      <c r="G95" s="411">
        <f>SUM(G90:G94)</f>
        <v>75510</v>
      </c>
      <c r="H95" s="163"/>
      <c r="J95" s="34"/>
    </row>
    <row r="96" spans="1:10" ht="12.75">
      <c r="A96" s="402" t="s">
        <v>307</v>
      </c>
      <c r="B96" s="124"/>
      <c r="C96" s="104"/>
      <c r="D96" s="6"/>
      <c r="E96" s="108"/>
      <c r="F96" s="6"/>
      <c r="G96" s="138"/>
      <c r="H96" s="163"/>
      <c r="J96" s="34"/>
    </row>
    <row r="97" spans="1:10" ht="13.5" thickBot="1">
      <c r="A97" s="151"/>
      <c r="B97" s="124"/>
      <c r="C97" s="104"/>
      <c r="D97" s="6"/>
      <c r="E97" s="108"/>
      <c r="F97" s="6"/>
      <c r="G97" s="138"/>
      <c r="H97" s="181"/>
      <c r="J97" s="34"/>
    </row>
    <row r="98" spans="1:10" ht="13.5" thickTop="1">
      <c r="A98" s="164"/>
      <c r="B98" s="123"/>
      <c r="C98" s="110"/>
      <c r="D98" s="7"/>
      <c r="E98" s="141"/>
      <c r="F98" s="7"/>
      <c r="G98" s="198"/>
      <c r="H98" s="163"/>
      <c r="J98" s="34"/>
    </row>
    <row r="99" spans="1:10" ht="12.75">
      <c r="A99" s="155" t="s">
        <v>304</v>
      </c>
      <c r="B99" s="122"/>
      <c r="C99" s="111"/>
      <c r="D99" s="3"/>
      <c r="E99" s="111"/>
      <c r="F99" s="3"/>
      <c r="G99" s="199"/>
      <c r="H99" s="163"/>
      <c r="J99" s="34"/>
    </row>
    <row r="100" spans="1:10" ht="15">
      <c r="A100" s="165" t="s">
        <v>246</v>
      </c>
      <c r="B100" s="122"/>
      <c r="C100" s="111"/>
      <c r="D100" s="3"/>
      <c r="E100" s="142" t="s">
        <v>248</v>
      </c>
      <c r="F100" s="37"/>
      <c r="G100" s="199"/>
      <c r="H100" s="163"/>
      <c r="J100" s="34"/>
    </row>
    <row r="101" spans="1:10" ht="12.75">
      <c r="A101" s="155" t="s">
        <v>345</v>
      </c>
      <c r="B101" s="122"/>
      <c r="C101" s="111"/>
      <c r="D101" s="3"/>
      <c r="E101" s="111"/>
      <c r="F101" s="37"/>
      <c r="G101" s="199"/>
      <c r="H101" s="163"/>
      <c r="J101" s="34"/>
    </row>
    <row r="102" spans="1:10" ht="12.75">
      <c r="A102" s="157" t="s">
        <v>56</v>
      </c>
      <c r="B102" s="126">
        <v>3</v>
      </c>
      <c r="C102" s="111"/>
      <c r="D102" s="3"/>
      <c r="E102" s="250">
        <f>E21</f>
        <v>34777</v>
      </c>
      <c r="F102" s="37"/>
      <c r="G102" s="200"/>
      <c r="H102" s="163"/>
      <c r="J102" s="34"/>
    </row>
    <row r="103" spans="1:10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  <c r="J103" s="34"/>
    </row>
    <row r="104" spans="1:10" ht="12.75">
      <c r="A104" s="157" t="s">
        <v>100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  <c r="J104" s="34"/>
    </row>
    <row r="105" spans="1:10" ht="12.75">
      <c r="A105" s="157" t="s">
        <v>44</v>
      </c>
      <c r="B105" s="126">
        <v>5</v>
      </c>
      <c r="C105" s="111"/>
      <c r="D105" s="3"/>
      <c r="E105" s="250">
        <f>E24</f>
        <v>0</v>
      </c>
      <c r="F105" s="37"/>
      <c r="G105" s="200"/>
      <c r="H105" s="163"/>
      <c r="J105" s="34"/>
    </row>
    <row r="106" spans="1:10" ht="12.75">
      <c r="A106" s="157" t="s">
        <v>362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  <c r="J106" s="34"/>
    </row>
    <row r="107" spans="1:10" ht="12.75">
      <c r="A107" s="157" t="s">
        <v>363</v>
      </c>
      <c r="B107" s="126">
        <v>6</v>
      </c>
      <c r="C107" s="111"/>
      <c r="D107" s="3"/>
      <c r="E107" s="250">
        <f>E28</f>
        <v>0</v>
      </c>
      <c r="F107" s="37"/>
      <c r="G107" s="200"/>
      <c r="H107" s="163"/>
      <c r="J107" s="34"/>
    </row>
    <row r="108" spans="1:10" ht="12.75">
      <c r="A108" s="155" t="s">
        <v>361</v>
      </c>
      <c r="B108" s="126"/>
      <c r="C108" s="111"/>
      <c r="D108" s="3"/>
      <c r="E108" s="30"/>
      <c r="F108" s="37"/>
      <c r="G108" s="200"/>
      <c r="H108" s="163"/>
      <c r="J108" s="34"/>
    </row>
    <row r="109" spans="1:10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  <c r="J109" s="34"/>
    </row>
    <row r="110" spans="1:10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  <c r="J110" s="34"/>
    </row>
    <row r="111" spans="1:10" ht="12.75">
      <c r="A111" s="157" t="s">
        <v>44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  <c r="J111" s="34"/>
    </row>
    <row r="112" spans="1:10" ht="12.75">
      <c r="A112" s="154" t="s">
        <v>488</v>
      </c>
      <c r="B112" s="126">
        <v>11</v>
      </c>
      <c r="C112" s="111"/>
      <c r="D112" s="3"/>
      <c r="E112" s="481">
        <f>E206</f>
        <v>90729.89875000005</v>
      </c>
      <c r="F112" s="186"/>
      <c r="G112" s="200"/>
      <c r="H112" s="163"/>
      <c r="J112" s="34"/>
    </row>
    <row r="113" spans="1:10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  <c r="J113" s="34"/>
    </row>
    <row r="114" spans="1:10" ht="12.75">
      <c r="A114" s="154" t="s">
        <v>101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  <c r="J114" s="34"/>
    </row>
    <row r="115" spans="1:10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  <c r="J115" s="34"/>
    </row>
    <row r="116" spans="1:10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  <c r="J116" s="34"/>
    </row>
    <row r="117" spans="1:10" ht="12.75">
      <c r="A117" s="157" t="s">
        <v>364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  <c r="J117" s="34"/>
    </row>
    <row r="118" spans="1:10" ht="12.75">
      <c r="A118" s="157" t="s">
        <v>365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  <c r="J118" s="34"/>
    </row>
    <row r="119" spans="1:10" ht="12.75">
      <c r="A119" s="157"/>
      <c r="B119" s="126"/>
      <c r="C119" s="111"/>
      <c r="D119" s="3"/>
      <c r="E119" s="109"/>
      <c r="F119" s="37"/>
      <c r="G119" s="200"/>
      <c r="H119" s="163"/>
      <c r="J119" s="34"/>
    </row>
    <row r="120" spans="1:10" ht="12.75">
      <c r="A120" s="151" t="s">
        <v>219</v>
      </c>
      <c r="B120" s="126">
        <v>26</v>
      </c>
      <c r="C120" s="111"/>
      <c r="D120" s="116" t="s">
        <v>188</v>
      </c>
      <c r="E120" s="263">
        <f>SUM(E102:E107)-SUM(E109:E118)</f>
        <v>-55952.89875000005</v>
      </c>
      <c r="F120" s="37"/>
      <c r="G120" s="200"/>
      <c r="H120" s="163"/>
      <c r="J120" s="34"/>
    </row>
    <row r="121" spans="1:10" ht="12.75">
      <c r="A121" s="151"/>
      <c r="B121" s="126"/>
      <c r="C121" s="111"/>
      <c r="D121" s="116"/>
      <c r="E121" s="109"/>
      <c r="F121" s="37"/>
      <c r="G121" s="200"/>
      <c r="H121" s="163"/>
      <c r="J121" s="34"/>
    </row>
    <row r="122" spans="1:10" ht="12.75">
      <c r="A122" s="156" t="s">
        <v>480</v>
      </c>
      <c r="B122" s="126"/>
      <c r="C122" s="111"/>
      <c r="D122" s="3" t="s">
        <v>230</v>
      </c>
      <c r="E122" s="460">
        <v>0.3662</v>
      </c>
      <c r="F122" s="461"/>
      <c r="G122" s="200" t="s">
        <v>102</v>
      </c>
      <c r="H122" s="163"/>
      <c r="J122" s="34"/>
    </row>
    <row r="123" spans="1:10" ht="12.75">
      <c r="A123" s="157"/>
      <c r="B123" s="126"/>
      <c r="C123" s="111"/>
      <c r="D123" s="3"/>
      <c r="E123" s="109"/>
      <c r="F123" s="37"/>
      <c r="G123" s="200" t="s">
        <v>102</v>
      </c>
      <c r="H123" s="163"/>
      <c r="J123" s="34"/>
    </row>
    <row r="124" spans="1:10" ht="12.75">
      <c r="A124" s="157" t="s">
        <v>245</v>
      </c>
      <c r="B124" s="126"/>
      <c r="C124" s="111"/>
      <c r="D124" s="3" t="s">
        <v>188</v>
      </c>
      <c r="E124" s="263">
        <f>E120*E122</f>
        <v>-20489.95152225002</v>
      </c>
      <c r="F124" s="37"/>
      <c r="G124" s="200"/>
      <c r="H124" s="163"/>
      <c r="J124" s="34"/>
    </row>
    <row r="125" spans="1:10" ht="12.75">
      <c r="A125" s="157"/>
      <c r="B125" s="126"/>
      <c r="C125" s="111"/>
      <c r="D125" s="3"/>
      <c r="E125" s="109"/>
      <c r="F125" s="37"/>
      <c r="G125" s="200"/>
      <c r="H125" s="163"/>
      <c r="J125" s="34"/>
    </row>
    <row r="126" spans="1:10" ht="12.75">
      <c r="A126" s="157" t="s">
        <v>114</v>
      </c>
      <c r="B126" s="126">
        <v>14</v>
      </c>
      <c r="C126" s="111"/>
      <c r="D126" s="3"/>
      <c r="E126" s="263">
        <f>E58</f>
        <v>0</v>
      </c>
      <c r="F126" s="37"/>
      <c r="G126" s="200"/>
      <c r="H126" s="163"/>
      <c r="J126" s="34"/>
    </row>
    <row r="127" spans="1:10" ht="12.75">
      <c r="A127" s="157"/>
      <c r="B127" s="126"/>
      <c r="C127" s="111"/>
      <c r="D127" s="3"/>
      <c r="E127" s="109"/>
      <c r="F127" s="37"/>
      <c r="G127" s="200"/>
      <c r="H127" s="163"/>
      <c r="J127" s="34"/>
    </row>
    <row r="128" spans="1:10" ht="12.75">
      <c r="A128" s="157" t="s">
        <v>117</v>
      </c>
      <c r="B128" s="126"/>
      <c r="C128" s="111"/>
      <c r="D128" s="3"/>
      <c r="E128" s="263">
        <f>E124-E126</f>
        <v>-20489.95152225002</v>
      </c>
      <c r="F128" s="37"/>
      <c r="G128" s="200"/>
      <c r="H128" s="163"/>
      <c r="J128" s="34"/>
    </row>
    <row r="129" spans="1:10" ht="12.75">
      <c r="A129" s="166"/>
      <c r="B129" s="126"/>
      <c r="C129" s="111"/>
      <c r="D129" s="3"/>
      <c r="E129" s="109"/>
      <c r="F129" s="37"/>
      <c r="G129" s="200"/>
      <c r="H129" s="163"/>
      <c r="J129" s="34"/>
    </row>
    <row r="130" spans="1:10" ht="12.75">
      <c r="A130" s="151" t="s">
        <v>195</v>
      </c>
      <c r="B130" s="126"/>
      <c r="C130" s="111"/>
      <c r="D130" s="3"/>
      <c r="E130" s="484">
        <v>0.355</v>
      </c>
      <c r="F130" s="37"/>
      <c r="G130" s="200"/>
      <c r="H130" s="163"/>
      <c r="J130" s="34"/>
    </row>
    <row r="131" spans="1:10" ht="12.75">
      <c r="A131" s="149"/>
      <c r="B131" s="126"/>
      <c r="C131" s="111"/>
      <c r="D131" s="3"/>
      <c r="E131" s="109"/>
      <c r="F131" s="37"/>
      <c r="G131" s="200"/>
      <c r="H131" s="163"/>
      <c r="J131" s="34"/>
    </row>
    <row r="132" spans="1:10" ht="12.75">
      <c r="A132" s="167" t="s">
        <v>351</v>
      </c>
      <c r="B132" s="129"/>
      <c r="C132" s="111"/>
      <c r="D132" s="3"/>
      <c r="E132" s="470">
        <f>E128/(1-E130)</f>
        <v>-31767.36670116282</v>
      </c>
      <c r="F132" s="37"/>
      <c r="G132" s="200"/>
      <c r="H132" s="163"/>
      <c r="J132" s="34"/>
    </row>
    <row r="133" spans="1:10" ht="12.75">
      <c r="A133" s="167"/>
      <c r="B133" s="129"/>
      <c r="C133" s="111"/>
      <c r="D133" s="3"/>
      <c r="E133" s="106"/>
      <c r="F133" s="37"/>
      <c r="G133" s="200"/>
      <c r="H133" s="163"/>
      <c r="J133" s="34"/>
    </row>
    <row r="134" spans="1:10" ht="30">
      <c r="A134" s="168" t="s">
        <v>354</v>
      </c>
      <c r="B134" s="129"/>
      <c r="C134" s="111"/>
      <c r="D134" s="3"/>
      <c r="E134" s="106"/>
      <c r="F134" s="37"/>
      <c r="G134" s="200"/>
      <c r="H134" s="163"/>
      <c r="J134" s="34"/>
    </row>
    <row r="135" spans="1:10" ht="12.75">
      <c r="A135" s="169"/>
      <c r="B135" s="129"/>
      <c r="C135" s="111"/>
      <c r="D135" s="3"/>
      <c r="E135" s="106"/>
      <c r="F135" s="37"/>
      <c r="G135" s="200"/>
      <c r="H135" s="163"/>
      <c r="J135" s="34"/>
    </row>
    <row r="136" spans="1:10" ht="25.5">
      <c r="A136" s="170" t="s">
        <v>234</v>
      </c>
      <c r="B136" s="129"/>
      <c r="C136" s="111"/>
      <c r="D136" s="117" t="s">
        <v>188</v>
      </c>
      <c r="E136" s="301">
        <f>C50</f>
        <v>567750.9632224168</v>
      </c>
      <c r="F136" s="37"/>
      <c r="G136" s="200"/>
      <c r="H136" s="163"/>
      <c r="J136" s="34"/>
    </row>
    <row r="137" spans="1:10" ht="12.75">
      <c r="A137" s="170"/>
      <c r="B137" s="129"/>
      <c r="C137" s="111"/>
      <c r="D137" s="118"/>
      <c r="E137" s="144"/>
      <c r="F137" s="37"/>
      <c r="G137" s="200"/>
      <c r="H137" s="163"/>
      <c r="J137" s="34"/>
    </row>
    <row r="138" spans="1:10" ht="12.75">
      <c r="A138" s="170" t="s">
        <v>236</v>
      </c>
      <c r="B138" s="129"/>
      <c r="C138" s="111"/>
      <c r="D138" s="118" t="s">
        <v>230</v>
      </c>
      <c r="E138" s="484">
        <v>0.3662</v>
      </c>
      <c r="F138" s="196" t="s">
        <v>102</v>
      </c>
      <c r="G138" s="200"/>
      <c r="H138" s="163"/>
      <c r="J138" s="34"/>
    </row>
    <row r="139" spans="1:10" ht="12.75">
      <c r="A139" s="170"/>
      <c r="B139" s="129"/>
      <c r="C139" s="111"/>
      <c r="D139" s="118"/>
      <c r="E139" s="143"/>
      <c r="F139" s="37"/>
      <c r="G139" s="200"/>
      <c r="H139" s="163"/>
      <c r="J139" s="34"/>
    </row>
    <row r="140" spans="1:10" ht="12.75">
      <c r="A140" s="170" t="s">
        <v>228</v>
      </c>
      <c r="B140" s="129"/>
      <c r="C140" s="111"/>
      <c r="D140" s="117" t="s">
        <v>188</v>
      </c>
      <c r="E140" s="302">
        <f>IF(E136&gt;0,E136*E138,0)</f>
        <v>207910.40273204906</v>
      </c>
      <c r="F140" s="37"/>
      <c r="G140" s="200"/>
      <c r="H140" s="163"/>
      <c r="J140" s="34"/>
    </row>
    <row r="141" spans="1:10" ht="12.75">
      <c r="A141" s="170"/>
      <c r="B141" s="129"/>
      <c r="C141" s="111"/>
      <c r="D141" s="118"/>
      <c r="E141" s="143"/>
      <c r="F141" s="37"/>
      <c r="G141" s="200"/>
      <c r="H141" s="163"/>
      <c r="J141" s="34"/>
    </row>
    <row r="142" spans="1:10" ht="12.75">
      <c r="A142" s="170" t="s">
        <v>237</v>
      </c>
      <c r="B142" s="129"/>
      <c r="C142" s="111"/>
      <c r="D142" s="117" t="s">
        <v>187</v>
      </c>
      <c r="E142" s="303">
        <f>TAXREC!E145</f>
        <v>0</v>
      </c>
      <c r="F142" s="37"/>
      <c r="G142" s="200"/>
      <c r="H142" s="163"/>
      <c r="J142" s="34"/>
    </row>
    <row r="143" spans="1:10" ht="12.75">
      <c r="A143" s="170"/>
      <c r="B143" s="129"/>
      <c r="C143" s="111"/>
      <c r="D143" s="118"/>
      <c r="E143" s="143"/>
      <c r="F143" s="37"/>
      <c r="G143" s="200"/>
      <c r="H143" s="163"/>
      <c r="J143" s="34"/>
    </row>
    <row r="144" spans="1:10" ht="12.75">
      <c r="A144" s="170" t="s">
        <v>229</v>
      </c>
      <c r="B144" s="129"/>
      <c r="C144" s="111"/>
      <c r="D144" s="118" t="s">
        <v>188</v>
      </c>
      <c r="E144" s="301">
        <f>E140-E142</f>
        <v>207910.40273204906</v>
      </c>
      <c r="F144" s="37"/>
      <c r="G144" s="200"/>
      <c r="H144" s="163"/>
      <c r="J144" s="34"/>
    </row>
    <row r="145" spans="1:10" ht="12.75">
      <c r="A145" s="170"/>
      <c r="B145" s="129"/>
      <c r="C145" s="111"/>
      <c r="D145" s="118"/>
      <c r="E145" s="143"/>
      <c r="F145" s="37"/>
      <c r="G145" s="200"/>
      <c r="H145" s="163"/>
      <c r="J145" s="34"/>
    </row>
    <row r="146" spans="1:10" ht="25.5">
      <c r="A146" s="170" t="s">
        <v>238</v>
      </c>
      <c r="B146" s="129"/>
      <c r="C146" s="111"/>
      <c r="D146" s="117" t="s">
        <v>187</v>
      </c>
      <c r="E146" s="301">
        <f>C60</f>
        <v>193716.62865148863</v>
      </c>
      <c r="F146" s="37"/>
      <c r="G146" s="200"/>
      <c r="H146" s="163"/>
      <c r="J146" s="34"/>
    </row>
    <row r="147" spans="1:10" ht="12.75">
      <c r="A147" s="170"/>
      <c r="B147" s="129"/>
      <c r="C147" s="111"/>
      <c r="D147" s="118"/>
      <c r="E147" s="143"/>
      <c r="F147" s="37"/>
      <c r="G147" s="200"/>
      <c r="H147" s="163"/>
      <c r="J147" s="34"/>
    </row>
    <row r="148" spans="1:10" ht="12.75">
      <c r="A148" s="170" t="s">
        <v>231</v>
      </c>
      <c r="B148" s="129"/>
      <c r="C148" s="111"/>
      <c r="D148" s="117" t="s">
        <v>188</v>
      </c>
      <c r="E148" s="301">
        <f>E144-E146</f>
        <v>14193.774080560426</v>
      </c>
      <c r="F148" s="37"/>
      <c r="G148" s="200"/>
      <c r="H148" s="163"/>
      <c r="J148" s="34"/>
    </row>
    <row r="149" spans="1:10" ht="12.75">
      <c r="A149" s="170"/>
      <c r="B149" s="129"/>
      <c r="C149" s="111"/>
      <c r="D149" s="118"/>
      <c r="E149" s="143"/>
      <c r="F149" s="37"/>
      <c r="G149" s="200"/>
      <c r="H149" s="163"/>
      <c r="J149" s="34"/>
    </row>
    <row r="150" spans="1:10" ht="12.75">
      <c r="A150" s="385" t="s">
        <v>20</v>
      </c>
      <c r="B150" s="129"/>
      <c r="C150" s="111"/>
      <c r="D150" s="118"/>
      <c r="E150" s="465"/>
      <c r="F150" s="37"/>
      <c r="G150" s="200"/>
      <c r="H150" s="163"/>
      <c r="J150" s="34"/>
    </row>
    <row r="151" spans="1:10" ht="12.75">
      <c r="A151" s="170" t="s">
        <v>17</v>
      </c>
      <c r="B151" s="129"/>
      <c r="C151" s="111"/>
      <c r="D151" s="118" t="s">
        <v>188</v>
      </c>
      <c r="E151" s="301">
        <f>C66</f>
        <v>13859589</v>
      </c>
      <c r="F151" s="37"/>
      <c r="G151" s="200"/>
      <c r="H151" s="163"/>
      <c r="J151" s="34"/>
    </row>
    <row r="152" spans="1:10" ht="12.75">
      <c r="A152" s="170" t="s">
        <v>357</v>
      </c>
      <c r="B152" s="129"/>
      <c r="C152" s="111"/>
      <c r="D152" s="117" t="s">
        <v>187</v>
      </c>
      <c r="E152" s="304">
        <f>IF(E151&gt;0,'Tax Rates'!C39,0)</f>
        <v>5000000</v>
      </c>
      <c r="F152" s="37"/>
      <c r="G152" s="200"/>
      <c r="H152" s="163"/>
      <c r="J152" s="34"/>
    </row>
    <row r="153" spans="1:10" ht="12.75">
      <c r="A153" s="170" t="s">
        <v>232</v>
      </c>
      <c r="B153" s="129"/>
      <c r="C153" s="111"/>
      <c r="D153" s="117" t="s">
        <v>188</v>
      </c>
      <c r="E153" s="301">
        <f>E151-E152</f>
        <v>8859589</v>
      </c>
      <c r="F153" s="37"/>
      <c r="G153" s="200"/>
      <c r="H153" s="163"/>
      <c r="J153" s="34"/>
    </row>
    <row r="154" spans="1:10" ht="12.75">
      <c r="A154" s="170"/>
      <c r="B154" s="129"/>
      <c r="C154" s="111"/>
      <c r="D154" s="118"/>
      <c r="E154" s="143"/>
      <c r="F154" s="37"/>
      <c r="G154" s="200"/>
      <c r="H154" s="163"/>
      <c r="J154" s="34"/>
    </row>
    <row r="155" spans="1:10" ht="12.75">
      <c r="A155" s="170" t="s">
        <v>358</v>
      </c>
      <c r="B155" s="129"/>
      <c r="C155" s="111"/>
      <c r="D155" s="118" t="s">
        <v>230</v>
      </c>
      <c r="E155" s="305">
        <f>'Tax Rates'!C54</f>
        <v>0.003</v>
      </c>
      <c r="F155" s="37"/>
      <c r="G155" s="200"/>
      <c r="H155" s="163"/>
      <c r="J155" s="34"/>
    </row>
    <row r="156" spans="1:10" ht="12.75">
      <c r="A156" s="170"/>
      <c r="B156" s="129"/>
      <c r="C156" s="111"/>
      <c r="D156" s="118"/>
      <c r="E156" s="143"/>
      <c r="F156" s="37"/>
      <c r="G156" s="200"/>
      <c r="H156" s="163"/>
      <c r="J156" s="34"/>
    </row>
    <row r="157" spans="1:10" ht="12.75">
      <c r="A157" s="170" t="s">
        <v>233</v>
      </c>
      <c r="B157" s="129"/>
      <c r="C157" s="111"/>
      <c r="D157" s="118" t="s">
        <v>188</v>
      </c>
      <c r="E157" s="301">
        <f>IF(E153&gt;0,E153*E155*B9/B10,0)</f>
        <v>26578.767</v>
      </c>
      <c r="F157" s="37"/>
      <c r="G157" s="200"/>
      <c r="H157" s="163"/>
      <c r="J157" s="34"/>
    </row>
    <row r="158" spans="1:10" ht="25.5">
      <c r="A158" s="170" t="s">
        <v>308</v>
      </c>
      <c r="B158" s="129"/>
      <c r="C158" s="111"/>
      <c r="D158" s="117" t="s">
        <v>187</v>
      </c>
      <c r="E158" s="304">
        <f>C72</f>
        <v>26578.767</v>
      </c>
      <c r="F158" s="37"/>
      <c r="G158" s="200"/>
      <c r="H158" s="163"/>
      <c r="J158" s="34"/>
    </row>
    <row r="159" spans="1:10" ht="12.75" customHeight="1">
      <c r="A159" s="171" t="s">
        <v>243</v>
      </c>
      <c r="B159" s="129"/>
      <c r="C159" s="111"/>
      <c r="D159" s="117" t="s">
        <v>188</v>
      </c>
      <c r="E159" s="482">
        <f>E157-E158</f>
        <v>0</v>
      </c>
      <c r="F159" s="37"/>
      <c r="G159" s="200"/>
      <c r="H159" s="163"/>
      <c r="J159" s="34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5" t="s">
        <v>235</v>
      </c>
      <c r="B161" s="129"/>
      <c r="C161" s="111"/>
      <c r="D161" s="118"/>
      <c r="E161" s="303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1">
        <f>C75</f>
        <v>13859589</v>
      </c>
      <c r="F162" s="37"/>
      <c r="G162" s="200"/>
      <c r="H162" s="163"/>
    </row>
    <row r="163" spans="1:8" ht="12.75">
      <c r="A163" s="170" t="s">
        <v>356</v>
      </c>
      <c r="B163" s="129"/>
      <c r="C163" s="111"/>
      <c r="D163" s="117" t="s">
        <v>187</v>
      </c>
      <c r="E163" s="304">
        <f>IF(E162&gt;0,'Tax Rates'!C40,0)</f>
        <v>10000000</v>
      </c>
      <c r="F163" s="37"/>
      <c r="G163" s="200"/>
      <c r="H163" s="163"/>
    </row>
    <row r="164" spans="1:8" ht="12.75">
      <c r="A164" s="170" t="s">
        <v>239</v>
      </c>
      <c r="B164" s="129"/>
      <c r="C164" s="111"/>
      <c r="D164" s="118" t="s">
        <v>188</v>
      </c>
      <c r="E164" s="301">
        <f>E162-E163</f>
        <v>3859589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309</v>
      </c>
      <c r="B166" s="129"/>
      <c r="C166" s="111"/>
      <c r="D166" s="118"/>
      <c r="E166" s="305">
        <f>'Tax Rates'!C55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240</v>
      </c>
      <c r="B168" s="129"/>
      <c r="C168" s="111"/>
      <c r="D168" s="118"/>
      <c r="E168" s="301">
        <f>IF(E164&gt;0,E164*E166*B9/B10,0)</f>
        <v>8684.07525</v>
      </c>
      <c r="F168" s="37"/>
      <c r="G168" s="200"/>
      <c r="H168" s="163"/>
    </row>
    <row r="169" spans="1:8" ht="12.75">
      <c r="A169" s="170" t="s">
        <v>319</v>
      </c>
      <c r="B169" s="129"/>
      <c r="C169" s="111"/>
      <c r="D169" s="117" t="s">
        <v>187</v>
      </c>
      <c r="E169" s="306">
        <f>IF(E164&gt;0,IF(E144&gt;0,E136*'Tax Rates'!C56,0),0)</f>
        <v>6358.810788091068</v>
      </c>
      <c r="F169" s="37"/>
      <c r="G169" s="200"/>
      <c r="H169" s="163"/>
    </row>
    <row r="170" spans="1:8" ht="12.75">
      <c r="A170" s="170" t="s">
        <v>241</v>
      </c>
      <c r="B170" s="129"/>
      <c r="C170" s="111"/>
      <c r="D170" s="118" t="s">
        <v>188</v>
      </c>
      <c r="E170" s="301">
        <f>E168-E169</f>
        <v>2325.2644619089315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2" t="s">
        <v>346</v>
      </c>
      <c r="B172" s="129"/>
      <c r="C172" s="111"/>
      <c r="D172" s="117" t="s">
        <v>187</v>
      </c>
      <c r="E172" s="304">
        <f>C84</f>
        <v>2325.2644619089315</v>
      </c>
      <c r="F172" s="37"/>
      <c r="G172" s="200"/>
      <c r="H172" s="163"/>
    </row>
    <row r="173" spans="1:8" ht="12.75">
      <c r="A173" s="154" t="s">
        <v>244</v>
      </c>
      <c r="B173" s="129"/>
      <c r="C173" s="111"/>
      <c r="D173" s="118" t="s">
        <v>188</v>
      </c>
      <c r="E173" s="482">
        <f>E170-E172</f>
        <v>0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344</v>
      </c>
      <c r="B175" s="129"/>
      <c r="C175" s="111"/>
      <c r="D175" s="118"/>
      <c r="E175" s="460">
        <v>0.355</v>
      </c>
      <c r="F175" s="461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242</v>
      </c>
      <c r="B177" s="129"/>
      <c r="C177" s="111"/>
      <c r="D177" s="118" t="s">
        <v>186</v>
      </c>
      <c r="E177" s="301">
        <f>E148/(1-E175)</f>
        <v>22005.851287690584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1">
        <f>E173/(1-E175)</f>
        <v>0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1">
        <f>E159</f>
        <v>0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352</v>
      </c>
      <c r="B181" s="129"/>
      <c r="C181" s="111"/>
      <c r="D181" s="118" t="s">
        <v>188</v>
      </c>
      <c r="E181" s="469">
        <f>SUM(E177:E179)</f>
        <v>22005.851287690584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487</v>
      </c>
      <c r="B183" s="129"/>
      <c r="C183" s="111"/>
      <c r="D183" s="118" t="s">
        <v>186</v>
      </c>
      <c r="E183" s="469">
        <f>E132</f>
        <v>-31767.36670116282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353</v>
      </c>
      <c r="B185" s="129"/>
      <c r="C185" s="111"/>
      <c r="D185" s="118" t="s">
        <v>188</v>
      </c>
      <c r="E185" s="469">
        <f>E181+E183</f>
        <v>-9761.515413472236</v>
      </c>
      <c r="F185" s="37"/>
      <c r="G185" s="200"/>
      <c r="H185" s="163"/>
    </row>
    <row r="186" spans="1:8" ht="12.75">
      <c r="A186" s="161" t="s">
        <v>247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223</v>
      </c>
      <c r="B193" s="126"/>
      <c r="C193" s="111"/>
      <c r="D193" s="119"/>
      <c r="E193" s="307">
        <f>REGINFO!D62</f>
        <v>502410.10124999995</v>
      </c>
      <c r="F193" s="3"/>
      <c r="G193" s="122"/>
      <c r="H193" s="163"/>
    </row>
    <row r="194" spans="1:8" ht="12.75">
      <c r="A194" s="154" t="s">
        <v>250</v>
      </c>
      <c r="B194" s="126"/>
      <c r="C194" s="111"/>
      <c r="D194" s="119"/>
      <c r="E194" s="307">
        <f>REGINFO!D66</f>
        <v>418424.0367775831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342</v>
      </c>
      <c r="B196" s="126"/>
      <c r="C196" s="111"/>
      <c r="D196" s="119"/>
      <c r="E196" s="307">
        <f>E193-E194</f>
        <v>83986.06447241682</v>
      </c>
      <c r="F196" s="3"/>
      <c r="G196" s="122"/>
      <c r="H196" s="163"/>
    </row>
    <row r="197" spans="1:8" ht="12.75">
      <c r="A197" s="154" t="s">
        <v>343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256</v>
      </c>
      <c r="B199" s="126"/>
      <c r="C199" s="111"/>
      <c r="D199" s="119"/>
      <c r="E199" s="146"/>
      <c r="F199" s="3"/>
      <c r="G199" s="471"/>
      <c r="H199" s="163"/>
    </row>
    <row r="200" spans="1:8" ht="12.75">
      <c r="A200" s="175" t="s">
        <v>85</v>
      </c>
      <c r="B200" s="126"/>
      <c r="C200" s="111"/>
      <c r="D200" s="119"/>
      <c r="E200" s="146"/>
      <c r="H200" s="163"/>
    </row>
    <row r="201" spans="1:8" ht="12.75">
      <c r="A201" s="154" t="s">
        <v>251</v>
      </c>
      <c r="B201" s="126"/>
      <c r="C201" s="111"/>
      <c r="D201" s="119"/>
      <c r="E201" s="307">
        <f>G37+G42</f>
        <v>593140</v>
      </c>
      <c r="F201" s="3"/>
      <c r="G201" s="471"/>
      <c r="H201" s="163"/>
    </row>
    <row r="202" spans="1:8" ht="12.75">
      <c r="A202" s="486" t="s">
        <v>495</v>
      </c>
      <c r="B202" s="126"/>
      <c r="C202" s="111"/>
      <c r="D202" s="119"/>
      <c r="E202" s="260">
        <f>E193</f>
        <v>502410.10124999995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2">
        <f>IF((E201-E202)&gt;0,E201-E202,0)</f>
        <v>90729.89875000005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489</v>
      </c>
      <c r="B206" s="126"/>
      <c r="C206" s="111"/>
      <c r="D206" s="119"/>
      <c r="E206" s="483">
        <f>IF((E201-E202)&gt;0,E201-E202,0)</f>
        <v>90729.89875000005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224</v>
      </c>
      <c r="B208" s="177"/>
      <c r="C208" s="178"/>
      <c r="D208" s="179"/>
      <c r="E208" s="308">
        <f>+E196-E204</f>
        <v>-6743.834277583228</v>
      </c>
      <c r="F208" s="73"/>
      <c r="G208" s="201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12" ht="12.75">
      <c r="D250" s="84"/>
      <c r="E250" s="71"/>
      <c r="L250" s="264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47" r:id="rId1"/>
  <headerFooter alignWithMargins="0">
    <oddHeader>&amp;L&amp;Z&amp;F&amp;A</oddHeader>
    <oddFooter>&amp;L&amp;8&amp;D&amp;T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103">
      <selection activeCell="A118" sqref="A11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34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479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479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479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5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5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45"/>
    </row>
    <row r="7" spans="1:9" ht="12.75">
      <c r="A7" s="2" t="str">
        <f>REGINFO!A3</f>
        <v>Utility Name: Niagara-on-the-Lake Hydro Inc.</v>
      </c>
      <c r="B7" s="20"/>
      <c r="C7" s="25"/>
      <c r="D7" s="25"/>
      <c r="E7" s="25"/>
      <c r="F7" s="20"/>
      <c r="G7" s="3"/>
      <c r="H7" s="3"/>
      <c r="I7" s="45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45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45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45"/>
    </row>
    <row r="11" spans="1:9" ht="13.5" thickBot="1">
      <c r="A11" s="2" t="s">
        <v>122</v>
      </c>
      <c r="B11" s="20"/>
      <c r="C11" s="436">
        <f>REGINFO!B6</f>
        <v>365</v>
      </c>
      <c r="D11" s="37" t="s">
        <v>127</v>
      </c>
      <c r="E11" s="25"/>
      <c r="F11" s="20"/>
      <c r="G11" s="3"/>
      <c r="H11" s="3"/>
      <c r="I11" s="45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45"/>
    </row>
    <row r="13" spans="1:9" ht="13.5" thickBot="1">
      <c r="A13" s="35" t="s">
        <v>216</v>
      </c>
      <c r="C13" s="485">
        <f>0.0025*Ratebase*REGINFO!D33</f>
        <v>17324.48625</v>
      </c>
      <c r="D13" s="82" t="s">
        <v>185</v>
      </c>
      <c r="E13" s="25"/>
      <c r="F13" s="20"/>
      <c r="G13" s="3"/>
      <c r="H13" s="3"/>
      <c r="I13" s="45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45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45"/>
    </row>
    <row r="16" spans="1:9" ht="12.75">
      <c r="A16" s="298" t="s">
        <v>227</v>
      </c>
      <c r="B16" s="20" t="s">
        <v>64</v>
      </c>
      <c r="C16" s="8"/>
      <c r="D16" s="25"/>
      <c r="E16" s="25"/>
      <c r="F16" s="20"/>
      <c r="G16" s="3"/>
      <c r="H16" s="3"/>
      <c r="I16" s="45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4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33"/>
    </row>
    <row r="23" spans="1:9" ht="12.75">
      <c r="A23" s="398" t="s">
        <v>325</v>
      </c>
      <c r="B23" s="399"/>
      <c r="C23" s="400"/>
      <c r="D23" s="401"/>
      <c r="E23" s="28"/>
      <c r="F23" s="11"/>
      <c r="G23" s="11"/>
      <c r="H23" s="6"/>
      <c r="I23" s="33"/>
    </row>
    <row r="24" spans="1:9" ht="12.75">
      <c r="A24" s="398" t="s">
        <v>258</v>
      </c>
      <c r="B24" s="399"/>
      <c r="C24" s="400"/>
      <c r="D24" s="401"/>
      <c r="E24" s="28"/>
      <c r="F24" s="11"/>
      <c r="G24" s="11"/>
      <c r="H24" s="6"/>
      <c r="I24" s="33"/>
    </row>
    <row r="25" spans="1:9" ht="12.75">
      <c r="A25" s="398" t="s">
        <v>222</v>
      </c>
      <c r="B25" s="399"/>
      <c r="C25" s="400"/>
      <c r="D25" s="401"/>
      <c r="E25" s="28"/>
      <c r="F25" s="11"/>
      <c r="G25" s="11"/>
      <c r="H25" s="6"/>
      <c r="I25" s="33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33"/>
    </row>
    <row r="27" spans="1:9" ht="12.75">
      <c r="A27" s="398" t="s">
        <v>323</v>
      </c>
      <c r="B27" s="399"/>
      <c r="C27" s="400"/>
      <c r="D27" s="401"/>
      <c r="E27" s="28"/>
      <c r="F27" s="11"/>
      <c r="G27" s="11"/>
      <c r="H27" s="6"/>
      <c r="I27" s="33"/>
    </row>
    <row r="28" spans="1:9" ht="12.75">
      <c r="A28" s="398" t="s">
        <v>324</v>
      </c>
      <c r="B28" s="399"/>
      <c r="C28" s="400"/>
      <c r="D28" s="401"/>
      <c r="E28" s="28"/>
      <c r="F28" s="11"/>
      <c r="G28" s="11"/>
      <c r="H28" s="6"/>
      <c r="I28" s="33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33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33"/>
    </row>
    <row r="31" spans="1:9" ht="12.75">
      <c r="A31" s="247" t="s">
        <v>273</v>
      </c>
      <c r="B31" s="23" t="s">
        <v>186</v>
      </c>
      <c r="C31" s="285">
        <f>14301434-C32</f>
        <v>11254956</v>
      </c>
      <c r="D31" s="285"/>
      <c r="E31" s="283">
        <f>C31-D31</f>
        <v>11254956</v>
      </c>
      <c r="F31" s="11"/>
      <c r="G31" s="11"/>
      <c r="H31" s="6"/>
      <c r="I31" s="33"/>
    </row>
    <row r="32" spans="1:9" ht="12.75">
      <c r="A32" s="4" t="s">
        <v>220</v>
      </c>
      <c r="B32" s="23" t="s">
        <v>186</v>
      </c>
      <c r="C32" s="284">
        <v>3046478</v>
      </c>
      <c r="D32" s="285"/>
      <c r="E32" s="283">
        <f>C32-D32</f>
        <v>3046478</v>
      </c>
      <c r="F32" s="11"/>
      <c r="G32" s="11"/>
      <c r="H32" s="6"/>
      <c r="I32" s="33"/>
    </row>
    <row r="33" spans="1:9" ht="12.75">
      <c r="A33" s="4" t="s">
        <v>210</v>
      </c>
      <c r="B33" s="23" t="s">
        <v>186</v>
      </c>
      <c r="C33" s="284">
        <v>219783</v>
      </c>
      <c r="D33" s="285"/>
      <c r="E33" s="283">
        <f>C33-D33</f>
        <v>219783</v>
      </c>
      <c r="F33" s="11"/>
      <c r="G33" s="11"/>
      <c r="H33" s="6"/>
      <c r="I33" s="33"/>
    </row>
    <row r="34" spans="1:9" ht="12.75">
      <c r="A34" s="4" t="s">
        <v>225</v>
      </c>
      <c r="B34" s="23" t="s">
        <v>186</v>
      </c>
      <c r="C34" s="284"/>
      <c r="D34" s="285"/>
      <c r="E34" s="283">
        <f>C34-D34</f>
        <v>0</v>
      </c>
      <c r="F34" s="11"/>
      <c r="G34" s="11"/>
      <c r="H34" s="6"/>
      <c r="I34" s="33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33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33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33"/>
    </row>
    <row r="38" spans="1:9" ht="12.75">
      <c r="A38" s="2" t="s">
        <v>285</v>
      </c>
      <c r="B38" s="23"/>
      <c r="C38" s="42"/>
      <c r="D38" s="42"/>
      <c r="E38" s="89"/>
      <c r="F38" s="11"/>
      <c r="G38" s="11"/>
      <c r="H38" s="6"/>
      <c r="I38" s="33"/>
    </row>
    <row r="39" spans="1:9" ht="12.75">
      <c r="A39" s="46" t="s">
        <v>208</v>
      </c>
      <c r="B39" s="23" t="s">
        <v>187</v>
      </c>
      <c r="C39" s="285">
        <v>11200473</v>
      </c>
      <c r="D39" s="285"/>
      <c r="E39" s="283">
        <f>C39-D39</f>
        <v>11200473</v>
      </c>
      <c r="F39" s="11"/>
      <c r="G39" s="11"/>
      <c r="H39" s="6"/>
      <c r="I39" s="33"/>
    </row>
    <row r="40" spans="1:9" ht="12.75">
      <c r="A40" s="46" t="s">
        <v>209</v>
      </c>
      <c r="B40" s="23" t="s">
        <v>187</v>
      </c>
      <c r="C40" s="285">
        <v>526018</v>
      </c>
      <c r="D40" s="285"/>
      <c r="E40" s="283">
        <f aca="true" t="shared" si="0" ref="E40:E48">C40-D40</f>
        <v>526018</v>
      </c>
      <c r="F40" s="11"/>
      <c r="G40" s="11"/>
      <c r="H40" s="6"/>
      <c r="I40" s="33"/>
    </row>
    <row r="41" spans="1:9" ht="12.75">
      <c r="A41" s="4" t="s">
        <v>274</v>
      </c>
      <c r="B41" s="23" t="s">
        <v>187</v>
      </c>
      <c r="C41" s="284">
        <v>313858</v>
      </c>
      <c r="D41" s="285"/>
      <c r="E41" s="283">
        <f t="shared" si="0"/>
        <v>313858</v>
      </c>
      <c r="F41" s="11"/>
      <c r="G41" s="11"/>
      <c r="H41" s="6"/>
      <c r="I41" s="33"/>
    </row>
    <row r="42" spans="1:9" ht="12.75">
      <c r="A42" s="4" t="s">
        <v>275</v>
      </c>
      <c r="B42" s="23" t="s">
        <v>187</v>
      </c>
      <c r="C42" s="284">
        <f>534572-83759</f>
        <v>450813</v>
      </c>
      <c r="D42" s="285"/>
      <c r="E42" s="283">
        <f t="shared" si="0"/>
        <v>450813</v>
      </c>
      <c r="F42" s="11"/>
      <c r="G42" s="11"/>
      <c r="H42" s="6"/>
      <c r="I42" s="33"/>
    </row>
    <row r="43" spans="1:9" ht="12.75">
      <c r="A43" s="4" t="s">
        <v>276</v>
      </c>
      <c r="B43" s="23" t="s">
        <v>187</v>
      </c>
      <c r="C43" s="284">
        <f>916470+83759</f>
        <v>1000229</v>
      </c>
      <c r="D43" s="285"/>
      <c r="E43" s="283">
        <f t="shared" si="0"/>
        <v>1000229</v>
      </c>
      <c r="F43" s="11"/>
      <c r="G43" s="11"/>
      <c r="H43" s="6"/>
      <c r="I43" s="33"/>
    </row>
    <row r="44" spans="1:9" ht="12.75">
      <c r="A44" s="4" t="s">
        <v>277</v>
      </c>
      <c r="B44" s="23" t="s">
        <v>187</v>
      </c>
      <c r="C44" s="284"/>
      <c r="D44" s="285"/>
      <c r="E44" s="283">
        <f t="shared" si="0"/>
        <v>0</v>
      </c>
      <c r="F44" s="11"/>
      <c r="G44" s="11"/>
      <c r="H44" s="6"/>
      <c r="I44" s="33"/>
    </row>
    <row r="45" spans="1:11" ht="12.75">
      <c r="A45" s="413" t="s">
        <v>491</v>
      </c>
      <c r="B45" s="23" t="s">
        <v>187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33"/>
    </row>
    <row r="50" spans="1:9" ht="12.75">
      <c r="A50" s="2" t="s">
        <v>82</v>
      </c>
      <c r="B50" s="23" t="s">
        <v>188</v>
      </c>
      <c r="C50" s="280">
        <f>SUM(C31:C36)-SUM(C39:C49)</f>
        <v>1029826</v>
      </c>
      <c r="D50" s="280">
        <f>SUM(D31:D36)-SUM(D39:D49)</f>
        <v>0</v>
      </c>
      <c r="E50" s="280">
        <f>SUM(E31:E35)-SUM(E39:E48)</f>
        <v>1029826</v>
      </c>
      <c r="F50" s="11"/>
      <c r="G50" s="11"/>
      <c r="H50" s="6"/>
      <c r="I50" s="33"/>
    </row>
    <row r="51" spans="1:9" ht="12.75">
      <c r="A51" s="4" t="s">
        <v>91</v>
      </c>
      <c r="B51" s="23" t="s">
        <v>187</v>
      </c>
      <c r="C51" s="284">
        <v>593140</v>
      </c>
      <c r="D51" s="284"/>
      <c r="E51" s="281">
        <f>+C51-D51</f>
        <v>593140</v>
      </c>
      <c r="F51" s="11"/>
      <c r="G51" s="11"/>
      <c r="H51" s="6"/>
      <c r="I51" s="33"/>
    </row>
    <row r="52" spans="1:9" ht="12.75">
      <c r="A52" t="s">
        <v>181</v>
      </c>
      <c r="B52" s="8" t="s">
        <v>187</v>
      </c>
      <c r="C52" s="284">
        <v>10173</v>
      </c>
      <c r="D52" s="284"/>
      <c r="E52" s="282">
        <f>+C52-D52</f>
        <v>10173</v>
      </c>
      <c r="F52" s="8"/>
      <c r="G52" s="413"/>
      <c r="I52" s="33"/>
    </row>
    <row r="53" spans="1:9" ht="12.75">
      <c r="A53" s="2" t="s">
        <v>130</v>
      </c>
      <c r="B53" s="8" t="s">
        <v>188</v>
      </c>
      <c r="C53" s="280">
        <f>C50-C51-C52</f>
        <v>426513</v>
      </c>
      <c r="D53" s="280">
        <f>D50-D51-D52</f>
        <v>0</v>
      </c>
      <c r="E53" s="280">
        <f>E50-E51-E52</f>
        <v>426513</v>
      </c>
      <c r="F53" s="8"/>
      <c r="I53" s="33"/>
    </row>
    <row r="54" spans="1:9" ht="24">
      <c r="A54" s="86" t="s">
        <v>213</v>
      </c>
      <c r="B54" s="8"/>
      <c r="C54" s="29"/>
      <c r="D54" s="29"/>
      <c r="E54" s="29"/>
      <c r="F54" s="8"/>
      <c r="I54" s="33"/>
    </row>
    <row r="55" spans="1:9" ht="12.75">
      <c r="A55" s="81"/>
      <c r="B55" s="8"/>
      <c r="C55" s="29"/>
      <c r="D55" s="29"/>
      <c r="E55" s="29"/>
      <c r="F55" s="8"/>
      <c r="I55" s="33"/>
    </row>
    <row r="56" spans="1:9" ht="12.75">
      <c r="A56" s="14" t="s">
        <v>176</v>
      </c>
      <c r="B56" s="8"/>
      <c r="C56" s="29"/>
      <c r="D56" s="29"/>
      <c r="E56" s="29"/>
      <c r="F56" s="8"/>
      <c r="I56" s="33"/>
    </row>
    <row r="57" spans="1:9" ht="12.75">
      <c r="A57" s="15" t="s">
        <v>164</v>
      </c>
      <c r="B57" s="8"/>
      <c r="C57" s="29"/>
      <c r="D57" s="29"/>
      <c r="E57" s="29"/>
      <c r="F57" s="8"/>
      <c r="I57" s="33"/>
    </row>
    <row r="58" spans="1:9" ht="12.75">
      <c r="A58" s="2" t="s">
        <v>165</v>
      </c>
      <c r="B58" s="8"/>
      <c r="C58" s="44"/>
      <c r="D58" s="44"/>
      <c r="E58" s="44"/>
      <c r="F58" s="8"/>
      <c r="I58" s="33"/>
    </row>
    <row r="59" spans="1:7" ht="12.75">
      <c r="A59" s="4" t="s">
        <v>98</v>
      </c>
      <c r="B59" s="8" t="s">
        <v>186</v>
      </c>
      <c r="C59" s="286">
        <f>C52</f>
        <v>10173</v>
      </c>
      <c r="D59" s="286">
        <f>D52</f>
        <v>0</v>
      </c>
      <c r="E59" s="271">
        <f>+C59-D59</f>
        <v>10173</v>
      </c>
      <c r="F59" s="8"/>
      <c r="G59" s="413"/>
    </row>
    <row r="60" spans="1:6" ht="12.75">
      <c r="A60" s="4" t="s">
        <v>326</v>
      </c>
      <c r="B60" s="8" t="s">
        <v>186</v>
      </c>
      <c r="C60" s="316"/>
      <c r="D60" s="316"/>
      <c r="E60" s="271">
        <f>+C60-D60</f>
        <v>0</v>
      </c>
      <c r="F60" s="8"/>
    </row>
    <row r="61" spans="1:7" ht="12.75">
      <c r="A61" t="s">
        <v>4</v>
      </c>
      <c r="B61" s="8" t="s">
        <v>186</v>
      </c>
      <c r="C61" s="286">
        <f>C43</f>
        <v>1000229</v>
      </c>
      <c r="D61" s="286">
        <f>D43</f>
        <v>0</v>
      </c>
      <c r="E61" s="271">
        <f>+C61-D61</f>
        <v>1000229</v>
      </c>
      <c r="F61" s="8"/>
      <c r="G61" s="413"/>
    </row>
    <row r="62" spans="1:6" ht="12.75">
      <c r="A62" t="s">
        <v>6</v>
      </c>
      <c r="B62" s="8" t="s">
        <v>186</v>
      </c>
      <c r="C62" s="285">
        <v>34777</v>
      </c>
      <c r="D62" s="286">
        <v>0</v>
      </c>
      <c r="E62" s="271">
        <f>+C62-D62</f>
        <v>34777</v>
      </c>
      <c r="F62" s="8"/>
    </row>
    <row r="63" spans="1:6" ht="12.75">
      <c r="A63" s="31" t="s">
        <v>278</v>
      </c>
      <c r="B63" s="8" t="s">
        <v>186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186</v>
      </c>
      <c r="C64" s="314">
        <f>'Tax Reserves'!C63</f>
        <v>0</v>
      </c>
      <c r="D64" s="315">
        <f>'Tax Reserves'!D63</f>
        <v>0</v>
      </c>
      <c r="E64" s="271">
        <f>+C64-D64</f>
        <v>0</v>
      </c>
      <c r="F64" s="8"/>
    </row>
    <row r="65" spans="1:6" ht="12.75">
      <c r="A65" t="s">
        <v>441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58" t="s">
        <v>392</v>
      </c>
      <c r="B66" s="8"/>
      <c r="C66" s="437">
        <f>'TAXREC 3 No True-up'!C47</f>
        <v>1980</v>
      </c>
      <c r="D66" s="437">
        <f>'TAXREC 3 No True-up'!D47</f>
        <v>0</v>
      </c>
      <c r="E66" s="271">
        <f>+C66-D66</f>
        <v>1980</v>
      </c>
      <c r="F66" s="8"/>
    </row>
    <row r="67" spans="1:6" ht="12.75">
      <c r="A67" t="s">
        <v>159</v>
      </c>
      <c r="B67" s="8" t="s">
        <v>186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71">
        <f>SUM(C59:C68)</f>
        <v>1047159</v>
      </c>
      <c r="D70" s="271">
        <f>SUM(D59:D68)</f>
        <v>0</v>
      </c>
      <c r="E70" s="271">
        <f>SUM(E59:E68)</f>
        <v>1047159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67">
        <v>0</v>
      </c>
      <c r="D76" s="293"/>
      <c r="E76" s="464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3"/>
      <c r="D77" s="293"/>
      <c r="E77" s="271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3"/>
      <c r="D78" s="293"/>
      <c r="E78" s="271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3"/>
      <c r="D79" s="293"/>
      <c r="E79" s="271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188</v>
      </c>
      <c r="C82" s="250">
        <f>C70+C80</f>
        <v>1047159</v>
      </c>
      <c r="D82" s="250">
        <f>D70+D80</f>
        <v>0</v>
      </c>
      <c r="E82" s="250">
        <f>E70+E80</f>
        <v>1047159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429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84">
        <v>1232370</v>
      </c>
      <c r="D97" s="293"/>
      <c r="E97" s="271">
        <f>+C97-D97</f>
        <v>1232370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84">
        <v>1528</v>
      </c>
      <c r="D98" s="293"/>
      <c r="E98" s="271">
        <f>+C98-D98</f>
        <v>1528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84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7">
        <f>'Tax Reserves'!C50</f>
        <v>0</v>
      </c>
      <c r="D105" s="317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8" t="s">
        <v>392</v>
      </c>
      <c r="B108" s="8"/>
      <c r="C108" s="253">
        <f>'TAXREC 3 No True-up'!C73</f>
        <v>346565</v>
      </c>
      <c r="D108" s="253">
        <f>'TAXREC 3 No True-up'!D73</f>
        <v>0</v>
      </c>
      <c r="E108" s="271">
        <f t="shared" si="5"/>
        <v>346565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50">
        <f>SUM(C97:C111)</f>
        <v>1580463</v>
      </c>
      <c r="D113" s="250">
        <f>SUM(D97:D111)</f>
        <v>0</v>
      </c>
      <c r="E113" s="250">
        <f>SUM(E97:E111)</f>
        <v>1580463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476"/>
      <c r="B117" s="8" t="s">
        <v>187</v>
      </c>
      <c r="C117" s="293"/>
      <c r="D117" s="293"/>
      <c r="E117" s="271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3"/>
      <c r="D118" s="293"/>
      <c r="E118" s="271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3"/>
      <c r="D119" s="293"/>
      <c r="E119" s="271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50">
        <f>C113+C120</f>
        <v>1580463</v>
      </c>
      <c r="D122" s="250">
        <f>D113+D120</f>
        <v>0</v>
      </c>
      <c r="E122" s="250">
        <f>+E113+E120</f>
        <v>1580463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J133" s="45"/>
      <c r="K133" s="45"/>
    </row>
    <row r="134" spans="1:11" ht="12.75">
      <c r="A134" s="13" t="s">
        <v>81</v>
      </c>
      <c r="B134" s="8" t="s">
        <v>188</v>
      </c>
      <c r="C134" s="250">
        <f>+C53+C82-C122</f>
        <v>-106791</v>
      </c>
      <c r="D134" s="250">
        <f>D53+D82-D122</f>
        <v>0</v>
      </c>
      <c r="E134" s="250">
        <f>E53+E82-E122</f>
        <v>-106791</v>
      </c>
      <c r="F134" s="8"/>
      <c r="G134" s="45"/>
      <c r="H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J135" s="45"/>
      <c r="K135" s="45"/>
    </row>
    <row r="136" spans="1:11" ht="12.75">
      <c r="A136" s="12" t="s">
        <v>372</v>
      </c>
      <c r="B136" s="8" t="s">
        <v>187</v>
      </c>
      <c r="C136" s="309"/>
      <c r="D136" s="293"/>
      <c r="E136" s="263">
        <f>C136-D136</f>
        <v>0</v>
      </c>
      <c r="F136" s="8"/>
      <c r="G136" s="45"/>
      <c r="H136" s="45"/>
      <c r="J136" s="45"/>
      <c r="K136" s="45"/>
    </row>
    <row r="137" spans="1:11" ht="12.75">
      <c r="A137" s="46" t="s">
        <v>373</v>
      </c>
      <c r="B137" s="8" t="s">
        <v>187</v>
      </c>
      <c r="C137" s="309"/>
      <c r="D137" s="309"/>
      <c r="E137" s="392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2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51">
        <f>C134-C136-C137-C138</f>
        <v>-106791</v>
      </c>
      <c r="D139" s="251">
        <f>D134-D136-D137-D138</f>
        <v>0</v>
      </c>
      <c r="E139" s="251">
        <f>E134-E136-E137-E138</f>
        <v>-106791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322</v>
      </c>
      <c r="B142" s="8" t="s">
        <v>186</v>
      </c>
      <c r="C142" s="297">
        <v>0</v>
      </c>
      <c r="D142" s="297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321</v>
      </c>
      <c r="B143" s="8" t="s">
        <v>186</v>
      </c>
      <c r="C143" s="297">
        <v>17467</v>
      </c>
      <c r="D143" s="297"/>
      <c r="E143" s="291">
        <f>C143-D143</f>
        <v>17467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17467</v>
      </c>
      <c r="D144" s="251">
        <f>D142+D143</f>
        <v>0</v>
      </c>
      <c r="E144" s="251">
        <f>E142+E143</f>
        <v>17467</v>
      </c>
      <c r="F144" s="8"/>
      <c r="G144" s="45"/>
      <c r="H144" s="45"/>
      <c r="I144" s="45"/>
      <c r="J144" s="45"/>
      <c r="K144" s="45"/>
    </row>
    <row r="145" spans="1:11" ht="12.75">
      <c r="A145" s="46" t="s">
        <v>333</v>
      </c>
      <c r="B145" s="8" t="s">
        <v>187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188</v>
      </c>
      <c r="C146" s="251">
        <f>C144-C145</f>
        <v>17467</v>
      </c>
      <c r="D146" s="251">
        <f>D144-D145</f>
        <v>0</v>
      </c>
      <c r="E146" s="251">
        <f>E144-E145</f>
        <v>17467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328</v>
      </c>
      <c r="B149" s="8"/>
      <c r="C149" s="477">
        <f>C142/C139</f>
        <v>0</v>
      </c>
      <c r="D149" s="5"/>
      <c r="E149" s="403">
        <f>C149</f>
        <v>0</v>
      </c>
      <c r="F149" s="8"/>
      <c r="G149" s="468" t="s">
        <v>466</v>
      </c>
      <c r="H149" s="45"/>
      <c r="I149" s="45"/>
      <c r="J149" s="45"/>
      <c r="K149" s="45"/>
    </row>
    <row r="150" spans="1:11" ht="12.75">
      <c r="A150" s="46" t="s">
        <v>329</v>
      </c>
      <c r="B150" s="8"/>
      <c r="C150" s="477">
        <f>C143/C139</f>
        <v>-0.16356247249300035</v>
      </c>
      <c r="D150" s="5"/>
      <c r="E150" s="403">
        <f>C150</f>
        <v>-0.16356247249300035</v>
      </c>
      <c r="F150" s="8"/>
      <c r="G150" s="468" t="s">
        <v>467</v>
      </c>
      <c r="H150" s="45"/>
      <c r="I150" s="45"/>
      <c r="J150" s="45"/>
      <c r="K150" s="45"/>
    </row>
    <row r="151" spans="1:11" ht="12.75">
      <c r="A151" t="s">
        <v>330</v>
      </c>
      <c r="B151" s="8"/>
      <c r="C151" s="403">
        <f>SUM(C149:C150)</f>
        <v>-0.16356247249300035</v>
      </c>
      <c r="D151" s="5"/>
      <c r="E151" s="403">
        <f>SUM(E149:E150)</f>
        <v>-0.16356247249300035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475</v>
      </c>
      <c r="B155" s="8"/>
    </row>
    <row r="156" spans="1:5" ht="12.75">
      <c r="A156" t="s">
        <v>218</v>
      </c>
      <c r="B156" s="85" t="s">
        <v>186</v>
      </c>
      <c r="C156" s="250">
        <f>C146</f>
        <v>17467</v>
      </c>
      <c r="D156" s="250">
        <f>D146</f>
        <v>0</v>
      </c>
      <c r="E156" s="250">
        <f>E146</f>
        <v>17467</v>
      </c>
    </row>
    <row r="157" spans="1:5" ht="12.75">
      <c r="A157" t="s">
        <v>20</v>
      </c>
      <c r="B157" s="85" t="s">
        <v>186</v>
      </c>
      <c r="C157" s="297">
        <v>39025</v>
      </c>
      <c r="D157" s="250"/>
      <c r="E157" s="250">
        <f>C157+D157</f>
        <v>39025</v>
      </c>
    </row>
    <row r="158" spans="1:5" ht="12.75">
      <c r="A158" t="s">
        <v>217</v>
      </c>
      <c r="B158" s="85" t="s">
        <v>186</v>
      </c>
      <c r="C158" s="297">
        <v>19018</v>
      </c>
      <c r="D158" s="250"/>
      <c r="E158" s="250">
        <f>C158+D158</f>
        <v>19018</v>
      </c>
    </row>
    <row r="159" ht="12.75">
      <c r="B159" s="8"/>
    </row>
    <row r="160" spans="1:5" ht="12.75">
      <c r="A160" s="2" t="s">
        <v>302</v>
      </c>
      <c r="B160" s="65" t="s">
        <v>188</v>
      </c>
      <c r="C160" s="250">
        <f>C156+C157+C158</f>
        <v>75510</v>
      </c>
      <c r="D160" s="250">
        <f>D156+D157+D158</f>
        <v>0</v>
      </c>
      <c r="E160" s="250">
        <f>E156+E157+E158</f>
        <v>75510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2" fitToWidth="1" horizontalDpi="600" verticalDpi="600" orientation="portrait" scale="65" r:id="rId1"/>
  <headerFooter alignWithMargins="0">
    <oddHeader>&amp;L&amp;Z&amp;F&amp;A</oddHeader>
    <oddFooter>&amp;L&amp;8&amp;D&amp;T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9">
      <selection activeCell="F70" sqref="F7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Niagara-on-the-Lake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272</v>
      </c>
      <c r="B12" s="60"/>
      <c r="C12" s="310"/>
      <c r="D12" s="310"/>
      <c r="E12" s="60"/>
    </row>
    <row r="13" spans="1:5" ht="12.75">
      <c r="A13" s="60"/>
      <c r="B13" s="60"/>
      <c r="C13" s="293"/>
      <c r="D13" s="293"/>
      <c r="E13" s="250">
        <f>C13-D13</f>
        <v>0</v>
      </c>
    </row>
    <row r="14" spans="1:5" ht="12.75">
      <c r="A14" s="60" t="s">
        <v>280</v>
      </c>
      <c r="B14" s="60"/>
      <c r="C14" s="293"/>
      <c r="D14" s="293"/>
      <c r="E14" s="250">
        <f aca="true" t="shared" si="0" ref="E14:E21">C14-D14</f>
        <v>0</v>
      </c>
    </row>
    <row r="15" spans="1:5" ht="12.75">
      <c r="A15" s="60" t="s">
        <v>281</v>
      </c>
      <c r="B15" s="60"/>
      <c r="C15" s="293"/>
      <c r="D15" s="293"/>
      <c r="E15" s="250">
        <f t="shared" si="0"/>
        <v>0</v>
      </c>
    </row>
    <row r="16" spans="1:5" ht="12.75">
      <c r="A16" s="60" t="s">
        <v>282</v>
      </c>
      <c r="B16" s="60"/>
      <c r="C16" s="293"/>
      <c r="D16" s="293"/>
      <c r="E16" s="250">
        <f t="shared" si="0"/>
        <v>0</v>
      </c>
    </row>
    <row r="17" spans="1:5" ht="12.75">
      <c r="A17" s="60" t="s">
        <v>283</v>
      </c>
      <c r="B17" s="60"/>
      <c r="C17" s="293"/>
      <c r="D17" s="293"/>
      <c r="E17" s="250">
        <f t="shared" si="0"/>
        <v>0</v>
      </c>
    </row>
    <row r="18" spans="1:5" ht="12.75">
      <c r="A18" s="60" t="s">
        <v>446</v>
      </c>
      <c r="B18" s="60"/>
      <c r="C18" s="293"/>
      <c r="D18" s="293"/>
      <c r="E18" s="250">
        <f t="shared" si="0"/>
        <v>0</v>
      </c>
    </row>
    <row r="19" spans="1:5" ht="12.75">
      <c r="A19" s="60" t="s">
        <v>446</v>
      </c>
      <c r="B19" s="60"/>
      <c r="C19" s="293"/>
      <c r="D19" s="293"/>
      <c r="E19" s="250">
        <f t="shared" si="0"/>
        <v>0</v>
      </c>
    </row>
    <row r="20" spans="1:5" ht="12.75">
      <c r="A20" s="60"/>
      <c r="B20" s="60"/>
      <c r="C20" s="293"/>
      <c r="D20" s="293"/>
      <c r="E20" s="250">
        <f t="shared" si="0"/>
        <v>0</v>
      </c>
    </row>
    <row r="21" spans="1:5" ht="12.75">
      <c r="A21" s="60"/>
      <c r="B21" s="60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271</v>
      </c>
      <c r="B24" s="60"/>
      <c r="C24" s="90"/>
      <c r="D24" s="90"/>
      <c r="E24" s="90"/>
    </row>
    <row r="25" spans="1:5" ht="12.75">
      <c r="A25" s="60"/>
      <c r="B25" s="60"/>
      <c r="C25" s="293"/>
      <c r="D25" s="293"/>
      <c r="E25" s="250">
        <f>C25-D25</f>
        <v>0</v>
      </c>
    </row>
    <row r="26" spans="1:5" ht="12.75">
      <c r="A26" s="60" t="s">
        <v>280</v>
      </c>
      <c r="B26" s="60"/>
      <c r="C26" s="293"/>
      <c r="D26" s="293"/>
      <c r="E26" s="250">
        <f aca="true" t="shared" si="1" ref="E26:E33">C26-D26</f>
        <v>0</v>
      </c>
    </row>
    <row r="27" spans="1:5" ht="12.75">
      <c r="A27" s="60" t="s">
        <v>281</v>
      </c>
      <c r="B27" s="60"/>
      <c r="C27" s="293"/>
      <c r="D27" s="293"/>
      <c r="E27" s="250">
        <f t="shared" si="1"/>
        <v>0</v>
      </c>
    </row>
    <row r="28" spans="1:5" ht="12.75">
      <c r="A28" s="60" t="s">
        <v>282</v>
      </c>
      <c r="B28" s="60"/>
      <c r="C28" s="293"/>
      <c r="D28" s="293"/>
      <c r="E28" s="250">
        <f t="shared" si="1"/>
        <v>0</v>
      </c>
    </row>
    <row r="29" spans="1:5" ht="12.75">
      <c r="A29" s="60" t="s">
        <v>283</v>
      </c>
      <c r="B29" s="60"/>
      <c r="C29" s="293"/>
      <c r="D29" s="293"/>
      <c r="E29" s="250">
        <f t="shared" si="1"/>
        <v>0</v>
      </c>
    </row>
    <row r="30" spans="1:5" ht="12.75">
      <c r="A30" s="60" t="s">
        <v>446</v>
      </c>
      <c r="B30" s="60"/>
      <c r="C30" s="293"/>
      <c r="D30" s="293"/>
      <c r="E30" s="250">
        <f t="shared" si="1"/>
        <v>0</v>
      </c>
    </row>
    <row r="31" spans="1:5" ht="12.75">
      <c r="A31" s="60" t="s">
        <v>446</v>
      </c>
      <c r="B31" s="60"/>
      <c r="C31" s="293"/>
      <c r="D31" s="293"/>
      <c r="E31" s="250">
        <f t="shared" si="1"/>
        <v>0</v>
      </c>
    </row>
    <row r="32" spans="1:5" ht="12.75">
      <c r="A32" s="60"/>
      <c r="B32" s="60"/>
      <c r="C32" s="293"/>
      <c r="D32" s="293"/>
      <c r="E32" s="250">
        <f t="shared" si="1"/>
        <v>0</v>
      </c>
    </row>
    <row r="33" spans="1:5" ht="13.5" thickBot="1">
      <c r="A33" s="61"/>
      <c r="B33" s="60"/>
      <c r="C33" s="293"/>
      <c r="D33" s="293"/>
      <c r="E33" s="250">
        <f t="shared" si="1"/>
        <v>0</v>
      </c>
    </row>
    <row r="34" spans="1:5" ht="12.75">
      <c r="A34" s="55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272</v>
      </c>
      <c r="B40" s="60"/>
      <c r="C40" s="90"/>
      <c r="D40" s="90"/>
      <c r="E40" s="90"/>
    </row>
    <row r="41" spans="1:5" ht="12.75">
      <c r="A41" s="60"/>
      <c r="B41" s="60"/>
      <c r="C41" s="293"/>
      <c r="D41" s="293"/>
      <c r="E41" s="250">
        <f>C41-D41</f>
        <v>0</v>
      </c>
    </row>
    <row r="42" spans="1:5" ht="12.75">
      <c r="A42" s="60"/>
      <c r="B42" s="60"/>
      <c r="C42" s="293"/>
      <c r="D42" s="293"/>
      <c r="E42" s="250">
        <f aca="true" t="shared" si="2" ref="E42:E49">C42-D42</f>
        <v>0</v>
      </c>
    </row>
    <row r="43" spans="1:5" ht="12.75">
      <c r="A43" s="60" t="s">
        <v>266</v>
      </c>
      <c r="B43" s="60"/>
      <c r="C43" s="293"/>
      <c r="D43" s="293"/>
      <c r="E43" s="250">
        <f t="shared" si="2"/>
        <v>0</v>
      </c>
    </row>
    <row r="44" spans="1:5" ht="12.75">
      <c r="A44" s="60" t="s">
        <v>267</v>
      </c>
      <c r="B44" s="60"/>
      <c r="C44" s="293"/>
      <c r="D44" s="293"/>
      <c r="E44" s="250">
        <f t="shared" si="2"/>
        <v>0</v>
      </c>
    </row>
    <row r="45" spans="1:5" ht="12.75">
      <c r="A45" s="60" t="s">
        <v>268</v>
      </c>
      <c r="B45" s="60"/>
      <c r="C45" s="293"/>
      <c r="D45" s="293"/>
      <c r="E45" s="250">
        <f t="shared" si="2"/>
        <v>0</v>
      </c>
    </row>
    <row r="46" spans="1:5" ht="12.75">
      <c r="A46" s="60" t="s">
        <v>269</v>
      </c>
      <c r="B46" s="60"/>
      <c r="C46" s="293"/>
      <c r="D46" s="293"/>
      <c r="E46" s="250">
        <f t="shared" si="2"/>
        <v>0</v>
      </c>
    </row>
    <row r="47" spans="1:5" ht="12.75">
      <c r="A47" s="60" t="s">
        <v>446</v>
      </c>
      <c r="B47" s="60"/>
      <c r="C47" s="293"/>
      <c r="D47" s="293"/>
      <c r="E47" s="250">
        <f t="shared" si="2"/>
        <v>0</v>
      </c>
    </row>
    <row r="48" spans="1:5" ht="12.75">
      <c r="A48" s="60" t="s">
        <v>446</v>
      </c>
      <c r="B48" s="60"/>
      <c r="C48" s="293"/>
      <c r="D48" s="293"/>
      <c r="E48" s="250">
        <f t="shared" si="2"/>
        <v>0</v>
      </c>
    </row>
    <row r="49" spans="1:5" ht="12.75">
      <c r="A49" s="60"/>
      <c r="B49" s="60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271</v>
      </c>
      <c r="B52" s="60"/>
      <c r="C52" s="90"/>
      <c r="D52" s="90"/>
      <c r="E52" s="90"/>
    </row>
    <row r="53" spans="1:5" ht="12.75">
      <c r="A53" s="60"/>
      <c r="B53" s="60"/>
      <c r="C53" s="293"/>
      <c r="D53" s="293"/>
      <c r="E53" s="250">
        <f>C53-D53</f>
        <v>0</v>
      </c>
    </row>
    <row r="54" spans="1:5" ht="12.75">
      <c r="A54" s="245"/>
      <c r="B54" s="60"/>
      <c r="C54" s="293"/>
      <c r="D54" s="293"/>
      <c r="E54" s="250">
        <f aca="true" t="shared" si="3" ref="E54:E61">C54-D54</f>
        <v>0</v>
      </c>
    </row>
    <row r="55" spans="1:5" ht="12.75">
      <c r="A55" s="245" t="s">
        <v>266</v>
      </c>
      <c r="B55" s="60"/>
      <c r="C55" s="293"/>
      <c r="D55" s="293"/>
      <c r="E55" s="250">
        <f t="shared" si="3"/>
        <v>0</v>
      </c>
    </row>
    <row r="56" spans="1:5" ht="12.75">
      <c r="A56" s="245" t="s">
        <v>267</v>
      </c>
      <c r="B56" s="60"/>
      <c r="C56" s="293"/>
      <c r="D56" s="293"/>
      <c r="E56" s="250">
        <f t="shared" si="3"/>
        <v>0</v>
      </c>
    </row>
    <row r="57" spans="1:5" ht="12.75">
      <c r="A57" s="245" t="s">
        <v>268</v>
      </c>
      <c r="B57" s="60"/>
      <c r="C57" s="293"/>
      <c r="D57" s="293"/>
      <c r="E57" s="250">
        <f t="shared" si="3"/>
        <v>0</v>
      </c>
    </row>
    <row r="58" spans="1:5" ht="12.75">
      <c r="A58" s="245" t="s">
        <v>269</v>
      </c>
      <c r="B58" s="60"/>
      <c r="C58" s="293"/>
      <c r="D58" s="293"/>
      <c r="E58" s="250">
        <f t="shared" si="3"/>
        <v>0</v>
      </c>
    </row>
    <row r="59" spans="1:5" ht="12.75">
      <c r="A59" s="60" t="s">
        <v>446</v>
      </c>
      <c r="B59" s="60"/>
      <c r="C59" s="293"/>
      <c r="D59" s="293"/>
      <c r="E59" s="250">
        <f t="shared" si="3"/>
        <v>0</v>
      </c>
    </row>
    <row r="60" spans="1:5" ht="12.75">
      <c r="A60" s="60" t="s">
        <v>446</v>
      </c>
      <c r="B60" s="60"/>
      <c r="C60" s="293"/>
      <c r="D60" s="293"/>
      <c r="E60" s="250">
        <f t="shared" si="3"/>
        <v>0</v>
      </c>
    </row>
    <row r="61" spans="1:5" ht="13.5" thickBot="1">
      <c r="A61" s="61"/>
      <c r="B61" s="60"/>
      <c r="C61" s="293"/>
      <c r="D61" s="293"/>
      <c r="E61" s="250">
        <f t="shared" si="3"/>
        <v>0</v>
      </c>
    </row>
    <row r="62" spans="1:5" ht="12.75">
      <c r="A62" s="55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7" right="0.7" top="0.75" bottom="0.75" header="0.3" footer="0.3"/>
  <pageSetup fitToHeight="1" fitToWidth="1" horizontalDpi="600" verticalDpi="600" orientation="portrait" scale="83" r:id="rId1"/>
  <headerFooter alignWithMargins="0">
    <oddHeader>&amp;L&amp;Z&amp;F&amp;A</oddHeader>
    <oddFooter>&amp;L&amp;8&amp;D&amp;T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139"/>
  <sheetViews>
    <sheetView zoomScale="75" zoomScaleNormal="75" zoomScalePageLayoutView="0" workbookViewId="0" topLeftCell="A1">
      <pane xSplit="1" ySplit="6" topLeftCell="B67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83" sqref="C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463</v>
      </c>
      <c r="B5" s="8"/>
      <c r="C5" s="8" t="s">
        <v>2</v>
      </c>
      <c r="D5" s="8"/>
      <c r="E5" s="8"/>
      <c r="F5" s="8"/>
    </row>
    <row r="6" spans="1:6" ht="12.75">
      <c r="A6" s="413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Niagara-on-the-Lake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271">
        <f>TAXREC!C13</f>
        <v>17324.48625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9" ht="12.75">
      <c r="A17" s="66"/>
      <c r="B17" t="s">
        <v>186</v>
      </c>
      <c r="C17" s="294"/>
      <c r="D17" s="294"/>
      <c r="E17" s="311">
        <f>C17-D17</f>
        <v>0</v>
      </c>
      <c r="H17" s="34"/>
      <c r="I17" s="34"/>
    </row>
    <row r="18" spans="1:9" ht="12.75">
      <c r="A18" s="66" t="s">
        <v>252</v>
      </c>
      <c r="B18" t="s">
        <v>186</v>
      </c>
      <c r="C18" s="294"/>
      <c r="D18" s="294"/>
      <c r="E18" s="311">
        <f aca="true" t="shared" si="0" ref="E18:E44">C18-D18</f>
        <v>0</v>
      </c>
      <c r="H18" s="34"/>
      <c r="I18" s="34"/>
    </row>
    <row r="19" spans="1:9" ht="12.75">
      <c r="A19" s="66" t="s">
        <v>134</v>
      </c>
      <c r="B19" t="s">
        <v>186</v>
      </c>
      <c r="C19" s="294"/>
      <c r="D19" s="294"/>
      <c r="E19" s="311">
        <f t="shared" si="0"/>
        <v>0</v>
      </c>
      <c r="H19" s="34"/>
      <c r="I19" s="34"/>
    </row>
    <row r="20" spans="1:9" ht="12.75">
      <c r="A20" s="66" t="s">
        <v>447</v>
      </c>
      <c r="B20" t="s">
        <v>186</v>
      </c>
      <c r="C20" s="294"/>
      <c r="D20" s="312"/>
      <c r="E20" s="311">
        <f t="shared" si="0"/>
        <v>0</v>
      </c>
      <c r="H20" s="34"/>
      <c r="I20" s="34"/>
    </row>
    <row r="21" spans="1:9" ht="12.75">
      <c r="A21" s="66" t="s">
        <v>8</v>
      </c>
      <c r="B21" t="s">
        <v>186</v>
      </c>
      <c r="C21" s="294"/>
      <c r="D21" s="294"/>
      <c r="E21" s="311">
        <f t="shared" si="0"/>
        <v>0</v>
      </c>
      <c r="H21" s="34"/>
      <c r="I21" s="34"/>
    </row>
    <row r="22" spans="1:5" ht="12.75">
      <c r="A22" s="66"/>
      <c r="B22" t="s">
        <v>186</v>
      </c>
      <c r="C22" s="294"/>
      <c r="D22" s="294"/>
      <c r="E22" s="311">
        <f t="shared" si="0"/>
        <v>0</v>
      </c>
    </row>
    <row r="23" spans="1:5" ht="12.75">
      <c r="A23" s="66" t="s">
        <v>136</v>
      </c>
      <c r="B23" t="s">
        <v>186</v>
      </c>
      <c r="C23" s="294"/>
      <c r="D23" s="294"/>
      <c r="E23" s="311">
        <f t="shared" si="0"/>
        <v>0</v>
      </c>
    </row>
    <row r="24" spans="1:5" ht="12.75">
      <c r="A24" s="66" t="s">
        <v>137</v>
      </c>
      <c r="B24" t="s">
        <v>186</v>
      </c>
      <c r="C24" s="294"/>
      <c r="D24" s="294"/>
      <c r="E24" s="311">
        <f t="shared" si="0"/>
        <v>0</v>
      </c>
    </row>
    <row r="25" spans="1:5" ht="12.75">
      <c r="A25" s="66" t="s">
        <v>9</v>
      </c>
      <c r="B25" t="s">
        <v>186</v>
      </c>
      <c r="C25" s="294"/>
      <c r="D25" s="294"/>
      <c r="E25" s="311">
        <f t="shared" si="0"/>
        <v>0</v>
      </c>
    </row>
    <row r="26" spans="1:5" ht="12.75">
      <c r="A26" s="66" t="s">
        <v>190</v>
      </c>
      <c r="B26" t="s">
        <v>186</v>
      </c>
      <c r="C26" s="294"/>
      <c r="D26" s="294"/>
      <c r="E26" s="311">
        <f t="shared" si="0"/>
        <v>0</v>
      </c>
    </row>
    <row r="27" spans="1:5" ht="12.75">
      <c r="A27" s="66" t="s">
        <v>7</v>
      </c>
      <c r="B27" t="s">
        <v>186</v>
      </c>
      <c r="C27" s="294"/>
      <c r="D27" s="294"/>
      <c r="E27" s="311">
        <f t="shared" si="0"/>
        <v>0</v>
      </c>
    </row>
    <row r="28" spans="1:5" ht="12.75">
      <c r="A28" s="66" t="s">
        <v>124</v>
      </c>
      <c r="B28" t="s">
        <v>186</v>
      </c>
      <c r="C28" s="294"/>
      <c r="D28" s="294"/>
      <c r="E28" s="311">
        <f t="shared" si="0"/>
        <v>0</v>
      </c>
    </row>
    <row r="29" spans="1:5" ht="12.75">
      <c r="A29" s="66" t="s">
        <v>138</v>
      </c>
      <c r="B29" t="s">
        <v>186</v>
      </c>
      <c r="C29" s="294"/>
      <c r="D29" s="294"/>
      <c r="E29" s="311">
        <f t="shared" si="0"/>
        <v>0</v>
      </c>
    </row>
    <row r="30" spans="1:5" ht="12.75">
      <c r="A30" s="66" t="s">
        <v>139</v>
      </c>
      <c r="B30" t="s">
        <v>186</v>
      </c>
      <c r="C30" s="294"/>
      <c r="D30" s="294"/>
      <c r="E30" s="311">
        <f t="shared" si="0"/>
        <v>0</v>
      </c>
    </row>
    <row r="31" spans="1:5" ht="12.75">
      <c r="A31" s="66" t="s">
        <v>253</v>
      </c>
      <c r="B31" t="s">
        <v>186</v>
      </c>
      <c r="C31" s="294"/>
      <c r="D31" s="294"/>
      <c r="E31" s="311">
        <f t="shared" si="0"/>
        <v>0</v>
      </c>
    </row>
    <row r="32" spans="1:5" ht="12.75">
      <c r="A32" s="66" t="s">
        <v>140</v>
      </c>
      <c r="B32" t="s">
        <v>186</v>
      </c>
      <c r="C32" s="294"/>
      <c r="D32" s="294"/>
      <c r="E32" s="311">
        <f t="shared" si="0"/>
        <v>0</v>
      </c>
    </row>
    <row r="33" spans="1:5" ht="12.75">
      <c r="A33" s="66" t="s">
        <v>141</v>
      </c>
      <c r="B33" t="s">
        <v>186</v>
      </c>
      <c r="C33" s="294"/>
      <c r="D33" s="294"/>
      <c r="E33" s="311">
        <f t="shared" si="0"/>
        <v>0</v>
      </c>
    </row>
    <row r="34" spans="1:5" ht="12.75">
      <c r="A34" s="66" t="s">
        <v>142</v>
      </c>
      <c r="B34" t="s">
        <v>186</v>
      </c>
      <c r="C34" s="294"/>
      <c r="D34" s="294"/>
      <c r="E34" s="311">
        <f t="shared" si="0"/>
        <v>0</v>
      </c>
    </row>
    <row r="35" spans="1:5" ht="12.75">
      <c r="A35" s="66" t="s">
        <v>192</v>
      </c>
      <c r="B35" t="s">
        <v>186</v>
      </c>
      <c r="C35" s="294"/>
      <c r="D35" s="294"/>
      <c r="E35" s="311">
        <f t="shared" si="0"/>
        <v>0</v>
      </c>
    </row>
    <row r="36" spans="1:5" ht="12.75">
      <c r="A36" s="66" t="s">
        <v>473</v>
      </c>
      <c r="B36" t="s">
        <v>186</v>
      </c>
      <c r="C36" s="294"/>
      <c r="D36" s="294"/>
      <c r="E36" s="311">
        <f t="shared" si="0"/>
        <v>0</v>
      </c>
    </row>
    <row r="37" spans="1:5" ht="12.75">
      <c r="A37" s="66"/>
      <c r="B37" t="s">
        <v>186</v>
      </c>
      <c r="C37" s="294"/>
      <c r="D37" s="294"/>
      <c r="E37" s="311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7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66"/>
      <c r="B41" t="s">
        <v>186</v>
      </c>
      <c r="C41" s="293"/>
      <c r="D41" s="293"/>
      <c r="E41" s="250">
        <f t="shared" si="0"/>
        <v>0</v>
      </c>
    </row>
    <row r="42" spans="1:5" ht="12.75">
      <c r="A42" s="66"/>
      <c r="B42" t="s">
        <v>186</v>
      </c>
      <c r="C42" s="293"/>
      <c r="D42" s="293"/>
      <c r="E42" s="250">
        <f t="shared" si="0"/>
        <v>0</v>
      </c>
    </row>
    <row r="43" spans="1:5" ht="12.75">
      <c r="A43" s="66"/>
      <c r="B43" t="s">
        <v>186</v>
      </c>
      <c r="C43" s="293"/>
      <c r="D43" s="293"/>
      <c r="E43" s="250">
        <f t="shared" si="0"/>
        <v>0</v>
      </c>
    </row>
    <row r="44" spans="1:5" ht="12.75">
      <c r="A44" s="66"/>
      <c r="B44" t="s">
        <v>186</v>
      </c>
      <c r="C44" s="293"/>
      <c r="D44" s="293"/>
      <c r="E44" s="250">
        <f t="shared" si="0"/>
        <v>0</v>
      </c>
    </row>
    <row r="45" spans="1:5" ht="12.75">
      <c r="A45" s="66"/>
      <c r="B45" t="s">
        <v>186</v>
      </c>
      <c r="C45" s="293"/>
      <c r="D45" s="293"/>
      <c r="E45" s="278"/>
    </row>
    <row r="46" spans="1:5" ht="12.75">
      <c r="A46" s="69" t="s">
        <v>169</v>
      </c>
      <c r="B46" t="s">
        <v>188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IF($E19&gt;$C$11,A19,"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202</v>
      </c>
      <c r="B78" s="276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5" t="s">
        <v>169</v>
      </c>
      <c r="B79" s="276"/>
      <c r="C79" s="313">
        <f>C77+C78</f>
        <v>0</v>
      </c>
      <c r="D79" s="313">
        <f>D77+D78</f>
        <v>0</v>
      </c>
      <c r="E79" s="313">
        <f>E77+E78</f>
        <v>0</v>
      </c>
    </row>
    <row r="80" spans="1:8" ht="12.75">
      <c r="A80" s="66"/>
      <c r="H80" s="34"/>
    </row>
    <row r="81" spans="1:8" ht="12.75">
      <c r="A81" s="66" t="s">
        <v>144</v>
      </c>
      <c r="H81" s="34"/>
    </row>
    <row r="82" spans="1:8" ht="12.75">
      <c r="A82" s="66" t="s">
        <v>145</v>
      </c>
      <c r="B82" s="8" t="s">
        <v>187</v>
      </c>
      <c r="C82" s="293"/>
      <c r="D82" s="293"/>
      <c r="E82" s="250">
        <f>C82-D82</f>
        <v>0</v>
      </c>
      <c r="H82" s="34"/>
    </row>
    <row r="83" spans="1:8" ht="12.75">
      <c r="A83" s="70" t="s">
        <v>151</v>
      </c>
      <c r="B83" s="8" t="s">
        <v>187</v>
      </c>
      <c r="C83" s="293"/>
      <c r="D83" s="293"/>
      <c r="E83" s="250">
        <f aca="true" t="shared" si="5" ref="E83:E98">C83-D83</f>
        <v>0</v>
      </c>
      <c r="H83" s="34"/>
    </row>
    <row r="84" spans="1:5" ht="12.75">
      <c r="A84" s="70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0" t="s">
        <v>254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6" t="s">
        <v>193</v>
      </c>
      <c r="B86" s="8" t="s">
        <v>187</v>
      </c>
      <c r="C86" s="293"/>
      <c r="D86" s="293"/>
      <c r="E86" s="250">
        <f t="shared" si="5"/>
        <v>0</v>
      </c>
    </row>
    <row r="87" spans="1:5" ht="12.75">
      <c r="A87" s="66" t="s">
        <v>374</v>
      </c>
      <c r="B87" s="8" t="s">
        <v>187</v>
      </c>
      <c r="C87" s="293"/>
      <c r="D87" s="293"/>
      <c r="E87" s="250">
        <f t="shared" si="5"/>
        <v>0</v>
      </c>
    </row>
    <row r="88" spans="1:5" ht="12.75">
      <c r="A88" s="66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6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6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6" t="s">
        <v>168</v>
      </c>
      <c r="B91" s="8" t="s">
        <v>187</v>
      </c>
      <c r="C91" s="293"/>
      <c r="D91" s="293"/>
      <c r="E91" s="250">
        <f t="shared" si="5"/>
        <v>0</v>
      </c>
    </row>
    <row r="92" spans="2:5" ht="12.75">
      <c r="B92" s="8" t="s">
        <v>187</v>
      </c>
      <c r="C92" s="293"/>
      <c r="D92" s="293"/>
      <c r="E92" s="250"/>
    </row>
    <row r="93" spans="1:5" ht="12.75">
      <c r="A93" s="66"/>
      <c r="B93" s="8" t="s">
        <v>187</v>
      </c>
      <c r="C93" s="293"/>
      <c r="D93" s="293"/>
      <c r="E93" s="250">
        <f t="shared" si="5"/>
        <v>0</v>
      </c>
    </row>
    <row r="94" spans="1:5" ht="12.75">
      <c r="A94" s="66"/>
      <c r="B94" s="8" t="s">
        <v>187</v>
      </c>
      <c r="C94" s="293"/>
      <c r="D94" s="293"/>
      <c r="E94" s="250">
        <f t="shared" si="5"/>
        <v>0</v>
      </c>
    </row>
    <row r="95" spans="1:5" ht="12.75">
      <c r="A95" s="67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66" t="s">
        <v>474</v>
      </c>
      <c r="B96" s="8" t="s">
        <v>187</v>
      </c>
      <c r="C96" s="293">
        <v>0</v>
      </c>
      <c r="D96" s="293"/>
      <c r="E96" s="250">
        <f t="shared" si="5"/>
        <v>0</v>
      </c>
    </row>
    <row r="97" spans="1:5" ht="12.75">
      <c r="A97" s="66"/>
      <c r="B97" s="8" t="s">
        <v>187</v>
      </c>
      <c r="C97" s="293"/>
      <c r="D97" s="293"/>
      <c r="E97" s="250">
        <f t="shared" si="5"/>
        <v>0</v>
      </c>
    </row>
    <row r="98" spans="1:5" ht="12.75">
      <c r="A98" s="66"/>
      <c r="B98" s="8" t="s">
        <v>187</v>
      </c>
      <c r="C98" s="293"/>
      <c r="D98" s="293"/>
      <c r="E98" s="250">
        <f t="shared" si="5"/>
        <v>0</v>
      </c>
    </row>
    <row r="99" spans="1:5" ht="12.75">
      <c r="A99" s="66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76" r:id="rId1"/>
  <headerFooter alignWithMargins="0">
    <oddHeader>&amp;L&amp;Z&amp;F&amp;A</oddHeader>
    <oddFooter>&amp;L&amp;8&amp;D&amp;T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40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55" sqref="C5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  <col min="8" max="8" width="9.140625" style="34" customWidth="1"/>
  </cols>
  <sheetData>
    <row r="2" ht="12.75">
      <c r="A2" s="1" t="str">
        <f>REGINFO!A1</f>
        <v>PILs TAXES </v>
      </c>
    </row>
    <row r="3" spans="1:5" ht="12.75">
      <c r="A3" s="2" t="s">
        <v>382</v>
      </c>
      <c r="E3" s="91"/>
    </row>
    <row r="4" spans="1:6" ht="15.75">
      <c r="A4" s="455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7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Niagara-on-the-Lake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4"/>
      <c r="D19" s="294"/>
      <c r="E19" s="311">
        <f aca="true" t="shared" si="0" ref="E19:E45">C19-D19</f>
        <v>0</v>
      </c>
    </row>
    <row r="20" spans="1:5" ht="12.75">
      <c r="A20" t="s">
        <v>385</v>
      </c>
      <c r="B20" t="s">
        <v>186</v>
      </c>
      <c r="C20" s="294"/>
      <c r="D20" s="294"/>
      <c r="E20" s="311">
        <f t="shared" si="0"/>
        <v>0</v>
      </c>
    </row>
    <row r="21" spans="1:5" ht="12.75">
      <c r="A21" t="s">
        <v>451</v>
      </c>
      <c r="B21" t="s">
        <v>186</v>
      </c>
      <c r="C21" s="294"/>
      <c r="D21" s="294"/>
      <c r="E21" s="311">
        <f t="shared" si="0"/>
        <v>0</v>
      </c>
    </row>
    <row r="22" spans="1:5" ht="12.75">
      <c r="A22" s="66" t="s">
        <v>388</v>
      </c>
      <c r="B22" t="s">
        <v>186</v>
      </c>
      <c r="C22" s="294"/>
      <c r="D22" s="312"/>
      <c r="E22" s="311">
        <f t="shared" si="0"/>
        <v>0</v>
      </c>
    </row>
    <row r="23" spans="1:5" ht="12.75">
      <c r="A23" s="66" t="s">
        <v>389</v>
      </c>
      <c r="B23" t="s">
        <v>186</v>
      </c>
      <c r="C23" s="294"/>
      <c r="D23" s="294"/>
      <c r="E23" s="311">
        <f t="shared" si="0"/>
        <v>0</v>
      </c>
    </row>
    <row r="24" spans="1:5" ht="12.75">
      <c r="A24" s="66" t="s">
        <v>452</v>
      </c>
      <c r="B24" t="s">
        <v>186</v>
      </c>
      <c r="C24" s="294"/>
      <c r="D24" s="294"/>
      <c r="E24" s="311">
        <f t="shared" si="0"/>
        <v>0</v>
      </c>
    </row>
    <row r="25" spans="1:5" ht="12.75">
      <c r="A25" s="66" t="s">
        <v>125</v>
      </c>
      <c r="B25" t="s">
        <v>186</v>
      </c>
      <c r="C25" s="294"/>
      <c r="D25" s="294"/>
      <c r="E25" s="311">
        <f t="shared" si="0"/>
        <v>0</v>
      </c>
    </row>
    <row r="26" spans="1:5" ht="12.75">
      <c r="A26" s="66" t="s">
        <v>133</v>
      </c>
      <c r="B26" t="s">
        <v>186</v>
      </c>
      <c r="C26" s="294"/>
      <c r="D26" s="294"/>
      <c r="E26" s="311">
        <f t="shared" si="0"/>
        <v>0</v>
      </c>
    </row>
    <row r="27" spans="1:5" ht="12.75">
      <c r="A27" s="66" t="s">
        <v>435</v>
      </c>
      <c r="B27" t="s">
        <v>186</v>
      </c>
      <c r="C27" s="294"/>
      <c r="D27" s="294"/>
      <c r="E27" s="311">
        <f t="shared" si="0"/>
        <v>0</v>
      </c>
    </row>
    <row r="28" spans="1:5" ht="12.75">
      <c r="A28" s="66" t="s">
        <v>387</v>
      </c>
      <c r="B28" t="s">
        <v>186</v>
      </c>
      <c r="C28" s="294"/>
      <c r="D28" s="294"/>
      <c r="E28" s="311">
        <f t="shared" si="0"/>
        <v>0</v>
      </c>
    </row>
    <row r="29" spans="1:5" ht="12.75">
      <c r="A29" s="66" t="s">
        <v>135</v>
      </c>
      <c r="B29" t="s">
        <v>186</v>
      </c>
      <c r="C29" s="294"/>
      <c r="D29" s="294"/>
      <c r="E29" s="311">
        <f t="shared" si="0"/>
        <v>0</v>
      </c>
    </row>
    <row r="30" spans="1:5" ht="12.75">
      <c r="A30" s="66" t="s">
        <v>386</v>
      </c>
      <c r="B30" t="s">
        <v>186</v>
      </c>
      <c r="C30" s="294"/>
      <c r="D30" s="294"/>
      <c r="E30" s="311">
        <f t="shared" si="0"/>
        <v>0</v>
      </c>
    </row>
    <row r="31" spans="1:5" ht="12.75">
      <c r="A31" s="66" t="s">
        <v>191</v>
      </c>
      <c r="B31" t="s">
        <v>186</v>
      </c>
      <c r="C31" s="294"/>
      <c r="D31" s="294"/>
      <c r="E31" s="311">
        <f t="shared" si="0"/>
        <v>0</v>
      </c>
    </row>
    <row r="32" spans="1:5" ht="12.75">
      <c r="A32" s="66" t="s">
        <v>430</v>
      </c>
      <c r="B32" t="s">
        <v>186</v>
      </c>
      <c r="C32" s="294"/>
      <c r="D32" s="294"/>
      <c r="E32" s="311">
        <f t="shared" si="0"/>
        <v>0</v>
      </c>
    </row>
    <row r="33" spans="1:5" ht="12.75">
      <c r="A33" s="66" t="s">
        <v>431</v>
      </c>
      <c r="B33" t="s">
        <v>186</v>
      </c>
      <c r="C33" s="294"/>
      <c r="D33" s="294"/>
      <c r="E33" s="311">
        <f t="shared" si="0"/>
        <v>0</v>
      </c>
    </row>
    <row r="34" spans="1:5" ht="12.75">
      <c r="A34" s="66" t="s">
        <v>448</v>
      </c>
      <c r="B34" t="s">
        <v>186</v>
      </c>
      <c r="C34" s="294"/>
      <c r="D34" s="294"/>
      <c r="E34" s="311">
        <f t="shared" si="0"/>
        <v>0</v>
      </c>
    </row>
    <row r="35" spans="1:5" ht="12.75">
      <c r="A35" s="80" t="s">
        <v>449</v>
      </c>
      <c r="C35" s="294"/>
      <c r="D35" s="294"/>
      <c r="E35" s="311">
        <f t="shared" si="0"/>
        <v>0</v>
      </c>
    </row>
    <row r="36" spans="1:5" ht="12.75">
      <c r="A36" s="66" t="s">
        <v>432</v>
      </c>
      <c r="C36" s="294">
        <v>1980</v>
      </c>
      <c r="D36" s="294"/>
      <c r="E36" s="311">
        <f t="shared" si="0"/>
        <v>1980</v>
      </c>
    </row>
    <row r="37" spans="1:5" ht="12.75">
      <c r="A37" s="66" t="s">
        <v>433</v>
      </c>
      <c r="C37" s="294"/>
      <c r="D37" s="294"/>
      <c r="E37" s="311">
        <f t="shared" si="0"/>
        <v>0</v>
      </c>
    </row>
    <row r="38" spans="1:5" ht="12.75">
      <c r="A38" s="66" t="s">
        <v>455</v>
      </c>
      <c r="C38" s="294"/>
      <c r="D38" s="294"/>
      <c r="E38" s="311">
        <f t="shared" si="0"/>
        <v>0</v>
      </c>
    </row>
    <row r="39" spans="2:5" ht="12.75">
      <c r="B39" t="s">
        <v>186</v>
      </c>
      <c r="C39" s="294"/>
      <c r="D39" s="294"/>
      <c r="E39" s="311">
        <f t="shared" si="0"/>
        <v>0</v>
      </c>
    </row>
    <row r="40" spans="1:5" ht="12.75">
      <c r="A40" s="80" t="s">
        <v>390</v>
      </c>
      <c r="B40" t="s">
        <v>186</v>
      </c>
      <c r="C40" s="294"/>
      <c r="D40" s="294"/>
      <c r="E40" s="311">
        <f t="shared" si="0"/>
        <v>0</v>
      </c>
    </row>
    <row r="41" spans="1:5" ht="12.75">
      <c r="A41" s="80" t="s">
        <v>384</v>
      </c>
      <c r="B41" t="s">
        <v>186</v>
      </c>
      <c r="C41" s="294"/>
      <c r="D41" s="294"/>
      <c r="E41" s="311">
        <f t="shared" si="0"/>
        <v>0</v>
      </c>
    </row>
    <row r="42" spans="2:5" ht="12.75">
      <c r="B42" t="s">
        <v>186</v>
      </c>
      <c r="C42" s="294"/>
      <c r="D42" s="294"/>
      <c r="E42" s="311">
        <f t="shared" si="0"/>
        <v>0</v>
      </c>
    </row>
    <row r="43" spans="1:5" ht="12.75">
      <c r="A43" s="67" t="s">
        <v>203</v>
      </c>
      <c r="B43" t="s">
        <v>186</v>
      </c>
      <c r="C43" s="294"/>
      <c r="D43" s="294"/>
      <c r="E43" s="311">
        <f t="shared" si="0"/>
        <v>0</v>
      </c>
    </row>
    <row r="44" spans="1:5" ht="12.75">
      <c r="A44" t="s">
        <v>492</v>
      </c>
      <c r="B44" t="s">
        <v>186</v>
      </c>
      <c r="C44" s="294"/>
      <c r="D44" s="293"/>
      <c r="E44" s="250">
        <f t="shared" si="0"/>
        <v>0</v>
      </c>
    </row>
    <row r="45" spans="2:5" ht="12.75">
      <c r="B45" t="s">
        <v>186</v>
      </c>
      <c r="C45" s="293"/>
      <c r="D45" s="293"/>
      <c r="E45" s="250">
        <f t="shared" si="0"/>
        <v>0</v>
      </c>
    </row>
    <row r="46" spans="1:5" ht="12.75">
      <c r="A46" s="66"/>
      <c r="B46" t="s">
        <v>186</v>
      </c>
      <c r="C46" s="293"/>
      <c r="D46" s="293"/>
      <c r="E46" s="278"/>
    </row>
    <row r="47" spans="1:5" ht="12.75">
      <c r="A47" s="440" t="s">
        <v>394</v>
      </c>
      <c r="B47" t="s">
        <v>188</v>
      </c>
      <c r="C47" s="250">
        <f>SUM(C19:C46)</f>
        <v>1980</v>
      </c>
      <c r="D47" s="250">
        <f>SUM(D19:D46)</f>
        <v>0</v>
      </c>
      <c r="E47" s="250">
        <f>SUM(E19:E46)</f>
        <v>1980</v>
      </c>
    </row>
    <row r="48" ht="12.75">
      <c r="A48" s="66"/>
    </row>
    <row r="49" ht="12.75">
      <c r="A49" s="80" t="s">
        <v>144</v>
      </c>
    </row>
    <row r="51" spans="1:5" ht="12.75">
      <c r="A51" s="70" t="s">
        <v>385</v>
      </c>
      <c r="B51" s="8" t="s">
        <v>187</v>
      </c>
      <c r="C51" s="293"/>
      <c r="D51" s="293"/>
      <c r="E51" s="250">
        <f aca="true" t="shared" si="1" ref="E51:E61">C51-D51</f>
        <v>0</v>
      </c>
    </row>
    <row r="52" spans="1:5" ht="12.75">
      <c r="A52" s="66" t="s">
        <v>451</v>
      </c>
      <c r="B52" s="8" t="s">
        <v>187</v>
      </c>
      <c r="C52" s="293"/>
      <c r="D52" s="293"/>
      <c r="E52" s="250">
        <f t="shared" si="1"/>
        <v>0</v>
      </c>
    </row>
    <row r="53" spans="1:5" ht="12.75">
      <c r="A53" t="s">
        <v>386</v>
      </c>
      <c r="B53" s="8" t="s">
        <v>187</v>
      </c>
      <c r="C53" s="293"/>
      <c r="D53" s="293"/>
      <c r="E53" s="250">
        <f t="shared" si="1"/>
        <v>0</v>
      </c>
    </row>
    <row r="54" spans="1:5" ht="12.75">
      <c r="A54" t="s">
        <v>434</v>
      </c>
      <c r="B54" s="8" t="s">
        <v>187</v>
      </c>
      <c r="C54" s="293">
        <v>55209</v>
      </c>
      <c r="D54" s="293"/>
      <c r="E54" s="250">
        <f t="shared" si="1"/>
        <v>55209</v>
      </c>
    </row>
    <row r="55" spans="1:5" ht="12.75">
      <c r="A55" s="66" t="s">
        <v>442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s="66" t="s">
        <v>454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s="2" t="s">
        <v>450</v>
      </c>
      <c r="B57" s="8" t="s">
        <v>187</v>
      </c>
      <c r="C57" s="293"/>
      <c r="D57" s="293"/>
      <c r="E57" s="250">
        <f t="shared" si="1"/>
        <v>0</v>
      </c>
    </row>
    <row r="58" spans="1:5" ht="12.75">
      <c r="A58" s="66" t="s">
        <v>453</v>
      </c>
      <c r="B58" s="8" t="s">
        <v>187</v>
      </c>
      <c r="C58" s="293">
        <v>2174</v>
      </c>
      <c r="D58" s="293"/>
      <c r="E58" s="250">
        <f t="shared" si="1"/>
        <v>2174</v>
      </c>
    </row>
    <row r="59" spans="1:5" ht="12.75">
      <c r="A59" s="66"/>
      <c r="B59" s="8" t="s">
        <v>187</v>
      </c>
      <c r="C59" s="293"/>
      <c r="D59" s="293"/>
      <c r="E59" s="250">
        <f t="shared" si="1"/>
        <v>0</v>
      </c>
    </row>
    <row r="60" spans="2:5" ht="12.75">
      <c r="B60" s="8" t="s">
        <v>187</v>
      </c>
      <c r="C60" s="293"/>
      <c r="D60" s="293"/>
      <c r="E60" s="250">
        <f t="shared" si="1"/>
        <v>0</v>
      </c>
    </row>
    <row r="61" spans="2:5" ht="12.75">
      <c r="B61" s="8" t="s">
        <v>187</v>
      </c>
      <c r="C61" s="293"/>
      <c r="D61" s="293"/>
      <c r="E61" s="250">
        <f t="shared" si="1"/>
        <v>0</v>
      </c>
    </row>
    <row r="62" spans="2:5" ht="12.75">
      <c r="B62" s="8" t="s">
        <v>187</v>
      </c>
      <c r="C62" s="293"/>
      <c r="D62" s="293"/>
      <c r="E62" s="250">
        <f aca="true" t="shared" si="2" ref="E62:E72">C62-D62</f>
        <v>0</v>
      </c>
    </row>
    <row r="63" spans="2:5" ht="12.75">
      <c r="B63" s="8" t="s">
        <v>187</v>
      </c>
      <c r="C63" s="293"/>
      <c r="D63" s="293"/>
      <c r="E63" s="250">
        <f t="shared" si="2"/>
        <v>0</v>
      </c>
    </row>
    <row r="64" spans="1:5" ht="12.75">
      <c r="A64" s="459" t="s">
        <v>391</v>
      </c>
      <c r="B64" s="8" t="s">
        <v>187</v>
      </c>
      <c r="C64" s="293"/>
      <c r="D64" s="293"/>
      <c r="E64" s="250">
        <f t="shared" si="2"/>
        <v>0</v>
      </c>
    </row>
    <row r="65" spans="2:5" ht="12.75">
      <c r="B65" s="8" t="s">
        <v>187</v>
      </c>
      <c r="C65" s="293"/>
      <c r="D65" s="293"/>
      <c r="E65" s="250">
        <f t="shared" si="2"/>
        <v>0</v>
      </c>
    </row>
    <row r="66" spans="1:5" ht="12.75">
      <c r="A66" s="459" t="s">
        <v>384</v>
      </c>
      <c r="B66" s="8" t="s">
        <v>187</v>
      </c>
      <c r="C66" s="293">
        <v>289182</v>
      </c>
      <c r="D66" s="293"/>
      <c r="E66" s="250">
        <f t="shared" si="2"/>
        <v>289182</v>
      </c>
    </row>
    <row r="67" spans="1:5" ht="12.75">
      <c r="A67" s="66"/>
      <c r="B67" s="8" t="s">
        <v>187</v>
      </c>
      <c r="C67" s="293"/>
      <c r="D67" s="293"/>
      <c r="E67" s="250">
        <f t="shared" si="2"/>
        <v>0</v>
      </c>
    </row>
    <row r="68" spans="1:5" ht="12.75">
      <c r="A68" s="67" t="s">
        <v>204</v>
      </c>
      <c r="B68" s="8" t="s">
        <v>187</v>
      </c>
      <c r="C68" s="293"/>
      <c r="D68" s="293"/>
      <c r="E68" s="250">
        <f t="shared" si="2"/>
        <v>0</v>
      </c>
    </row>
    <row r="69" spans="1:5" ht="12.75">
      <c r="A69" s="66"/>
      <c r="B69" s="8" t="s">
        <v>187</v>
      </c>
      <c r="C69" s="293"/>
      <c r="D69" s="293"/>
      <c r="E69" s="250">
        <f t="shared" si="2"/>
        <v>0</v>
      </c>
    </row>
    <row r="70" spans="1:5" ht="12.75">
      <c r="A70" s="66"/>
      <c r="B70" s="8" t="s">
        <v>187</v>
      </c>
      <c r="C70" s="293"/>
      <c r="D70" s="293"/>
      <c r="E70" s="250">
        <f t="shared" si="2"/>
        <v>0</v>
      </c>
    </row>
    <row r="71" spans="1:5" ht="12.75">
      <c r="A71" s="66"/>
      <c r="B71" s="8" t="s">
        <v>187</v>
      </c>
      <c r="C71" s="293"/>
      <c r="D71" s="293"/>
      <c r="E71" s="250">
        <f t="shared" si="2"/>
        <v>0</v>
      </c>
    </row>
    <row r="72" spans="1:5" ht="12.75">
      <c r="A72" s="66"/>
      <c r="B72" s="8" t="s">
        <v>187</v>
      </c>
      <c r="C72" s="293"/>
      <c r="D72" s="293"/>
      <c r="E72" s="278">
        <f t="shared" si="2"/>
        <v>0</v>
      </c>
    </row>
    <row r="73" spans="1:5" ht="12.75">
      <c r="A73" s="439" t="s">
        <v>393</v>
      </c>
      <c r="B73" s="8" t="s">
        <v>188</v>
      </c>
      <c r="C73" s="250">
        <f>SUM(C51:C72)</f>
        <v>346565</v>
      </c>
      <c r="D73" s="250">
        <f>SUM(D51:D72)</f>
        <v>0</v>
      </c>
      <c r="E73" s="250">
        <f>SUM(E51:E72)</f>
        <v>346565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68" r:id="rId1"/>
  <headerFooter alignWithMargins="0">
    <oddHeader>&amp;L&amp;Z&amp;F&amp;A</oddHeader>
    <oddFooter>&amp;L&amp;8&amp;D&amp;T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8">
      <selection activeCell="M64" sqref="M64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3" t="str">
        <f>REGINFO!A1</f>
        <v>PILs TAXES </v>
      </c>
      <c r="B1" s="384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107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306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Niagara-on-the-Lake Hydro Inc.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8" t="s">
        <v>336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5" t="s">
        <v>481</v>
      </c>
      <c r="B8" s="496"/>
      <c r="C8" s="496"/>
      <c r="D8" s="496"/>
      <c r="E8" s="341"/>
      <c r="F8" s="381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112</v>
      </c>
      <c r="B9" s="324"/>
      <c r="C9" s="372">
        <v>0</v>
      </c>
      <c r="D9" s="372"/>
      <c r="E9" s="372">
        <v>200001</v>
      </c>
      <c r="F9" s="373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465</v>
      </c>
      <c r="B10" s="325"/>
      <c r="C10" s="374" t="s">
        <v>111</v>
      </c>
      <c r="D10" s="374"/>
      <c r="E10" s="374" t="s">
        <v>111</v>
      </c>
      <c r="F10" s="375" t="s">
        <v>486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116</v>
      </c>
      <c r="C11" s="376">
        <v>200000</v>
      </c>
      <c r="D11" s="376"/>
      <c r="E11" s="376">
        <v>700000</v>
      </c>
      <c r="F11" s="377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299</v>
      </c>
      <c r="B13" s="407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298</v>
      </c>
      <c r="B14" s="244"/>
      <c r="C14" s="326">
        <v>0.1312</v>
      </c>
      <c r="D14" s="326"/>
      <c r="E14" s="327">
        <v>0.2612</v>
      </c>
      <c r="F14" s="327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303</v>
      </c>
      <c r="B15" s="244"/>
      <c r="C15" s="328">
        <v>0.06</v>
      </c>
      <c r="D15" s="328"/>
      <c r="E15" s="329">
        <v>0.06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259</v>
      </c>
      <c r="B16" s="244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109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110</v>
      </c>
      <c r="B19" s="237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113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3" t="s">
        <v>331</v>
      </c>
      <c r="B21" s="404" t="s">
        <v>470</v>
      </c>
      <c r="C21" s="360"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3" t="s">
        <v>332</v>
      </c>
      <c r="B22" s="405" t="s">
        <v>471</v>
      </c>
      <c r="C22" s="361"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89" t="s">
        <v>490</v>
      </c>
      <c r="B23" s="490"/>
      <c r="C23" s="490"/>
      <c r="D23" s="490"/>
      <c r="E23" s="490"/>
      <c r="F23" s="490"/>
      <c r="G23" s="429"/>
      <c r="H23" s="418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9"/>
      <c r="B24" s="410"/>
      <c r="C24" s="410"/>
      <c r="D24" s="410"/>
      <c r="E24" s="410"/>
      <c r="F24" s="410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8"/>
      <c r="B25" s="379"/>
      <c r="C25" s="382"/>
      <c r="D25" s="341"/>
      <c r="E25" s="341"/>
      <c r="F25" s="408" t="s">
        <v>337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7" t="s">
        <v>482</v>
      </c>
      <c r="B26" s="498"/>
      <c r="C26" s="498"/>
      <c r="D26" s="498"/>
      <c r="E26" s="498"/>
      <c r="F26" s="498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112</v>
      </c>
      <c r="B27" s="324"/>
      <c r="C27" s="366">
        <v>0</v>
      </c>
      <c r="D27" s="366"/>
      <c r="E27" s="366">
        <v>200001</v>
      </c>
      <c r="F27" s="367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438</v>
      </c>
      <c r="B28" s="325"/>
      <c r="C28" s="368" t="s">
        <v>111</v>
      </c>
      <c r="D28" s="368"/>
      <c r="E28" s="368" t="s">
        <v>111</v>
      </c>
      <c r="F28" s="369" t="s">
        <v>486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116</v>
      </c>
      <c r="C29" s="370">
        <v>200000</v>
      </c>
      <c r="D29" s="370"/>
      <c r="E29" s="370">
        <v>700000</v>
      </c>
      <c r="F29" s="371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115</v>
      </c>
      <c r="B31" s="407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298</v>
      </c>
      <c r="B32" s="407">
        <v>2003</v>
      </c>
      <c r="C32" s="326">
        <v>0.1312</v>
      </c>
      <c r="D32" s="326"/>
      <c r="E32" s="327"/>
      <c r="F32" s="327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29</v>
      </c>
      <c r="B33" s="407">
        <v>2003</v>
      </c>
      <c r="C33" s="328">
        <v>0.06</v>
      </c>
      <c r="D33" s="328"/>
      <c r="E33" s="329"/>
      <c r="F33" s="329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259</v>
      </c>
      <c r="B34" s="407">
        <v>2003</v>
      </c>
      <c r="C34" s="330">
        <f>SUM(C32:C33)</f>
        <v>0.1912</v>
      </c>
      <c r="D34" s="330"/>
      <c r="E34" s="331">
        <v>0.3412</v>
      </c>
      <c r="F34" s="331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109</v>
      </c>
      <c r="B36" s="407">
        <v>2003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110</v>
      </c>
      <c r="B37" s="407">
        <v>2003</v>
      </c>
      <c r="C37" s="333">
        <v>0.00225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113</v>
      </c>
      <c r="B38" s="407">
        <v>2003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3" t="s">
        <v>483</v>
      </c>
      <c r="B39" s="404" t="s">
        <v>470</v>
      </c>
      <c r="C39" s="360"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3" t="s">
        <v>484</v>
      </c>
      <c r="B40" s="405" t="s">
        <v>471</v>
      </c>
      <c r="C40" s="361">
        <v>10000000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1" t="s">
        <v>334</v>
      </c>
      <c r="B41" s="490"/>
      <c r="C41" s="490"/>
      <c r="D41" s="490"/>
      <c r="E41" s="490"/>
      <c r="F41" s="490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2"/>
      <c r="B42" s="492"/>
      <c r="C42" s="492"/>
      <c r="D42" s="492"/>
      <c r="E42" s="492"/>
      <c r="F42" s="492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8"/>
      <c r="B43" s="379"/>
      <c r="C43" s="380"/>
      <c r="D43" s="379"/>
      <c r="E43" s="379"/>
      <c r="F43" s="408" t="s">
        <v>338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6" t="s">
        <v>485</v>
      </c>
      <c r="B44" s="364"/>
      <c r="C44" s="365"/>
      <c r="D44" s="364"/>
      <c r="E44" s="341"/>
      <c r="F44" s="381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112</v>
      </c>
      <c r="B45" s="324"/>
      <c r="C45" s="366">
        <v>0</v>
      </c>
      <c r="D45" s="366"/>
      <c r="E45" s="366">
        <v>200001</v>
      </c>
      <c r="F45" s="367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8" t="s">
        <v>111</v>
      </c>
      <c r="D46" s="368"/>
      <c r="E46" s="368" t="s">
        <v>111</v>
      </c>
      <c r="F46" s="369" t="s">
        <v>469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116</v>
      </c>
      <c r="C47" s="370">
        <v>200000</v>
      </c>
      <c r="D47" s="370"/>
      <c r="E47" s="370">
        <v>700000</v>
      </c>
      <c r="F47" s="371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115</v>
      </c>
      <c r="B49" s="407">
        <v>2003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298</v>
      </c>
      <c r="B50" s="244"/>
      <c r="C50" s="350">
        <v>0.1312</v>
      </c>
      <c r="D50" s="350"/>
      <c r="E50" s="351">
        <v>0</v>
      </c>
      <c r="F50" s="351">
        <v>0.2412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29</v>
      </c>
      <c r="B51" s="244"/>
      <c r="C51" s="352">
        <v>0.06</v>
      </c>
      <c r="D51" s="352"/>
      <c r="E51" s="353">
        <v>0</v>
      </c>
      <c r="F51" s="353">
        <v>0.1254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259</v>
      </c>
      <c r="B52" s="244"/>
      <c r="C52" s="330">
        <f>SUM(C50:C51)</f>
        <v>0.1912</v>
      </c>
      <c r="D52" s="330"/>
      <c r="E52" s="331">
        <f>SUM(E50:E51)</f>
        <v>0</v>
      </c>
      <c r="F52" s="331">
        <f>SUM(F50:F51)</f>
        <v>0.36660000000000004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109</v>
      </c>
      <c r="B54" s="243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110</v>
      </c>
      <c r="B55" s="237"/>
      <c r="C55" s="355">
        <v>0.00225</v>
      </c>
      <c r="D55" s="356"/>
      <c r="E55" s="357"/>
      <c r="F55" s="357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113</v>
      </c>
      <c r="B56" s="237"/>
      <c r="C56" s="356">
        <v>0.0112</v>
      </c>
      <c r="D56" s="358"/>
      <c r="E56" s="359"/>
      <c r="F56" s="359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3" t="s">
        <v>348</v>
      </c>
      <c r="B57" s="404" t="s">
        <v>470</v>
      </c>
      <c r="C57" s="360">
        <v>4915497</v>
      </c>
      <c r="D57" s="358"/>
      <c r="E57" s="359"/>
      <c r="F57" s="359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3" t="s">
        <v>349</v>
      </c>
      <c r="B58" s="405" t="s">
        <v>471</v>
      </c>
      <c r="C58" s="361">
        <v>9990669</v>
      </c>
      <c r="D58" s="362"/>
      <c r="E58" s="363"/>
      <c r="F58" s="363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89" t="s">
        <v>350</v>
      </c>
      <c r="B59" s="493"/>
      <c r="C59" s="493"/>
      <c r="D59" s="493"/>
      <c r="E59" s="493"/>
      <c r="F59" s="493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494"/>
      <c r="B60" s="494"/>
      <c r="C60" s="494"/>
      <c r="D60" s="494"/>
      <c r="E60" s="494"/>
      <c r="F60" s="494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  <headerFooter alignWithMargins="0">
    <oddHeader>&amp;L&amp;Z&amp;F&amp;A</oddHeader>
    <oddFooter>&amp;L&amp;8&amp;D&amp;T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75" zoomScaleNormal="75" zoomScalePageLayoutView="0" workbookViewId="0" topLeftCell="A1">
      <selection activeCell="S61" sqref="S6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Niagara-on-the-Lake Hydro Inc.</v>
      </c>
      <c r="O3" s="414" t="str">
        <f>REGINFO!E1</f>
        <v>Version 2009.1</v>
      </c>
    </row>
    <row r="4" spans="1:15" ht="12.75">
      <c r="A4" s="2" t="str">
        <f>REGINFO!A4</f>
        <v>Reporting period:  2003</v>
      </c>
      <c r="E4" s="415" t="s">
        <v>320</v>
      </c>
      <c r="F4" s="397"/>
      <c r="G4" s="397"/>
      <c r="H4" s="397"/>
      <c r="I4" s="397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1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393">
        <v>0</v>
      </c>
      <c r="D11" s="389"/>
      <c r="E11" s="395">
        <f>C22</f>
        <v>0</v>
      </c>
      <c r="F11" s="417"/>
      <c r="G11" s="395">
        <f>E22</f>
        <v>0</v>
      </c>
      <c r="H11" s="417"/>
      <c r="I11" s="395">
        <f>G22</f>
        <v>0</v>
      </c>
      <c r="J11" s="389"/>
      <c r="K11" s="395">
        <f>I22</f>
        <v>0</v>
      </c>
      <c r="L11" s="389"/>
      <c r="M11" s="395">
        <f>K22</f>
        <v>0</v>
      </c>
      <c r="N11" s="389"/>
      <c r="O11" s="395">
        <f>C11</f>
        <v>0</v>
      </c>
    </row>
    <row r="12" spans="1:15" ht="27" customHeight="1">
      <c r="A12" s="80" t="s">
        <v>395</v>
      </c>
      <c r="B12" s="65" t="s">
        <v>189</v>
      </c>
      <c r="C12" s="394"/>
      <c r="D12" s="390"/>
      <c r="E12" s="394"/>
      <c r="F12" s="94"/>
      <c r="G12" s="416">
        <f>C12+E12</f>
        <v>0</v>
      </c>
      <c r="H12" s="94"/>
      <c r="I12" s="416">
        <f>(E12/12*9)+(G12/12*3)</f>
        <v>0</v>
      </c>
      <c r="J12" s="390"/>
      <c r="K12" s="416">
        <f>E12/12*3</f>
        <v>0</v>
      </c>
      <c r="L12" s="390"/>
      <c r="M12" s="416">
        <f>K13/9*12/4</f>
        <v>0</v>
      </c>
      <c r="N12" s="390"/>
      <c r="O12" s="395">
        <f aca="true" t="shared" si="0" ref="O12:O20">SUM(C12:N12)</f>
        <v>0</v>
      </c>
    </row>
    <row r="13" spans="1:15" ht="27" customHeight="1">
      <c r="A13" s="80" t="s">
        <v>437</v>
      </c>
      <c r="B13" s="65"/>
      <c r="C13" s="416"/>
      <c r="D13" s="390"/>
      <c r="E13" s="416"/>
      <c r="F13" s="94"/>
      <c r="G13" s="416"/>
      <c r="H13" s="94"/>
      <c r="I13" s="416"/>
      <c r="J13" s="390"/>
      <c r="K13" s="394"/>
      <c r="L13" s="390"/>
      <c r="M13" s="416"/>
      <c r="N13" s="390"/>
      <c r="O13" s="395">
        <f t="shared" si="0"/>
        <v>0</v>
      </c>
    </row>
    <row r="14" spans="1:15" ht="25.5">
      <c r="A14" s="80" t="s">
        <v>396</v>
      </c>
      <c r="B14" s="65" t="s">
        <v>189</v>
      </c>
      <c r="C14" s="394"/>
      <c r="D14" s="390"/>
      <c r="E14" s="394"/>
      <c r="F14" s="94"/>
      <c r="G14" s="394"/>
      <c r="H14" s="94"/>
      <c r="I14" s="394"/>
      <c r="J14" s="390"/>
      <c r="K14" s="394"/>
      <c r="L14" s="390"/>
      <c r="M14" s="394"/>
      <c r="N14" s="390"/>
      <c r="O14" s="395">
        <f t="shared" si="0"/>
        <v>0</v>
      </c>
    </row>
    <row r="15" spans="1:15" ht="27" customHeight="1">
      <c r="A15" s="80" t="s">
        <v>397</v>
      </c>
      <c r="B15" s="65" t="s">
        <v>189</v>
      </c>
      <c r="C15" s="394"/>
      <c r="D15" s="390"/>
      <c r="E15" s="394"/>
      <c r="F15" s="94"/>
      <c r="G15" s="394"/>
      <c r="H15" s="94"/>
      <c r="I15" s="394"/>
      <c r="J15" s="390"/>
      <c r="K15" s="394"/>
      <c r="L15" s="390"/>
      <c r="M15" s="416">
        <f>TAXCALC!E132</f>
        <v>-31767.36670116282</v>
      </c>
      <c r="N15" s="390"/>
      <c r="O15" s="395">
        <f t="shared" si="0"/>
        <v>-31767.36670116282</v>
      </c>
    </row>
    <row r="16" spans="1:15" ht="27" customHeight="1">
      <c r="A16" s="80" t="s">
        <v>398</v>
      </c>
      <c r="B16" s="65"/>
      <c r="C16" s="394"/>
      <c r="D16" s="390"/>
      <c r="E16" s="394"/>
      <c r="F16" s="94"/>
      <c r="G16" s="394"/>
      <c r="H16" s="94"/>
      <c r="I16" s="394"/>
      <c r="J16" s="390"/>
      <c r="K16" s="394"/>
      <c r="L16" s="390"/>
      <c r="M16" s="394"/>
      <c r="N16" s="390"/>
      <c r="O16" s="395">
        <f t="shared" si="0"/>
        <v>0</v>
      </c>
    </row>
    <row r="17" spans="1:15" ht="27.75" customHeight="1">
      <c r="A17" s="80" t="s">
        <v>399</v>
      </c>
      <c r="B17" s="65" t="s">
        <v>189</v>
      </c>
      <c r="C17" s="394"/>
      <c r="D17" s="390"/>
      <c r="E17" s="394"/>
      <c r="F17" s="94"/>
      <c r="G17" s="394"/>
      <c r="H17" s="94"/>
      <c r="I17" s="394"/>
      <c r="J17" s="390"/>
      <c r="K17" s="394"/>
      <c r="L17" s="390"/>
      <c r="M17" s="416">
        <f>TAXCALC!E181</f>
        <v>22005.851287690584</v>
      </c>
      <c r="N17" s="390"/>
      <c r="O17" s="395">
        <f t="shared" si="0"/>
        <v>22005.851287690584</v>
      </c>
    </row>
    <row r="18" spans="1:15" ht="25.5">
      <c r="A18" s="80" t="s">
        <v>400</v>
      </c>
      <c r="B18" s="65" t="s">
        <v>189</v>
      </c>
      <c r="C18" s="394"/>
      <c r="D18" s="390"/>
      <c r="E18" s="394"/>
      <c r="F18" s="94"/>
      <c r="G18" s="394"/>
      <c r="H18" s="94"/>
      <c r="I18" s="394"/>
      <c r="J18" s="390"/>
      <c r="K18" s="394"/>
      <c r="L18" s="390"/>
      <c r="M18" s="394"/>
      <c r="N18" s="390"/>
      <c r="O18" s="395">
        <f t="shared" si="0"/>
        <v>0</v>
      </c>
    </row>
    <row r="19" spans="1:15" ht="24" customHeight="1">
      <c r="A19" s="423" t="s">
        <v>401</v>
      </c>
      <c r="B19" s="65" t="s">
        <v>189</v>
      </c>
      <c r="C19" s="394"/>
      <c r="D19" s="390"/>
      <c r="E19" s="394"/>
      <c r="F19" s="94"/>
      <c r="G19" s="394"/>
      <c r="H19" s="94"/>
      <c r="I19" s="394"/>
      <c r="J19" s="390"/>
      <c r="K19" s="394"/>
      <c r="L19" s="390"/>
      <c r="M19" s="394"/>
      <c r="N19" s="390"/>
      <c r="O19" s="395">
        <f t="shared" si="0"/>
        <v>0</v>
      </c>
    </row>
    <row r="20" spans="1:15" ht="24.75" customHeight="1">
      <c r="A20" s="80" t="s">
        <v>468</v>
      </c>
      <c r="B20" s="65" t="s">
        <v>187</v>
      </c>
      <c r="C20" s="416">
        <v>0</v>
      </c>
      <c r="D20" s="390"/>
      <c r="E20" s="394"/>
      <c r="F20" s="94"/>
      <c r="G20" s="394"/>
      <c r="H20" s="94"/>
      <c r="I20" s="394"/>
      <c r="J20" s="390"/>
      <c r="K20" s="394"/>
      <c r="L20" s="390"/>
      <c r="M20" s="394"/>
      <c r="N20" s="390"/>
      <c r="O20" s="395">
        <f t="shared" si="0"/>
        <v>0</v>
      </c>
    </row>
    <row r="21" spans="1:15" ht="12.75">
      <c r="A21" s="64"/>
      <c r="C21" s="390"/>
      <c r="D21" s="94"/>
      <c r="E21" s="390"/>
      <c r="F21" s="94"/>
      <c r="G21" s="390"/>
      <c r="H21" s="94"/>
      <c r="I21" s="390"/>
      <c r="J21" s="390"/>
      <c r="K21" s="390"/>
      <c r="L21" s="390"/>
      <c r="M21" s="390"/>
      <c r="N21" s="390"/>
      <c r="O21" s="417"/>
    </row>
    <row r="22" spans="1:15" ht="13.5" thickBot="1">
      <c r="A22" s="80" t="s">
        <v>371</v>
      </c>
      <c r="B22" s="34"/>
      <c r="C22" s="396">
        <f>SUM(C11:C20)</f>
        <v>0</v>
      </c>
      <c r="D22" s="417"/>
      <c r="E22" s="396">
        <f>SUM(E11:E20)</f>
        <v>0</v>
      </c>
      <c r="F22" s="417"/>
      <c r="G22" s="396">
        <f>SUM(G11:G20)</f>
        <v>0</v>
      </c>
      <c r="H22" s="417"/>
      <c r="I22" s="396">
        <f>SUM(I11:I20)</f>
        <v>0</v>
      </c>
      <c r="J22" s="389"/>
      <c r="K22" s="396">
        <f>SUM(K11:K20)</f>
        <v>0</v>
      </c>
      <c r="L22" s="389"/>
      <c r="M22" s="396">
        <f>SUM(M11:M21)</f>
        <v>-9761.515413472236</v>
      </c>
      <c r="N22" s="389"/>
      <c r="O22" s="441">
        <f>SUM(O11:O20)</f>
        <v>-9761.515413472236</v>
      </c>
    </row>
    <row r="23" spans="1:15" ht="13.5" thickTop="1">
      <c r="A23" s="424"/>
      <c r="B23" s="425"/>
      <c r="C23" s="431"/>
      <c r="D23" s="432"/>
      <c r="E23" s="431"/>
      <c r="F23" s="432"/>
      <c r="G23" s="431"/>
      <c r="H23" s="432"/>
      <c r="I23" s="431"/>
      <c r="J23" s="425"/>
      <c r="K23" s="431"/>
      <c r="L23" s="187"/>
      <c r="M23" s="433"/>
      <c r="N23" s="187"/>
      <c r="O23" s="433"/>
    </row>
    <row r="24" spans="1:15" ht="12.75">
      <c r="A24" s="447"/>
      <c r="B24" s="448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50"/>
    </row>
    <row r="25" spans="1:15" ht="12.75">
      <c r="A25" s="424"/>
      <c r="B25" s="425"/>
      <c r="C25" s="451"/>
      <c r="D25" s="451"/>
      <c r="E25" s="451"/>
      <c r="F25" s="451"/>
      <c r="G25" s="451"/>
      <c r="H25" s="451"/>
      <c r="I25" s="451"/>
      <c r="J25" s="452"/>
      <c r="K25" s="451"/>
      <c r="L25" s="453"/>
      <c r="M25" s="454"/>
      <c r="N25" s="453"/>
      <c r="O25" s="454"/>
    </row>
    <row r="26" spans="1:15" ht="12.75">
      <c r="A26" s="424" t="s">
        <v>402</v>
      </c>
      <c r="B26" s="425"/>
      <c r="C26" s="451"/>
      <c r="D26" s="451"/>
      <c r="E26" s="451"/>
      <c r="F26" s="451"/>
      <c r="G26" s="451"/>
      <c r="H26" s="451"/>
      <c r="I26" s="451"/>
      <c r="J26" s="452"/>
      <c r="K26" s="451"/>
      <c r="L26" s="453"/>
      <c r="M26" s="454"/>
      <c r="N26" s="453"/>
      <c r="O26" s="454"/>
    </row>
    <row r="27" spans="1:15" ht="9" customHeight="1">
      <c r="A27" s="424"/>
      <c r="B27" s="425"/>
      <c r="C27" s="425"/>
      <c r="D27" s="425"/>
      <c r="E27" s="425"/>
      <c r="F27" s="425"/>
      <c r="G27" s="425"/>
      <c r="H27" s="425"/>
      <c r="I27" s="425"/>
      <c r="J27" s="425"/>
      <c r="K27" s="426"/>
      <c r="L27" s="187"/>
      <c r="M27" s="187"/>
      <c r="N27" s="187"/>
      <c r="O27" s="187"/>
    </row>
    <row r="28" spans="1:15" ht="12.75">
      <c r="A28" s="424" t="s">
        <v>403</v>
      </c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187"/>
      <c r="M28" s="187"/>
      <c r="N28" s="187"/>
      <c r="O28" s="187"/>
    </row>
    <row r="29" spans="1:15" ht="12.75">
      <c r="A29" s="427" t="s">
        <v>404</v>
      </c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187"/>
      <c r="M29" s="187"/>
      <c r="N29" s="187"/>
      <c r="O29" s="187"/>
    </row>
    <row r="30" spans="1:15" ht="9" customHeight="1">
      <c r="A30" s="187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187"/>
      <c r="M30" s="187"/>
      <c r="N30" s="187"/>
      <c r="O30" s="187"/>
    </row>
    <row r="31" spans="1:15" ht="12.75">
      <c r="A31" s="442" t="s">
        <v>405</v>
      </c>
      <c r="B31" s="79"/>
      <c r="C31" s="79"/>
      <c r="D31" s="79"/>
      <c r="E31" s="79"/>
      <c r="F31" s="79"/>
      <c r="G31" s="79"/>
      <c r="H31" s="79"/>
      <c r="I31" s="438"/>
      <c r="J31" s="438"/>
      <c r="K31" s="438"/>
      <c r="L31" s="438"/>
      <c r="M31" s="438"/>
      <c r="N31" s="438"/>
      <c r="O31" s="438"/>
    </row>
    <row r="32" spans="1:15" ht="9" customHeight="1">
      <c r="A32" s="443"/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</row>
    <row r="33" spans="1:19" ht="12.75">
      <c r="A33" s="500" t="s">
        <v>406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418"/>
      <c r="Q33" s="418"/>
      <c r="R33" s="418"/>
      <c r="S33" s="418"/>
    </row>
    <row r="34" spans="1:19" ht="12.75">
      <c r="A34" s="499" t="s">
        <v>407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418"/>
      <c r="Q34" s="418"/>
      <c r="R34" s="418"/>
      <c r="S34" s="418"/>
    </row>
    <row r="35" spans="1:19" ht="12.75">
      <c r="A35" s="499" t="s">
        <v>428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418"/>
      <c r="Q35" s="418"/>
      <c r="R35" s="418"/>
      <c r="S35" s="418"/>
    </row>
    <row r="36" spans="1:19" ht="12.75">
      <c r="A36" s="499" t="s">
        <v>408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418"/>
      <c r="Q36" s="418"/>
      <c r="R36" s="418"/>
      <c r="S36" s="418"/>
    </row>
    <row r="37" spans="1:19" ht="12.75">
      <c r="A37" s="428" t="s">
        <v>368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18"/>
      <c r="Q37" s="418"/>
      <c r="R37" s="418"/>
      <c r="S37" s="418"/>
    </row>
    <row r="38" spans="1:19" ht="12.75">
      <c r="A38" s="428" t="s">
        <v>369</v>
      </c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18"/>
      <c r="Q38" s="418"/>
      <c r="R38" s="418"/>
      <c r="S38" s="418"/>
    </row>
    <row r="39" spans="1:19" ht="12.75">
      <c r="A39" s="428" t="s">
        <v>409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18"/>
      <c r="Q39" s="418"/>
      <c r="R39" s="418"/>
      <c r="S39" s="418"/>
    </row>
    <row r="40" spans="1:19" ht="12.75">
      <c r="A40" s="428" t="s">
        <v>410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18"/>
      <c r="Q40" s="418"/>
      <c r="R40" s="418"/>
      <c r="S40" s="418"/>
    </row>
    <row r="41" spans="2:19" ht="9" customHeight="1"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18"/>
      <c r="Q41" s="418"/>
      <c r="R41" s="418"/>
      <c r="S41" s="418"/>
    </row>
    <row r="42" spans="1:15" ht="12.75">
      <c r="A42" s="430" t="s">
        <v>411</v>
      </c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187"/>
      <c r="M42" s="187"/>
      <c r="N42" s="187"/>
      <c r="O42" s="187"/>
    </row>
    <row r="43" spans="1:15" ht="12.75">
      <c r="A43" s="425" t="s">
        <v>412</v>
      </c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187"/>
      <c r="M43" s="187"/>
      <c r="N43" s="187"/>
      <c r="O43" s="187"/>
    </row>
    <row r="44" spans="1:15" ht="9" customHeight="1">
      <c r="A44" s="425"/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187"/>
      <c r="M44" s="187"/>
      <c r="N44" s="187"/>
      <c r="O44" s="187"/>
    </row>
    <row r="45" spans="1:15" ht="12.75">
      <c r="A45" s="430" t="s">
        <v>413</v>
      </c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187"/>
      <c r="M45" s="187"/>
      <c r="N45" s="187"/>
      <c r="O45" s="187"/>
    </row>
    <row r="46" spans="1:15" ht="12.75">
      <c r="A46" s="425" t="s">
        <v>414</v>
      </c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187"/>
      <c r="M46" s="187"/>
      <c r="N46" s="187"/>
      <c r="O46" s="187"/>
    </row>
    <row r="47" spans="1:15" ht="9" customHeight="1">
      <c r="A47" s="425"/>
      <c r="B47" s="425"/>
      <c r="C47" s="425"/>
      <c r="D47" s="425"/>
      <c r="E47" s="425"/>
      <c r="F47" s="425"/>
      <c r="G47" s="425"/>
      <c r="H47" s="425"/>
      <c r="I47" s="425"/>
      <c r="J47" s="425"/>
      <c r="K47" s="425"/>
      <c r="L47" s="187"/>
      <c r="M47" s="187"/>
      <c r="N47" s="187"/>
      <c r="O47" s="187"/>
    </row>
    <row r="48" spans="1:15" ht="12.75">
      <c r="A48" s="430" t="s">
        <v>415</v>
      </c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187"/>
      <c r="M48" s="187"/>
      <c r="N48" s="187"/>
      <c r="O48" s="187"/>
    </row>
    <row r="49" spans="1:15" ht="12.75">
      <c r="A49" s="425" t="s">
        <v>416</v>
      </c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187"/>
      <c r="M49" s="187"/>
      <c r="N49" s="187"/>
      <c r="O49" s="187"/>
    </row>
    <row r="50" spans="1:15" ht="9" customHeight="1">
      <c r="A50" s="425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187"/>
      <c r="M50" s="187"/>
      <c r="N50" s="187"/>
      <c r="O50" s="187"/>
    </row>
    <row r="51" spans="1:15" ht="12.75">
      <c r="A51" s="430" t="s">
        <v>417</v>
      </c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187"/>
      <c r="M51" s="187"/>
      <c r="N51" s="187"/>
      <c r="O51" s="187"/>
    </row>
    <row r="52" spans="1:15" ht="12.75">
      <c r="A52" s="425" t="s">
        <v>414</v>
      </c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187"/>
      <c r="M52" s="187"/>
      <c r="N52" s="187"/>
      <c r="O52" s="187"/>
    </row>
    <row r="53" spans="1:15" ht="9" customHeight="1">
      <c r="A53" s="430"/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187"/>
      <c r="M53" s="187"/>
      <c r="N53" s="187"/>
      <c r="O53" s="187"/>
    </row>
    <row r="54" spans="1:15" ht="12.75">
      <c r="A54" s="425" t="s">
        <v>418</v>
      </c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187"/>
      <c r="M54" s="187"/>
      <c r="N54" s="187"/>
      <c r="O54" s="187"/>
    </row>
    <row r="55" spans="1:15" ht="9" customHeight="1">
      <c r="A55" s="425"/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187"/>
      <c r="M55" s="187"/>
      <c r="N55" s="187"/>
      <c r="O55" s="187"/>
    </row>
    <row r="56" spans="1:15" ht="12.75" customHeight="1">
      <c r="A56" s="430" t="s">
        <v>419</v>
      </c>
      <c r="B56" s="425"/>
      <c r="C56" s="425"/>
      <c r="D56" s="425"/>
      <c r="E56" s="425"/>
      <c r="F56" s="425"/>
      <c r="G56" s="425"/>
      <c r="H56" s="425"/>
      <c r="I56" s="425"/>
      <c r="J56" s="425"/>
      <c r="K56" s="425"/>
      <c r="L56" s="187"/>
      <c r="M56" s="187"/>
      <c r="N56" s="187"/>
      <c r="O56" s="187"/>
    </row>
    <row r="57" spans="1:15" ht="9" customHeight="1">
      <c r="A57" s="425"/>
      <c r="B57" s="425"/>
      <c r="C57" s="425"/>
      <c r="D57" s="425"/>
      <c r="E57" s="425"/>
      <c r="F57" s="425"/>
      <c r="G57" s="425"/>
      <c r="H57" s="425"/>
      <c r="I57" s="425"/>
      <c r="J57" s="425"/>
      <c r="K57" s="425"/>
      <c r="L57" s="187"/>
      <c r="M57" s="187"/>
      <c r="N57" s="187"/>
      <c r="O57" s="187"/>
    </row>
    <row r="58" spans="1:15" ht="12.75">
      <c r="A58" s="425" t="s">
        <v>420</v>
      </c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187"/>
      <c r="M58" s="187"/>
      <c r="N58" s="187"/>
      <c r="O58" s="187"/>
    </row>
    <row r="59" spans="1:15" ht="12.75">
      <c r="A59" s="425" t="s">
        <v>421</v>
      </c>
      <c r="B59" s="425"/>
      <c r="C59" s="425"/>
      <c r="D59" s="425"/>
      <c r="E59" s="425"/>
      <c r="F59" s="425"/>
      <c r="G59" s="425"/>
      <c r="H59" s="425"/>
      <c r="I59" s="425"/>
      <c r="J59" s="425"/>
      <c r="K59" s="425"/>
      <c r="L59" s="187"/>
      <c r="M59" s="187"/>
      <c r="N59" s="187"/>
      <c r="O59" s="187"/>
    </row>
    <row r="60" spans="1:15" ht="12.75">
      <c r="A60" s="425" t="s">
        <v>422</v>
      </c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187"/>
      <c r="M60" s="187"/>
      <c r="N60" s="187"/>
      <c r="O60" s="187"/>
    </row>
    <row r="61" spans="1:15" ht="12.75">
      <c r="A61" s="425" t="s">
        <v>378</v>
      </c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187"/>
      <c r="M61" s="187"/>
      <c r="N61" s="187"/>
      <c r="O61" s="187"/>
    </row>
    <row r="62" spans="1:15" ht="9" customHeight="1">
      <c r="A62" s="425"/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187"/>
      <c r="M62" s="187"/>
      <c r="N62" s="187"/>
      <c r="O62" s="187"/>
    </row>
    <row r="63" spans="1:15" ht="12.75">
      <c r="A63" s="425" t="s">
        <v>423</v>
      </c>
      <c r="B63" s="425"/>
      <c r="C63" s="425"/>
      <c r="D63" s="425"/>
      <c r="E63" s="425"/>
      <c r="F63" s="425"/>
      <c r="G63" s="425"/>
      <c r="H63" s="425"/>
      <c r="I63" s="425"/>
      <c r="J63" s="425"/>
      <c r="K63" s="425"/>
      <c r="L63" s="187"/>
      <c r="M63" s="187"/>
      <c r="N63" s="187"/>
      <c r="O63" s="187"/>
    </row>
    <row r="64" spans="1:15" ht="12.75">
      <c r="A64" s="425" t="s">
        <v>424</v>
      </c>
      <c r="B64" s="425"/>
      <c r="C64" s="425"/>
      <c r="D64" s="425"/>
      <c r="E64" s="425"/>
      <c r="F64" s="425"/>
      <c r="G64" s="425"/>
      <c r="H64" s="425"/>
      <c r="I64" s="425"/>
      <c r="J64" s="425"/>
      <c r="K64" s="425"/>
      <c r="L64" s="187"/>
      <c r="M64" s="187"/>
      <c r="N64" s="187"/>
      <c r="O64" s="187"/>
    </row>
    <row r="65" spans="1:15" ht="12.75">
      <c r="A65" s="425" t="s">
        <v>380</v>
      </c>
      <c r="B65" s="425"/>
      <c r="C65" s="425"/>
      <c r="D65" s="425"/>
      <c r="E65" s="425"/>
      <c r="F65" s="425"/>
      <c r="G65" s="425"/>
      <c r="H65" s="425"/>
      <c r="I65" s="425"/>
      <c r="J65" s="425"/>
      <c r="K65" s="425"/>
      <c r="L65" s="187"/>
      <c r="M65" s="187"/>
      <c r="N65" s="187"/>
      <c r="O65" s="187"/>
    </row>
    <row r="66" spans="1:15" ht="3.75" customHeight="1">
      <c r="A66" s="425"/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187"/>
      <c r="M66" s="187"/>
      <c r="N66" s="187"/>
      <c r="O66" s="187"/>
    </row>
    <row r="67" spans="1:15" ht="12.75">
      <c r="A67" s="425" t="s">
        <v>379</v>
      </c>
      <c r="B67" s="425"/>
      <c r="C67" s="425"/>
      <c r="D67" s="425"/>
      <c r="E67" s="425"/>
      <c r="F67" s="425"/>
      <c r="G67" s="425"/>
      <c r="H67" s="425"/>
      <c r="I67" s="425"/>
      <c r="J67" s="425"/>
      <c r="K67" s="425"/>
      <c r="L67" s="187"/>
      <c r="M67" s="187"/>
      <c r="N67" s="187"/>
      <c r="O67" s="187"/>
    </row>
    <row r="68" spans="1:15" ht="12.75">
      <c r="A68" s="425" t="s">
        <v>381</v>
      </c>
      <c r="B68" s="425"/>
      <c r="C68" s="425"/>
      <c r="D68" s="425"/>
      <c r="E68" s="425"/>
      <c r="F68" s="425"/>
      <c r="G68" s="425"/>
      <c r="H68" s="425"/>
      <c r="I68" s="425"/>
      <c r="J68" s="425"/>
      <c r="K68" s="425"/>
      <c r="L68" s="187"/>
      <c r="M68" s="187"/>
      <c r="N68" s="187"/>
      <c r="O68" s="187"/>
    </row>
    <row r="69" spans="1:15" ht="3.75" customHeight="1">
      <c r="A69" s="425"/>
      <c r="B69" s="425"/>
      <c r="C69" s="425"/>
      <c r="D69" s="425"/>
      <c r="E69" s="425"/>
      <c r="F69" s="425"/>
      <c r="G69" s="425"/>
      <c r="H69" s="425"/>
      <c r="I69" s="425"/>
      <c r="J69" s="425"/>
      <c r="K69" s="425"/>
      <c r="L69" s="187"/>
      <c r="M69" s="187"/>
      <c r="N69" s="187"/>
      <c r="O69" s="187"/>
    </row>
    <row r="70" spans="1:15" ht="12.75">
      <c r="A70" s="425" t="s">
        <v>425</v>
      </c>
      <c r="B70" s="425"/>
      <c r="C70" s="425"/>
      <c r="D70" s="425"/>
      <c r="E70" s="425"/>
      <c r="F70" s="425"/>
      <c r="G70" s="425"/>
      <c r="H70" s="425"/>
      <c r="I70" s="425"/>
      <c r="J70" s="425"/>
      <c r="K70" s="425"/>
      <c r="L70" s="187"/>
      <c r="M70" s="187"/>
      <c r="N70" s="187"/>
      <c r="O70" s="187"/>
    </row>
    <row r="71" spans="1:15" ht="12.75">
      <c r="A71" s="425" t="s">
        <v>426</v>
      </c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187"/>
      <c r="M71" s="187"/>
      <c r="N71" s="187"/>
      <c r="O71" s="187"/>
    </row>
    <row r="72" spans="1:15" ht="12.75">
      <c r="A72" s="425" t="s">
        <v>427</v>
      </c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187"/>
      <c r="M72" s="187"/>
      <c r="N72" s="187"/>
      <c r="O72" s="187"/>
    </row>
    <row r="73" spans="1:15" ht="9" customHeight="1">
      <c r="A73" s="425"/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187"/>
      <c r="M73" s="187"/>
      <c r="N73" s="187"/>
      <c r="O73" s="187"/>
    </row>
    <row r="74" spans="1:15" ht="12.75" customHeight="1">
      <c r="A74" s="499" t="s">
        <v>457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</row>
    <row r="75" spans="1:15" ht="12.75">
      <c r="A75" s="425" t="s">
        <v>370</v>
      </c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187"/>
      <c r="M75" s="187"/>
      <c r="N75" s="187"/>
      <c r="O75" s="187"/>
    </row>
    <row r="76" spans="1:15" ht="12.75">
      <c r="A76" s="187"/>
      <c r="B76" s="425"/>
      <c r="C76" s="425"/>
      <c r="D76" s="425"/>
      <c r="E76" s="425"/>
      <c r="F76" s="425"/>
      <c r="G76" s="425"/>
      <c r="H76" s="425"/>
      <c r="I76" s="425"/>
      <c r="J76" s="425"/>
      <c r="K76" s="425"/>
      <c r="L76" s="187"/>
      <c r="M76" s="187"/>
      <c r="N76" s="187"/>
      <c r="O76" s="187"/>
    </row>
    <row r="77" spans="1:15" ht="12.75">
      <c r="A77" s="187"/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187"/>
      <c r="M77" s="187"/>
      <c r="N77" s="187"/>
      <c r="O77" s="187"/>
    </row>
    <row r="78" spans="1:17" ht="12.75">
      <c r="A78" s="187"/>
      <c r="B78" s="425"/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187"/>
      <c r="O78" s="187"/>
      <c r="P78" s="187"/>
      <c r="Q78" s="187"/>
    </row>
    <row r="79" spans="1:17" ht="12.75">
      <c r="A79" s="187"/>
      <c r="B79" s="425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187"/>
      <c r="O79" s="187"/>
      <c r="P79" s="187"/>
      <c r="Q79" s="187"/>
    </row>
    <row r="80" spans="1:17" ht="12.75">
      <c r="A80" s="187"/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187"/>
      <c r="O80" s="187"/>
      <c r="P80" s="187"/>
      <c r="Q80" s="187"/>
    </row>
    <row r="81" spans="1:17" ht="12.75">
      <c r="A81" s="425"/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187"/>
      <c r="O81" s="187"/>
      <c r="P81" s="187"/>
      <c r="Q81" s="187"/>
    </row>
    <row r="82" spans="1:17" ht="12.75">
      <c r="A82" s="187"/>
      <c r="B82" s="187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187"/>
      <c r="O82" s="187"/>
      <c r="P82" s="187"/>
      <c r="Q82" s="187"/>
    </row>
    <row r="83" spans="1:17" ht="12.75">
      <c r="A83" s="187"/>
      <c r="B83" s="187"/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187"/>
      <c r="O83" s="187"/>
      <c r="P83" s="187"/>
      <c r="Q83" s="187"/>
    </row>
    <row r="84" spans="1:17" ht="12.75">
      <c r="A84" s="425"/>
      <c r="B84" s="425"/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187"/>
      <c r="O84" s="187"/>
      <c r="P84" s="187"/>
      <c r="Q84" s="187"/>
    </row>
    <row r="85" spans="1:17" ht="12.75">
      <c r="A85" s="187"/>
      <c r="B85" s="425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187"/>
      <c r="O85" s="187"/>
      <c r="P85" s="187"/>
      <c r="Q85" s="187"/>
    </row>
    <row r="86" spans="1:17" ht="12.75">
      <c r="A86" s="187"/>
      <c r="B86" s="425"/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187"/>
      <c r="O86" s="187"/>
      <c r="P86" s="187"/>
      <c r="Q86" s="187"/>
    </row>
    <row r="87" spans="1:17" ht="12.75">
      <c r="A87" s="187"/>
      <c r="B87" s="187"/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187"/>
      <c r="O87" s="187"/>
      <c r="P87" s="187"/>
      <c r="Q87" s="187"/>
    </row>
    <row r="88" spans="1:17" ht="12.75">
      <c r="A88" s="187"/>
      <c r="B88" s="187"/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187"/>
      <c r="O88" s="187"/>
      <c r="P88" s="187"/>
      <c r="Q88" s="187"/>
    </row>
    <row r="89" spans="1:17" ht="12.75">
      <c r="A89" s="187"/>
      <c r="B89" s="187"/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187"/>
      <c r="O89" s="187"/>
      <c r="P89" s="187"/>
      <c r="Q89" s="187"/>
    </row>
    <row r="90" spans="1:17" ht="12.75">
      <c r="A90" s="187"/>
      <c r="B90" s="187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187"/>
      <c r="O90" s="187"/>
      <c r="P90" s="187"/>
      <c r="Q90" s="187"/>
    </row>
    <row r="91" spans="1:17" ht="12.75">
      <c r="A91" s="187"/>
      <c r="B91" s="187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187"/>
      <c r="O91" s="187"/>
      <c r="P91" s="187"/>
      <c r="Q91" s="187"/>
    </row>
    <row r="92" spans="1:17" ht="12.75">
      <c r="A92" s="187"/>
      <c r="B92" s="187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</row>
    <row r="93" spans="1:17" ht="12.75">
      <c r="A93" s="187"/>
      <c r="B93" s="187"/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66" r:id="rId1"/>
  <headerFooter alignWithMargins="0">
    <oddHeader>&amp;L&amp;Z&amp;F&amp;A</oddHeader>
    <oddFooter>&amp;L&amp;8&amp;D&amp;T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Lois Ouellette</cp:lastModifiedBy>
  <cp:lastPrinted>2011-08-08T20:50:08Z</cp:lastPrinted>
  <dcterms:created xsi:type="dcterms:W3CDTF">2001-11-07T16:15:53Z</dcterms:created>
  <dcterms:modified xsi:type="dcterms:W3CDTF">2012-07-06T01:55:51Z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