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9810" activeTab="0"/>
  </bookViews>
  <sheets>
    <sheet name="SMDR" sheetId="1" r:id="rId1"/>
    <sheet name="SMFA by class" sheetId="2" r:id="rId2"/>
  </sheets>
  <externalReferences>
    <externalReference r:id="rId5"/>
    <externalReference r:id="rId6"/>
  </externalReferences>
  <definedNames>
    <definedName name="_xlnm.Print_Area" localSheetId="0">'SMDR'!$D$1:$H$33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<sst xmlns="http://schemas.openxmlformats.org/spreadsheetml/2006/main" count="72" uniqueCount="55">
  <si>
    <t>Total</t>
  </si>
  <si>
    <t>Residential</t>
  </si>
  <si>
    <t>GS &lt; 50</t>
  </si>
  <si>
    <t>Smart Meter True-up</t>
  </si>
  <si>
    <t>Metered Customers</t>
  </si>
  <si>
    <t>Calculated by Rate Class</t>
  </si>
  <si>
    <t xml:space="preserve">    Amortization</t>
  </si>
  <si>
    <t xml:space="preserve">    OM&amp;A</t>
  </si>
  <si>
    <t xml:space="preserve">    PILs</t>
  </si>
  <si>
    <t>Smart Meter Rate Adder Revenues</t>
  </si>
  <si>
    <t>Smart Meter Actual Cost Recovery Rate Rider - SMDR</t>
  </si>
  <si>
    <t xml:space="preserve">    Total Before PILs</t>
  </si>
  <si>
    <t xml:space="preserve">    Allocaiton of Smart Meter Costs</t>
  </si>
  <si>
    <t xml:space="preserve">    Allocation of Number of meters installed</t>
  </si>
  <si>
    <t xml:space="preserve">    Smart Meter Cost</t>
  </si>
  <si>
    <t xml:space="preserve">    Total Return (deemed interest plus 
     return on equity)</t>
  </si>
  <si>
    <t>GS &gt; 50</t>
  </si>
  <si>
    <t xml:space="preserve">    Total Revenue Requirement</t>
  </si>
  <si>
    <t xml:space="preserve">Total Carrying Charge </t>
  </si>
  <si>
    <t>Rate Rider to Recover Smart Meter Costs  
- 3 yrs</t>
  </si>
  <si>
    <t xml:space="preserve">    A3RL meters</t>
  </si>
  <si>
    <t xml:space="preserve">    A3TL meters</t>
  </si>
  <si>
    <t xml:space="preserve">    Rex 2 Meters</t>
  </si>
  <si>
    <t xml:space="preserve">    Number of meters installed </t>
  </si>
  <si>
    <t xml:space="preserve">    Atikkoan Hydro Smart Meter Unit Cost</t>
  </si>
  <si>
    <t xml:space="preserve">    Total number of meters installed</t>
  </si>
  <si>
    <t xml:space="preserve">    Carry Charges on Amort and OM&amp;A</t>
  </si>
  <si>
    <t>Number of Customers/Connections Atikokan 2012 Load Forecat Model - Jul 28 2011  w Exhi 3 tables 
Page 207 of 387 Ex 3 T2 S1 (page 4 of 17)</t>
  </si>
  <si>
    <t>GS&lt;50</t>
  </si>
  <si>
    <t>GS&gt;50</t>
  </si>
  <si>
    <t>Check</t>
  </si>
  <si>
    <t>R</t>
  </si>
  <si>
    <t>GU</t>
  </si>
  <si>
    <t>GU&gt;50</t>
  </si>
  <si>
    <t>2008 Board Approved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</si>
  <si>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</si>
  <si>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</si>
  <si>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</si>
  <si>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</si>
  <si>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 </t>
  </si>
  <si>
    <t xml:space="preserve">2007 Actual </t>
  </si>
  <si>
    <t>Total 2006</t>
  </si>
  <si>
    <t xml:space="preserve">2008 Actual </t>
  </si>
  <si>
    <t>2009 Actual</t>
  </si>
  <si>
    <t xml:space="preserve">2010 Actual </t>
  </si>
  <si>
    <t>2011 Normalized Bridge</t>
  </si>
  <si>
    <t>2012 Normalized Test</t>
  </si>
  <si>
    <t>Total 2007</t>
  </si>
  <si>
    <t>Total 2008</t>
  </si>
  <si>
    <t>Total 2009</t>
  </si>
  <si>
    <t>Total 2010</t>
  </si>
  <si>
    <t>Total 2011</t>
  </si>
  <si>
    <t>Total 2012</t>
  </si>
  <si>
    <t>Total Funding Adder Revenues Collected</t>
  </si>
  <si>
    <t>Breakout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</si>
</sst>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  <numFmt numFmtId="166" formatCode="_-* #,##0_-;\-* #,##0_-;_-* &quot;-&quot;??_-;_-@_-"/>
    <numFmt numFmtId="167" formatCode="&quot;$&quot;#,##0;\(&quot;$&quot;#,##0\)"/>
    <numFmt numFmtId="168" formatCode="_-* #,##0.0_-;\-* #,##0.0_-;_-* &quot;-&quot;??_-;_-@_-"/>
    <numFmt numFmtId="169" formatCode="0.0"/>
    <numFmt numFmtId="170" formatCode="_-&quot;$&quot;* #,##0.0_-;\-&quot;$&quot;* #,##0.0_-;_-&quot;$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65" fontId="4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0" borderId="11" xfId="44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1" xfId="42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10" fontId="2" fillId="0" borderId="11" xfId="0" applyNumberFormat="1" applyFont="1" applyBorder="1" applyAlignment="1">
      <alignment horizontal="right"/>
    </xf>
    <xf numFmtId="166" fontId="2" fillId="0" borderId="11" xfId="42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0" fontId="2" fillId="0" borderId="10" xfId="59" applyNumberFormat="1" applyFont="1" applyBorder="1" applyAlignment="1">
      <alignment/>
    </xf>
    <xf numFmtId="167" fontId="2" fillId="0" borderId="11" xfId="44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167" fontId="2" fillId="0" borderId="12" xfId="44" applyNumberFormat="1" applyFont="1" applyFill="1" applyBorder="1" applyAlignment="1">
      <alignment/>
    </xf>
    <xf numFmtId="165" fontId="2" fillId="0" borderId="13" xfId="44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6" fontId="2" fillId="0" borderId="11" xfId="59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44" fontId="2" fillId="0" borderId="17" xfId="44" applyFont="1" applyBorder="1" applyAlignment="1">
      <alignment horizontal="center"/>
    </xf>
    <xf numFmtId="0" fontId="4" fillId="0" borderId="17" xfId="0" applyFont="1" applyBorder="1" applyAlignment="1">
      <alignment/>
    </xf>
    <xf numFmtId="166" fontId="2" fillId="0" borderId="17" xfId="42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165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 horizontal="right"/>
    </xf>
    <xf numFmtId="166" fontId="2" fillId="0" borderId="17" xfId="42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10" fontId="2" fillId="0" borderId="15" xfId="59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7" xfId="59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wrapText="1"/>
    </xf>
    <xf numFmtId="44" fontId="2" fillId="0" borderId="21" xfId="44" applyFont="1" applyBorder="1" applyAlignment="1">
      <alignment/>
    </xf>
    <xf numFmtId="44" fontId="2" fillId="0" borderId="22" xfId="44" applyFont="1" applyBorder="1" applyAlignment="1">
      <alignment/>
    </xf>
    <xf numFmtId="165" fontId="2" fillId="0" borderId="23" xfId="0" applyNumberFormat="1" applyFont="1" applyBorder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4" fontId="1" fillId="0" borderId="0" xfId="44" applyNumberFormat="1" applyFont="1" applyAlignment="1" applyProtection="1">
      <alignment/>
      <protection/>
    </xf>
    <xf numFmtId="44" fontId="1" fillId="4" borderId="24" xfId="44" applyNumberFormat="1" applyFont="1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25" xfId="0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44" fontId="5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44" fontId="1" fillId="4" borderId="29" xfId="44" applyNumberFormat="1" applyFont="1" applyFill="1" applyBorder="1" applyAlignment="1" applyProtection="1">
      <alignment/>
      <protection locked="0"/>
    </xf>
    <xf numFmtId="44" fontId="5" fillId="0" borderId="30" xfId="0" applyNumberFormat="1" applyFont="1" applyBorder="1" applyAlignment="1">
      <alignment/>
    </xf>
    <xf numFmtId="44" fontId="5" fillId="0" borderId="31" xfId="0" applyNumberFormat="1" applyFont="1" applyBorder="1" applyAlignment="1">
      <alignment/>
    </xf>
    <xf numFmtId="44" fontId="5" fillId="0" borderId="32" xfId="0" applyNumberFormat="1" applyFont="1" applyBorder="1" applyAlignment="1">
      <alignment/>
    </xf>
    <xf numFmtId="0" fontId="5" fillId="0" borderId="0" xfId="0" applyFont="1" applyAlignment="1">
      <alignment/>
    </xf>
    <xf numFmtId="44" fontId="1" fillId="4" borderId="33" xfId="44" applyNumberFormat="1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11" fillId="0" borderId="0" xfId="0" applyNumberFormat="1" applyFont="1" applyAlignment="1" applyProtection="1">
      <alignment/>
      <protection/>
    </xf>
    <xf numFmtId="44" fontId="0" fillId="0" borderId="35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11" fillId="0" borderId="0" xfId="0" applyFont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>
      <alignment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17" fontId="5" fillId="0" borderId="0" xfId="0" applyNumberFormat="1" applyFont="1" applyAlignment="1" applyProtection="1">
      <alignment horizontal="center" vertical="center"/>
      <protection/>
    </xf>
    <xf numFmtId="17" fontId="5" fillId="0" borderId="41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" fontId="0" fillId="0" borderId="0" xfId="0" applyNumberFormat="1" applyAlignment="1" applyProtection="1">
      <alignment horizontal="center" vertical="center"/>
      <protection/>
    </xf>
    <xf numFmtId="17" fontId="0" fillId="0" borderId="41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Atikokan\2012%20Rate%20Application\Interogatories\9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ikokan_Cos%202012_smart_meter_model_DR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5"/>
      <sheetName val="39"/>
      <sheetName val="38"/>
    </sheetNames>
    <sheetDataSet>
      <sheetData sheetId="0">
        <row r="28">
          <cell r="E28">
            <v>279.76755003371795</v>
          </cell>
        </row>
        <row r="30">
          <cell r="E30">
            <v>629.5012307692308</v>
          </cell>
        </row>
        <row r="32">
          <cell r="E32">
            <v>1003.100909090909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1">
        <row r="25">
          <cell r="M25">
            <v>1427</v>
          </cell>
        </row>
        <row r="27">
          <cell r="M27">
            <v>159</v>
          </cell>
          <cell r="O27">
            <v>65</v>
          </cell>
        </row>
        <row r="33">
          <cell r="Q33">
            <v>22</v>
          </cell>
        </row>
      </sheetData>
      <sheetData sheetId="4">
        <row r="47">
          <cell r="M47">
            <v>7076.680392053971</v>
          </cell>
          <cell r="O47">
            <v>14131.6993720796</v>
          </cell>
          <cell r="Q47">
            <v>14370.675542010433</v>
          </cell>
        </row>
        <row r="50">
          <cell r="M50">
            <v>30936.856200000006</v>
          </cell>
          <cell r="O50">
            <v>42040.03258954909</v>
          </cell>
          <cell r="Q50">
            <v>39126.67681415929</v>
          </cell>
        </row>
        <row r="58">
          <cell r="M58">
            <v>7361.52337904762</v>
          </cell>
          <cell r="O58">
            <v>15669.907728596716</v>
          </cell>
          <cell r="Q58">
            <v>17034.644188773706</v>
          </cell>
        </row>
        <row r="68">
          <cell r="M68">
            <v>826.9734719366672</v>
          </cell>
          <cell r="O68">
            <v>987.2893883240677</v>
          </cell>
          <cell r="Q68">
            <v>1187.618001429306</v>
          </cell>
        </row>
      </sheetData>
      <sheetData sheetId="10">
        <row r="32">
          <cell r="M32">
            <v>217.82203385583338</v>
          </cell>
          <cell r="O32">
            <v>535.5479641615112</v>
          </cell>
          <cell r="Q32">
            <v>1824.108011860301</v>
          </cell>
        </row>
        <row r="40">
          <cell r="U40">
            <v>155935.29</v>
          </cell>
        </row>
        <row r="42">
          <cell r="U42">
            <v>3261.6500000000005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38"/>
  <sheetViews>
    <sheetView tabSelected="1" view="pageBreakPreview" zoomScale="60" zoomScalePageLayoutView="0" workbookViewId="0" topLeftCell="A1">
      <selection activeCell="F33" sqref="F33"/>
    </sheetView>
  </sheetViews>
  <sheetFormatPr defaultColWidth="9.140625" defaultRowHeight="15"/>
  <cols>
    <col min="1" max="2" width="9.140625" style="4" customWidth="1"/>
    <col min="3" max="3" width="5.421875" style="4" customWidth="1"/>
    <col min="4" max="4" width="45.00390625" style="4" customWidth="1"/>
    <col min="5" max="6" width="12.7109375" style="4" bestFit="1" customWidth="1"/>
    <col min="7" max="7" width="12.7109375" style="4" customWidth="1"/>
    <col min="8" max="8" width="12.7109375" style="4" bestFit="1" customWidth="1"/>
    <col min="9" max="9" width="14.28125" style="4" bestFit="1" customWidth="1"/>
    <col min="10" max="10" width="13.421875" style="4" customWidth="1"/>
    <col min="11" max="11" width="15.8515625" style="4" customWidth="1"/>
    <col min="12" max="12" width="16.8515625" style="4" customWidth="1"/>
    <col min="13" max="16384" width="9.140625" style="4" customWidth="1"/>
  </cols>
  <sheetData>
    <row r="1" ht="15" thickBot="1"/>
    <row r="2" spans="4:8" ht="15">
      <c r="D2" s="94" t="s">
        <v>10</v>
      </c>
      <c r="E2" s="95"/>
      <c r="F2" s="95"/>
      <c r="G2" s="95"/>
      <c r="H2" s="96"/>
    </row>
    <row r="3" spans="4:8" ht="15.75" thickBot="1">
      <c r="D3" s="97" t="s">
        <v>5</v>
      </c>
      <c r="E3" s="98"/>
      <c r="F3" s="98"/>
      <c r="G3" s="98"/>
      <c r="H3" s="99"/>
    </row>
    <row r="4" spans="4:9" ht="15">
      <c r="D4" s="28"/>
      <c r="E4" s="9" t="s">
        <v>0</v>
      </c>
      <c r="F4" s="9" t="s">
        <v>1</v>
      </c>
      <c r="G4" s="9" t="s">
        <v>2</v>
      </c>
      <c r="H4" s="29" t="s">
        <v>16</v>
      </c>
      <c r="I4" s="3"/>
    </row>
    <row r="5" spans="4:8" ht="15">
      <c r="D5" s="30" t="s">
        <v>24</v>
      </c>
      <c r="E5" s="10"/>
      <c r="F5" s="11"/>
      <c r="G5" s="11"/>
      <c r="H5" s="31"/>
    </row>
    <row r="6" spans="4:8" ht="15">
      <c r="D6" s="30" t="s">
        <v>22</v>
      </c>
      <c r="E6" s="10"/>
      <c r="F6" s="11">
        <f>'[1]9.5'!$E$28</f>
        <v>279.76755003371795</v>
      </c>
      <c r="G6" s="11">
        <f>F6</f>
        <v>279.76755003371795</v>
      </c>
      <c r="H6" s="31"/>
    </row>
    <row r="7" spans="4:8" ht="15">
      <c r="D7" s="30" t="s">
        <v>21</v>
      </c>
      <c r="E7" s="10"/>
      <c r="F7" s="11"/>
      <c r="G7" s="11">
        <f>'[1]9.5'!$E$30</f>
        <v>629.5012307692308</v>
      </c>
      <c r="H7" s="31"/>
    </row>
    <row r="8" spans="4:8" ht="15">
      <c r="D8" s="30" t="s">
        <v>20</v>
      </c>
      <c r="E8" s="10"/>
      <c r="F8" s="11"/>
      <c r="G8" s="11"/>
      <c r="H8" s="31">
        <f>'[1]9.5'!$E$32</f>
        <v>1003.100909090909</v>
      </c>
    </row>
    <row r="9" spans="4:8" ht="15">
      <c r="D9" s="30" t="s">
        <v>23</v>
      </c>
      <c r="E9" s="10"/>
      <c r="F9" s="11"/>
      <c r="G9" s="11"/>
      <c r="H9" s="32"/>
    </row>
    <row r="10" spans="4:8" ht="15">
      <c r="D10" s="30" t="s">
        <v>22</v>
      </c>
      <c r="E10" s="12">
        <f aca="true" t="shared" si="0" ref="E10:E16">SUM(F10:H10)</f>
        <v>1586</v>
      </c>
      <c r="F10" s="13">
        <f>'[2]2. Smart_Meter_Costs'!$M$25</f>
        <v>1427</v>
      </c>
      <c r="G10" s="13">
        <f>'[2]2. Smart_Meter_Costs'!$M$27</f>
        <v>159</v>
      </c>
      <c r="H10" s="31"/>
    </row>
    <row r="11" spans="4:8" ht="15">
      <c r="D11" s="30" t="s">
        <v>21</v>
      </c>
      <c r="E11" s="12">
        <f t="shared" si="0"/>
        <v>65</v>
      </c>
      <c r="F11" s="11"/>
      <c r="G11" s="13">
        <f>'[2]2. Smart_Meter_Costs'!$O$27</f>
        <v>65</v>
      </c>
      <c r="H11" s="31"/>
    </row>
    <row r="12" spans="4:8" ht="15">
      <c r="D12" s="30" t="s">
        <v>20</v>
      </c>
      <c r="E12" s="12">
        <f t="shared" si="0"/>
        <v>22</v>
      </c>
      <c r="F12" s="11"/>
      <c r="G12" s="11"/>
      <c r="H12" s="33">
        <f>'[2]2. Smart_Meter_Costs'!$Q$33</f>
        <v>22</v>
      </c>
    </row>
    <row r="13" spans="4:8" ht="15">
      <c r="D13" s="34" t="s">
        <v>25</v>
      </c>
      <c r="E13" s="12">
        <f t="shared" si="0"/>
        <v>1673</v>
      </c>
      <c r="F13" s="16">
        <f>SUM(F10:F12)</f>
        <v>1427</v>
      </c>
      <c r="G13" s="16">
        <f>SUM(G10:G12)</f>
        <v>224</v>
      </c>
      <c r="H13" s="37">
        <f>SUM(H10:H12)</f>
        <v>22</v>
      </c>
    </row>
    <row r="14" spans="4:9" ht="15">
      <c r="D14" s="34" t="s">
        <v>14</v>
      </c>
      <c r="E14" s="14">
        <f t="shared" si="0"/>
        <v>506697.13435347663</v>
      </c>
      <c r="F14" s="14">
        <f>F6*F10+F7*F11+F8*F12</f>
        <v>399228.2938981155</v>
      </c>
      <c r="G14" s="14">
        <f>G6*G10+G7*G11+G8*G12</f>
        <v>85400.62045536115</v>
      </c>
      <c r="H14" s="35">
        <f>H6*H10+H7*H11+H8*H12</f>
        <v>22068.219999999998</v>
      </c>
      <c r="I14" s="5"/>
    </row>
    <row r="15" spans="4:9" ht="15">
      <c r="D15" s="34" t="s">
        <v>12</v>
      </c>
      <c r="E15" s="15">
        <f t="shared" si="0"/>
        <v>1</v>
      </c>
      <c r="F15" s="15">
        <f>F14/$E$14</f>
        <v>0.7879032006121632</v>
      </c>
      <c r="G15" s="15">
        <f>G14/$E$14</f>
        <v>0.16854372102247747</v>
      </c>
      <c r="H15" s="36">
        <f>H14/$E$14</f>
        <v>0.04355307836535938</v>
      </c>
      <c r="I15" s="5"/>
    </row>
    <row r="16" spans="4:9" ht="15">
      <c r="D16" s="34" t="s">
        <v>13</v>
      </c>
      <c r="E16" s="15">
        <f t="shared" si="0"/>
        <v>1</v>
      </c>
      <c r="F16" s="15">
        <f>F13/$E$13</f>
        <v>0.8529587567244471</v>
      </c>
      <c r="G16" s="15">
        <f>G13/$E$13</f>
        <v>0.13389121338912133</v>
      </c>
      <c r="H16" s="36">
        <f>H13/$E$13</f>
        <v>0.01315002988643156</v>
      </c>
      <c r="I16" s="6"/>
    </row>
    <row r="17" spans="4:8" ht="15">
      <c r="D17" s="38"/>
      <c r="E17" s="17"/>
      <c r="F17" s="17"/>
      <c r="G17" s="17"/>
      <c r="H17" s="39"/>
    </row>
    <row r="18" spans="4:9" ht="30">
      <c r="D18" s="30" t="s">
        <v>15</v>
      </c>
      <c r="E18" s="14">
        <f>SUM('[2]5. SM_Rev_Reqt'!$M$47:$Q$47)</f>
        <v>35579.055306144</v>
      </c>
      <c r="F18" s="14">
        <f>$E$18*F15</f>
        <v>28032.85155046803</v>
      </c>
      <c r="G18" s="14">
        <f>$E$18*G15</f>
        <v>5996.626371762031</v>
      </c>
      <c r="H18" s="35">
        <f>$E$18*H15</f>
        <v>1549.577383913945</v>
      </c>
      <c r="I18" s="7"/>
    </row>
    <row r="19" spans="4:9" ht="15">
      <c r="D19" s="38" t="s">
        <v>6</v>
      </c>
      <c r="E19" s="14">
        <f>SUM('[2]5. SM_Rev_Reqt'!$M$58:$Q$58)</f>
        <v>40066.07529641804</v>
      </c>
      <c r="F19" s="14">
        <f>E19*F15</f>
        <v>31568.1889620157</v>
      </c>
      <c r="G19" s="14">
        <f>E19*G15</f>
        <v>6752.885417225059</v>
      </c>
      <c r="H19" s="35">
        <f>E19*H15</f>
        <v>1745.0009171772845</v>
      </c>
      <c r="I19" s="7"/>
    </row>
    <row r="20" spans="4:9" ht="15">
      <c r="D20" s="38" t="s">
        <v>7</v>
      </c>
      <c r="E20" s="14">
        <f>SUM('[2]5. SM_Rev_Reqt'!$M$50:$Q$50)</f>
        <v>112103.56560370838</v>
      </c>
      <c r="F20" s="14">
        <f>E20*F16</f>
        <v>95619.71794171659</v>
      </c>
      <c r="G20" s="14">
        <f>E20*G16</f>
        <v>15009.682423927481</v>
      </c>
      <c r="H20" s="35">
        <f>E20*H16</f>
        <v>1474.1652380643063</v>
      </c>
      <c r="I20" s="7"/>
    </row>
    <row r="21" spans="4:9" ht="15">
      <c r="D21" s="38" t="s">
        <v>11</v>
      </c>
      <c r="E21" s="18">
        <f>SUM(E18:E20)</f>
        <v>187748.69620627043</v>
      </c>
      <c r="F21" s="18">
        <f>SUM(F18:F20)</f>
        <v>155220.75845420032</v>
      </c>
      <c r="G21" s="18">
        <f>SUM(G18:G20)</f>
        <v>27759.194212914572</v>
      </c>
      <c r="H21" s="40">
        <f>SUM(H18:H20)</f>
        <v>4768.7435391555355</v>
      </c>
      <c r="I21" s="7"/>
    </row>
    <row r="22" spans="4:9" ht="15">
      <c r="D22" s="38" t="s">
        <v>8</v>
      </c>
      <c r="E22" s="14">
        <f>SUM('[2]5. SM_Rev_Reqt'!$M$68:$Q$68)</f>
        <v>3001.880861690041</v>
      </c>
      <c r="F22" s="18">
        <f>F21/E21*E22</f>
        <v>2481.797389574174</v>
      </c>
      <c r="G22" s="18">
        <f>G21/E21*E22</f>
        <v>443.83687092098245</v>
      </c>
      <c r="H22" s="40">
        <f>H21/E21*E22</f>
        <v>76.24660119488455</v>
      </c>
      <c r="I22" s="7"/>
    </row>
    <row r="23" spans="4:9" ht="15.75" thickBot="1">
      <c r="D23" s="38" t="s">
        <v>26</v>
      </c>
      <c r="E23" s="51">
        <f>SUM('[2]9. SMFA_SMDR_SMIRR'!$M$32:$Q$32)</f>
        <v>2577.4780098776455</v>
      </c>
      <c r="F23" s="51">
        <f>(F19+F20)/($E$19+$E$20)*$E$23</f>
        <v>2154.3326988718864</v>
      </c>
      <c r="G23" s="51">
        <f>(G19+G20)/($E$19+$E$20)*$E$23</f>
        <v>368.61846894845695</v>
      </c>
      <c r="H23" s="51">
        <f>(H19+H20)/($E$19+$E$20)*$E$23</f>
        <v>54.526842057302076</v>
      </c>
      <c r="I23" s="7"/>
    </row>
    <row r="24" spans="4:9" ht="16.5" thickBot="1" thickTop="1">
      <c r="D24" s="41" t="s">
        <v>17</v>
      </c>
      <c r="E24" s="19">
        <f>E21+E22+E23</f>
        <v>193328.0550778381</v>
      </c>
      <c r="F24" s="19">
        <f>F21+F22+F23</f>
        <v>159856.88854264637</v>
      </c>
      <c r="G24" s="19">
        <f>G21+G22+G23</f>
        <v>28571.649552784012</v>
      </c>
      <c r="H24" s="19">
        <f>H21+H22+H23</f>
        <v>4899.516982407722</v>
      </c>
      <c r="I24" s="7"/>
    </row>
    <row r="25" spans="4:9" ht="15.75" thickTop="1">
      <c r="D25" s="38"/>
      <c r="E25" s="15"/>
      <c r="F25" s="20"/>
      <c r="G25" s="20"/>
      <c r="H25" s="42"/>
      <c r="I25" s="7"/>
    </row>
    <row r="26" spans="4:9" ht="15">
      <c r="D26" s="38"/>
      <c r="E26" s="43"/>
      <c r="F26" s="43"/>
      <c r="G26" s="43"/>
      <c r="H26" s="44"/>
      <c r="I26" s="8"/>
    </row>
    <row r="27" spans="4:9" ht="15">
      <c r="D27" s="38" t="s">
        <v>9</v>
      </c>
      <c r="E27" s="21">
        <f>-'[2]9. SMFA_SMDR_SMIRR'!$U$40</f>
        <v>-155935.29</v>
      </c>
      <c r="F27" s="21">
        <f>-'SMFA by class'!H93</f>
        <v>-132229.79405735692</v>
      </c>
      <c r="G27" s="21">
        <f>-'SMFA by class'!I93</f>
        <v>-21858.09148276157</v>
      </c>
      <c r="H27" s="21">
        <f>-'SMFA by class'!J93</f>
        <v>-1847.404459881487</v>
      </c>
      <c r="I27" s="7"/>
    </row>
    <row r="28" spans="4:9" ht="15.75" thickBot="1">
      <c r="D28" s="38" t="s">
        <v>18</v>
      </c>
      <c r="E28" s="22">
        <f>-'[2]9. SMFA_SMDR_SMIRR'!$U$42</f>
        <v>-3261.6500000000005</v>
      </c>
      <c r="F28" s="23">
        <f>F27/$E$27*$E$28</f>
        <v>-2765.809508464558</v>
      </c>
      <c r="G28" s="23">
        <f>G27/$E$27*$E$28</f>
        <v>-457.1989065768838</v>
      </c>
      <c r="H28" s="23">
        <f>H27/$E$27*$E$28</f>
        <v>-38.64158495855847</v>
      </c>
      <c r="I28" s="7"/>
    </row>
    <row r="29" spans="4:9" ht="16.5" thickBot="1" thickTop="1">
      <c r="D29" s="38" t="s">
        <v>3</v>
      </c>
      <c r="E29" s="24">
        <f>E24+E27+E28</f>
        <v>34131.11507783809</v>
      </c>
      <c r="F29" s="24">
        <f>F24+F27+F28</f>
        <v>24861.28497682489</v>
      </c>
      <c r="G29" s="24">
        <f>G24+G27+G28</f>
        <v>6256.359163445558</v>
      </c>
      <c r="H29" s="24">
        <f>H24+H27+H28</f>
        <v>3013.4709375676766</v>
      </c>
      <c r="I29" s="7"/>
    </row>
    <row r="30" spans="4:9" ht="15.75" thickTop="1">
      <c r="D30" s="38"/>
      <c r="E30" s="25"/>
      <c r="F30" s="25"/>
      <c r="G30" s="25"/>
      <c r="H30" s="45"/>
      <c r="I30" s="7"/>
    </row>
    <row r="31" spans="4:9" ht="15">
      <c r="D31" s="38" t="s">
        <v>4</v>
      </c>
      <c r="E31" s="12">
        <f>SUM(F31:H31)</f>
        <v>1673</v>
      </c>
      <c r="F31" s="26">
        <f>F13</f>
        <v>1427</v>
      </c>
      <c r="G31" s="26">
        <f>G13</f>
        <v>224</v>
      </c>
      <c r="H31" s="46">
        <f>H13</f>
        <v>22</v>
      </c>
      <c r="I31" s="7"/>
    </row>
    <row r="32" spans="4:9" ht="15.75" thickBot="1">
      <c r="D32" s="38"/>
      <c r="E32" s="27"/>
      <c r="F32" s="27"/>
      <c r="G32" s="27"/>
      <c r="H32" s="47"/>
      <c r="I32" s="7"/>
    </row>
    <row r="33" spans="4:9" ht="31.5" thickBot="1" thickTop="1">
      <c r="D33" s="48" t="s">
        <v>19</v>
      </c>
      <c r="E33" s="49">
        <f>E29/E31/36</f>
        <v>0.5666984638015224</v>
      </c>
      <c r="F33" s="49">
        <f>F29/F31/36</f>
        <v>0.4839462153862978</v>
      </c>
      <c r="G33" s="49">
        <f>G29/G31/36</f>
        <v>0.7758381899114035</v>
      </c>
      <c r="H33" s="50">
        <f>H29/H31/36</f>
        <v>3.8048875474339354</v>
      </c>
      <c r="I33" s="7"/>
    </row>
    <row r="34" spans="4:8" ht="15">
      <c r="D34" s="1"/>
      <c r="E34" s="2"/>
      <c r="F34" s="2"/>
      <c r="G34" s="2"/>
      <c r="H34" s="2"/>
    </row>
    <row r="38" spans="6:7" ht="14.25">
      <c r="F38" s="7"/>
      <c r="G38" s="7"/>
    </row>
  </sheetData>
  <sheetProtection/>
  <mergeCells count="2">
    <mergeCell ref="D2:H2"/>
    <mergeCell ref="D3:H3"/>
  </mergeCells>
  <printOptions/>
  <pageMargins left="0.19" right="0.22" top="0.75" bottom="0.75" header="0.3" footer="0.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99"/>
  <sheetViews>
    <sheetView zoomScalePageLayoutView="0" workbookViewId="0" topLeftCell="A1">
      <selection activeCell="AB1" sqref="X1:AG4"/>
    </sheetView>
  </sheetViews>
  <sheetFormatPr defaultColWidth="9.140625" defaultRowHeight="15"/>
  <cols>
    <col min="1" max="1" width="2.8515625" style="0" customWidth="1"/>
    <col min="5" max="5" width="8.00390625" style="0" bestFit="1" customWidth="1"/>
    <col min="6" max="6" width="12.57421875" style="0" bestFit="1" customWidth="1"/>
    <col min="7" max="7" width="12.28125" style="0" bestFit="1" customWidth="1"/>
    <col min="8" max="8" width="12.57421875" style="0" bestFit="1" customWidth="1"/>
    <col min="9" max="9" width="11.57421875" style="0" bestFit="1" customWidth="1"/>
    <col min="10" max="10" width="10.57421875" style="0" bestFit="1" customWidth="1"/>
    <col min="11" max="11" width="12.57421875" style="0" bestFit="1" customWidth="1"/>
    <col min="12" max="12" width="10.57421875" style="0" bestFit="1" customWidth="1"/>
    <col min="13" max="16" width="10.57421875" style="52" customWidth="1"/>
    <col min="17" max="17" width="10.57421875" style="0" customWidth="1"/>
    <col min="18" max="18" width="12.57421875" style="0" bestFit="1" customWidth="1"/>
    <col min="19" max="19" width="20.57421875" style="0" customWidth="1"/>
    <col min="27" max="27" width="11.00390625" style="0" bestFit="1" customWidth="1"/>
  </cols>
  <sheetData>
    <row r="1" ht="15.75" thickBot="1"/>
    <row r="2" spans="2:7" ht="15.75" thickBot="1">
      <c r="B2" s="53">
        <v>38718</v>
      </c>
      <c r="C2" s="54">
        <f aca="true" t="shared" si="0" ref="C2:C13">YEAR(B2)</f>
        <v>2006</v>
      </c>
      <c r="D2" s="54" t="str">
        <f aca="true" t="shared" si="1" ref="D2:D13">IF(MONTH(B2)=0,"",IF(MONTH(B2)&lt;4,"Q1",IF(MONTH(B2)&lt;7,"Q2",IF(MONTH(B2)&lt;10,"Q3","Q4"))))</f>
        <v>Q1</v>
      </c>
      <c r="E2" s="55" t="str">
        <f aca="true" t="shared" si="2" ref="E2:E13">CONCATENATE(C2," ",D2)</f>
        <v>2006 Q1</v>
      </c>
      <c r="F2" s="56">
        <v>0</v>
      </c>
      <c r="G2" s="57"/>
    </row>
    <row r="3" spans="2:33" ht="15.75" thickBot="1">
      <c r="B3" s="53">
        <v>38749</v>
      </c>
      <c r="C3" s="54">
        <f t="shared" si="0"/>
        <v>2006</v>
      </c>
      <c r="D3" s="54" t="str">
        <f t="shared" si="1"/>
        <v>Q1</v>
      </c>
      <c r="E3" s="55" t="str">
        <f t="shared" si="2"/>
        <v>2006 Q1</v>
      </c>
      <c r="F3" s="56">
        <f aca="true" t="shared" si="3" ref="F3:F13">F2+G2</f>
        <v>0</v>
      </c>
      <c r="G3" s="57"/>
      <c r="S3">
        <v>0</v>
      </c>
      <c r="X3" s="102" t="s">
        <v>27</v>
      </c>
      <c r="Y3" s="103"/>
      <c r="Z3" s="103"/>
      <c r="AA3" s="103"/>
      <c r="AB3" s="103"/>
      <c r="AC3" s="103"/>
      <c r="AD3" s="103"/>
      <c r="AE3" s="103"/>
      <c r="AF3" s="103"/>
      <c r="AG3" s="104"/>
    </row>
    <row r="4" spans="2:33" ht="15.75" customHeight="1" thickBot="1">
      <c r="B4" s="53">
        <v>38777</v>
      </c>
      <c r="C4" s="54">
        <f t="shared" si="0"/>
        <v>2006</v>
      </c>
      <c r="D4" s="54" t="str">
        <f t="shared" si="1"/>
        <v>Q1</v>
      </c>
      <c r="E4" s="55" t="str">
        <f t="shared" si="2"/>
        <v>2006 Q1</v>
      </c>
      <c r="F4" s="56">
        <f t="shared" si="3"/>
        <v>0</v>
      </c>
      <c r="G4" s="57"/>
      <c r="H4" t="s">
        <v>1</v>
      </c>
      <c r="I4" t="s">
        <v>28</v>
      </c>
      <c r="J4" t="s">
        <v>29</v>
      </c>
      <c r="K4" s="58">
        <v>1</v>
      </c>
      <c r="L4" s="59" t="s">
        <v>30</v>
      </c>
      <c r="M4" s="60"/>
      <c r="N4" t="s">
        <v>1</v>
      </c>
      <c r="O4" t="s">
        <v>28</v>
      </c>
      <c r="P4" t="s">
        <v>29</v>
      </c>
      <c r="Q4" s="59"/>
      <c r="R4" s="59"/>
      <c r="S4" s="59">
        <v>0</v>
      </c>
      <c r="X4" s="105"/>
      <c r="Y4" s="106"/>
      <c r="Z4" s="106"/>
      <c r="AA4" s="106"/>
      <c r="AB4" s="106"/>
      <c r="AC4" s="106"/>
      <c r="AD4" s="106"/>
      <c r="AE4" s="106"/>
      <c r="AF4" s="106"/>
      <c r="AG4" s="107"/>
    </row>
    <row r="5" spans="2:33" ht="15.75" thickBot="1">
      <c r="B5" s="53">
        <v>38808</v>
      </c>
      <c r="C5" s="54">
        <f t="shared" si="0"/>
        <v>2006</v>
      </c>
      <c r="D5" s="54" t="str">
        <f t="shared" si="1"/>
        <v>Q2</v>
      </c>
      <c r="E5" s="55" t="str">
        <f t="shared" si="2"/>
        <v>2006 Q2</v>
      </c>
      <c r="F5" s="56">
        <f t="shared" si="3"/>
        <v>0</v>
      </c>
      <c r="G5" s="57"/>
      <c r="M5" s="52">
        <v>0.0414</v>
      </c>
      <c r="Q5">
        <v>0</v>
      </c>
      <c r="S5">
        <v>0</v>
      </c>
      <c r="X5" s="61"/>
      <c r="Y5" s="62"/>
      <c r="Z5" s="62"/>
      <c r="AA5" s="62"/>
      <c r="AB5" s="62"/>
      <c r="AC5" s="62"/>
      <c r="AD5" s="62"/>
      <c r="AE5" s="62"/>
      <c r="AF5" s="62"/>
      <c r="AG5" s="63"/>
    </row>
    <row r="6" spans="2:33" ht="15.75" thickBot="1">
      <c r="B6" s="53">
        <v>38838</v>
      </c>
      <c r="C6" s="54">
        <f t="shared" si="0"/>
        <v>2006</v>
      </c>
      <c r="D6" s="54" t="str">
        <f t="shared" si="1"/>
        <v>Q2</v>
      </c>
      <c r="E6" s="55" t="str">
        <f t="shared" si="2"/>
        <v>2006 Q2</v>
      </c>
      <c r="F6" s="56">
        <f t="shared" si="3"/>
        <v>0</v>
      </c>
      <c r="G6" s="57">
        <v>0.58</v>
      </c>
      <c r="H6" s="64">
        <f>G6*T12</f>
        <v>0.49040650406504066</v>
      </c>
      <c r="I6" s="64">
        <f>G6*U12</f>
        <v>0.08285714285714285</v>
      </c>
      <c r="J6" s="64">
        <f>G6*V12</f>
        <v>0.006736353077816492</v>
      </c>
      <c r="K6" s="64">
        <f aca="true" t="shared" si="4" ref="K6:K13">SUM(H6:J6)</f>
        <v>0.58</v>
      </c>
      <c r="L6" s="64">
        <f aca="true" t="shared" si="5" ref="L6:L13">K6-G6</f>
        <v>0</v>
      </c>
      <c r="M6" s="52">
        <v>0.0414</v>
      </c>
      <c r="Q6" s="64">
        <v>0</v>
      </c>
      <c r="R6" s="64"/>
      <c r="S6" s="64">
        <v>0</v>
      </c>
      <c r="X6" s="61"/>
      <c r="Y6" s="62"/>
      <c r="Z6" s="62"/>
      <c r="AA6" s="62" t="s">
        <v>1</v>
      </c>
      <c r="AB6" s="62" t="s">
        <v>28</v>
      </c>
      <c r="AC6" s="62" t="s">
        <v>29</v>
      </c>
      <c r="AD6" s="62"/>
      <c r="AE6" s="62"/>
      <c r="AF6" s="62"/>
      <c r="AG6" s="63"/>
    </row>
    <row r="7" spans="2:33" ht="15.75" thickBot="1">
      <c r="B7" s="53">
        <v>38869</v>
      </c>
      <c r="C7" s="54">
        <f t="shared" si="0"/>
        <v>2006</v>
      </c>
      <c r="D7" s="54" t="str">
        <f t="shared" si="1"/>
        <v>Q2</v>
      </c>
      <c r="E7" s="55" t="str">
        <f t="shared" si="2"/>
        <v>2006 Q2</v>
      </c>
      <c r="F7" s="56">
        <f t="shared" si="3"/>
        <v>0.58</v>
      </c>
      <c r="G7" s="57">
        <v>152.34</v>
      </c>
      <c r="H7" s="64">
        <f>G7*T12</f>
        <v>128.80780487804878</v>
      </c>
      <c r="I7" s="64">
        <f aca="true" t="shared" si="6" ref="I7:I13">G7*($U$12)</f>
        <v>21.762857142857143</v>
      </c>
      <c r="J7" s="64">
        <f aca="true" t="shared" si="7" ref="J7:J13">G7*($V$12)</f>
        <v>1.7693379790940766</v>
      </c>
      <c r="K7" s="64">
        <f t="shared" si="4"/>
        <v>152.34</v>
      </c>
      <c r="L7" s="64">
        <f t="shared" si="5"/>
        <v>0</v>
      </c>
      <c r="M7" s="52">
        <v>0.0414</v>
      </c>
      <c r="Q7" s="64">
        <v>0</v>
      </c>
      <c r="R7" s="64"/>
      <c r="S7" s="64">
        <v>0</v>
      </c>
      <c r="T7" s="65" t="s">
        <v>31</v>
      </c>
      <c r="U7" t="s">
        <v>32</v>
      </c>
      <c r="V7" t="s">
        <v>33</v>
      </c>
      <c r="X7" s="61" t="s">
        <v>34</v>
      </c>
      <c r="Y7" s="62"/>
      <c r="Z7" s="62"/>
      <c r="AA7" s="62">
        <v>1421</v>
      </c>
      <c r="AB7" s="62">
        <v>240</v>
      </c>
      <c r="AC7" s="62">
        <v>20</v>
      </c>
      <c r="AD7" s="62"/>
      <c r="AE7" s="62">
        <v>619</v>
      </c>
      <c r="AF7" s="62"/>
      <c r="AG7" s="63">
        <v>2300</v>
      </c>
    </row>
    <row r="8" spans="2:33" ht="15.75" thickBot="1">
      <c r="B8" s="53">
        <v>38899</v>
      </c>
      <c r="C8" s="54">
        <f t="shared" si="0"/>
        <v>2006</v>
      </c>
      <c r="D8" s="54" t="str">
        <f t="shared" si="1"/>
        <v>Q3</v>
      </c>
      <c r="E8" s="55" t="str">
        <f t="shared" si="2"/>
        <v>2006 Q3</v>
      </c>
      <c r="F8" s="56">
        <f t="shared" si="3"/>
        <v>152.92000000000002</v>
      </c>
      <c r="G8" s="57">
        <v>417.12</v>
      </c>
      <c r="H8" s="64">
        <f aca="true" t="shared" si="8" ref="H8:H13">G8*($T$12)</f>
        <v>352.6868292682927</v>
      </c>
      <c r="I8" s="64">
        <f t="shared" si="6"/>
        <v>59.58857142857143</v>
      </c>
      <c r="J8" s="64">
        <f t="shared" si="7"/>
        <v>4.8445993031358885</v>
      </c>
      <c r="K8" s="64">
        <f t="shared" si="4"/>
        <v>417.12</v>
      </c>
      <c r="L8" s="64">
        <f t="shared" si="5"/>
        <v>0</v>
      </c>
      <c r="M8" s="52">
        <v>0.0459</v>
      </c>
      <c r="N8" s="64">
        <f aca="true" t="shared" si="9" ref="N8:N13">Q8*($T$12)</f>
        <v>0.49040650406504066</v>
      </c>
      <c r="O8" s="64">
        <f aca="true" t="shared" si="10" ref="O8:O13">Q8*($U$12)</f>
        <v>0.08285714285714285</v>
      </c>
      <c r="P8" s="64">
        <f aca="true" t="shared" si="11" ref="P8:P13">Q8*($V$12)</f>
        <v>0.006736353077816492</v>
      </c>
      <c r="Q8" s="64">
        <v>0.58</v>
      </c>
      <c r="R8" s="64"/>
      <c r="S8" s="64">
        <v>0.58</v>
      </c>
      <c r="X8" s="61"/>
      <c r="Y8" s="62"/>
      <c r="Z8" s="62"/>
      <c r="AA8" s="62"/>
      <c r="AB8" s="62"/>
      <c r="AC8" s="62"/>
      <c r="AD8" s="62"/>
      <c r="AE8" s="62"/>
      <c r="AF8" s="62"/>
      <c r="AG8" s="63"/>
    </row>
    <row r="9" spans="2:33" ht="15.75" thickBot="1">
      <c r="B9" s="53">
        <v>38930</v>
      </c>
      <c r="C9" s="54">
        <f t="shared" si="0"/>
        <v>2006</v>
      </c>
      <c r="D9" s="54" t="str">
        <f t="shared" si="1"/>
        <v>Q3</v>
      </c>
      <c r="E9" s="55" t="str">
        <f t="shared" si="2"/>
        <v>2006 Q3</v>
      </c>
      <c r="F9" s="56">
        <f t="shared" si="3"/>
        <v>570.04</v>
      </c>
      <c r="G9" s="57">
        <v>406.12</v>
      </c>
      <c r="H9" s="64">
        <f t="shared" si="8"/>
        <v>343.38601626016265</v>
      </c>
      <c r="I9" s="64">
        <f t="shared" si="6"/>
        <v>58.01714285714286</v>
      </c>
      <c r="J9" s="64">
        <f t="shared" si="7"/>
        <v>4.716840882694541</v>
      </c>
      <c r="K9" s="64">
        <f t="shared" si="4"/>
        <v>406.12000000000006</v>
      </c>
      <c r="L9" s="64">
        <f t="shared" si="5"/>
        <v>0</v>
      </c>
      <c r="M9" s="52">
        <v>0.0459</v>
      </c>
      <c r="N9" s="64">
        <f t="shared" si="9"/>
        <v>1.8432520325203254</v>
      </c>
      <c r="O9" s="64">
        <f t="shared" si="10"/>
        <v>0.31142857142857144</v>
      </c>
      <c r="P9" s="64">
        <f t="shared" si="11"/>
        <v>0.02531939605110337</v>
      </c>
      <c r="Q9" s="64">
        <v>2.18</v>
      </c>
      <c r="R9" s="64"/>
      <c r="S9" s="64">
        <v>2.18</v>
      </c>
      <c r="T9" s="66">
        <f aca="true" t="shared" si="12" ref="T9:T18">AA9/AD9</f>
        <v>0.837468636743797</v>
      </c>
      <c r="U9" s="66">
        <f aca="true" t="shared" si="13" ref="U9:U18">AB9/AD9</f>
        <v>0.15054362977418456</v>
      </c>
      <c r="V9" s="66">
        <f aca="true" t="shared" si="14" ref="V9:V18">AC9/AD9</f>
        <v>0.0119877334820184</v>
      </c>
      <c r="W9" s="66">
        <f>SUM(T9:V9)</f>
        <v>1</v>
      </c>
      <c r="X9" s="67" t="s">
        <v>35</v>
      </c>
      <c r="Y9" s="68"/>
      <c r="Z9" s="68"/>
      <c r="AA9" s="69">
        <v>1502</v>
      </c>
      <c r="AB9" s="69">
        <v>270</v>
      </c>
      <c r="AC9" s="69">
        <v>21.5</v>
      </c>
      <c r="AD9" s="70">
        <f aca="true" t="shared" si="15" ref="AD9:AD18">SUM(AA9:AC9)</f>
        <v>1793.5</v>
      </c>
      <c r="AE9" s="70">
        <v>621.5</v>
      </c>
      <c r="AF9" s="62">
        <v>1</v>
      </c>
      <c r="AG9" s="71">
        <v>2416</v>
      </c>
    </row>
    <row r="10" spans="2:33" ht="15.75" thickBot="1">
      <c r="B10" s="53">
        <v>38961</v>
      </c>
      <c r="C10" s="54">
        <f t="shared" si="0"/>
        <v>2006</v>
      </c>
      <c r="D10" s="54" t="str">
        <f t="shared" si="1"/>
        <v>Q3</v>
      </c>
      <c r="E10" s="55" t="str">
        <f t="shared" si="2"/>
        <v>2006 Q3</v>
      </c>
      <c r="F10" s="56">
        <f t="shared" si="3"/>
        <v>976.16</v>
      </c>
      <c r="G10" s="57">
        <v>453.75</v>
      </c>
      <c r="H10" s="64">
        <f t="shared" si="8"/>
        <v>383.6585365853659</v>
      </c>
      <c r="I10" s="64">
        <f t="shared" si="6"/>
        <v>64.82142857142857</v>
      </c>
      <c r="J10" s="64">
        <f t="shared" si="7"/>
        <v>5.270034843205575</v>
      </c>
      <c r="K10" s="64">
        <f t="shared" si="4"/>
        <v>453.75</v>
      </c>
      <c r="L10" s="64">
        <f t="shared" si="5"/>
        <v>0</v>
      </c>
      <c r="M10" s="52">
        <v>0.0459</v>
      </c>
      <c r="N10" s="64">
        <f t="shared" si="9"/>
        <v>3.153821138211382</v>
      </c>
      <c r="O10" s="64">
        <f t="shared" si="10"/>
        <v>0.5328571428571428</v>
      </c>
      <c r="P10" s="64">
        <f t="shared" si="11"/>
        <v>0.04332171893147503</v>
      </c>
      <c r="Q10" s="64">
        <v>3.73</v>
      </c>
      <c r="R10" s="64"/>
      <c r="S10" s="64">
        <v>3.73</v>
      </c>
      <c r="T10" s="66">
        <f t="shared" si="12"/>
        <v>0.8431986340352874</v>
      </c>
      <c r="U10" s="66">
        <f t="shared" si="13"/>
        <v>0.1448491747296528</v>
      </c>
      <c r="V10" s="66">
        <f t="shared" si="14"/>
        <v>0.01195219123505976</v>
      </c>
      <c r="X10" s="61" t="s">
        <v>36</v>
      </c>
      <c r="Y10" s="62"/>
      <c r="Z10" s="62"/>
      <c r="AA10" s="70">
        <v>1481.5</v>
      </c>
      <c r="AB10" s="70">
        <v>254.5</v>
      </c>
      <c r="AC10" s="70">
        <v>21</v>
      </c>
      <c r="AD10" s="70">
        <f t="shared" si="15"/>
        <v>1757</v>
      </c>
      <c r="AE10" s="70">
        <v>617.5</v>
      </c>
      <c r="AF10" s="62">
        <v>1</v>
      </c>
      <c r="AG10" s="71">
        <v>2375.5</v>
      </c>
    </row>
    <row r="11" spans="2:33" ht="15.75" thickBot="1">
      <c r="B11" s="53">
        <v>38991</v>
      </c>
      <c r="C11" s="54">
        <f t="shared" si="0"/>
        <v>2006</v>
      </c>
      <c r="D11" s="54" t="str">
        <f t="shared" si="1"/>
        <v>Q4</v>
      </c>
      <c r="E11" s="55" t="str">
        <f t="shared" si="2"/>
        <v>2006 Q4</v>
      </c>
      <c r="F11" s="56">
        <f t="shared" si="3"/>
        <v>1429.9099999999999</v>
      </c>
      <c r="G11" s="57">
        <v>405.75</v>
      </c>
      <c r="H11" s="64">
        <f t="shared" si="8"/>
        <v>343.07317073170736</v>
      </c>
      <c r="I11" s="64">
        <f t="shared" si="6"/>
        <v>57.96428571428571</v>
      </c>
      <c r="J11" s="64">
        <f t="shared" si="7"/>
        <v>4.7125435540069684</v>
      </c>
      <c r="K11" s="64">
        <f t="shared" si="4"/>
        <v>405.75000000000006</v>
      </c>
      <c r="L11" s="64">
        <f t="shared" si="5"/>
        <v>0</v>
      </c>
      <c r="M11" s="52">
        <v>0.0459</v>
      </c>
      <c r="N11" s="64">
        <f t="shared" si="9"/>
        <v>4.625040650406504</v>
      </c>
      <c r="O11" s="64">
        <f t="shared" si="10"/>
        <v>0.7814285714285714</v>
      </c>
      <c r="P11" s="64">
        <f t="shared" si="11"/>
        <v>0.0635307781649245</v>
      </c>
      <c r="Q11" s="64">
        <v>5.47</v>
      </c>
      <c r="R11" s="64"/>
      <c r="S11" s="64">
        <v>5.47</v>
      </c>
      <c r="T11" s="66">
        <f t="shared" si="12"/>
        <v>0.8460651484577688</v>
      </c>
      <c r="U11" s="66">
        <f t="shared" si="13"/>
        <v>0.14211588353992505</v>
      </c>
      <c r="V11" s="66">
        <f t="shared" si="14"/>
        <v>0.01181896800230614</v>
      </c>
      <c r="X11" s="61" t="s">
        <v>37</v>
      </c>
      <c r="Y11" s="62"/>
      <c r="Z11" s="62"/>
      <c r="AA11" s="70">
        <v>1467.5</v>
      </c>
      <c r="AB11" s="70">
        <v>246.5</v>
      </c>
      <c r="AC11" s="70">
        <v>20.5</v>
      </c>
      <c r="AD11" s="70">
        <f t="shared" si="15"/>
        <v>1734.5</v>
      </c>
      <c r="AE11" s="70">
        <v>619.5</v>
      </c>
      <c r="AF11" s="62">
        <v>1</v>
      </c>
      <c r="AG11" s="71">
        <v>2355</v>
      </c>
    </row>
    <row r="12" spans="2:33" ht="15.75" thickBot="1">
      <c r="B12" s="53">
        <v>39022</v>
      </c>
      <c r="C12" s="54">
        <f t="shared" si="0"/>
        <v>2006</v>
      </c>
      <c r="D12" s="54" t="str">
        <f t="shared" si="1"/>
        <v>Q4</v>
      </c>
      <c r="E12" s="55" t="str">
        <f t="shared" si="2"/>
        <v>2006 Q4</v>
      </c>
      <c r="F12" s="56">
        <f t="shared" si="3"/>
        <v>1835.6599999999999</v>
      </c>
      <c r="G12" s="57">
        <v>452.25</v>
      </c>
      <c r="H12" s="64">
        <f t="shared" si="8"/>
        <v>382.39024390243907</v>
      </c>
      <c r="I12" s="64">
        <f t="shared" si="6"/>
        <v>64.60714285714285</v>
      </c>
      <c r="J12" s="64">
        <f t="shared" si="7"/>
        <v>5.2526132404181185</v>
      </c>
      <c r="K12" s="64">
        <f t="shared" si="4"/>
        <v>452.25</v>
      </c>
      <c r="L12" s="64">
        <f t="shared" si="5"/>
        <v>0</v>
      </c>
      <c r="M12" s="52">
        <v>0.0459</v>
      </c>
      <c r="N12" s="64">
        <f t="shared" si="9"/>
        <v>5.935609756097561</v>
      </c>
      <c r="O12" s="64">
        <f t="shared" si="10"/>
        <v>1.0028571428571427</v>
      </c>
      <c r="P12" s="64">
        <f t="shared" si="11"/>
        <v>0.08153310104529617</v>
      </c>
      <c r="Q12" s="64">
        <v>7.02</v>
      </c>
      <c r="R12" s="64"/>
      <c r="S12" s="64">
        <v>7.02</v>
      </c>
      <c r="T12" s="66">
        <f t="shared" si="12"/>
        <v>0.8455284552845529</v>
      </c>
      <c r="U12" s="66">
        <f t="shared" si="13"/>
        <v>0.14285714285714285</v>
      </c>
      <c r="V12" s="66">
        <f t="shared" si="14"/>
        <v>0.011614401858304297</v>
      </c>
      <c r="X12" s="61" t="s">
        <v>38</v>
      </c>
      <c r="Y12" s="62"/>
      <c r="Z12" s="62"/>
      <c r="AA12" s="70">
        <v>1456</v>
      </c>
      <c r="AB12" s="70">
        <v>246</v>
      </c>
      <c r="AC12" s="70">
        <v>20</v>
      </c>
      <c r="AD12" s="70">
        <f t="shared" si="15"/>
        <v>1722</v>
      </c>
      <c r="AE12" s="70">
        <v>621</v>
      </c>
      <c r="AF12" s="62">
        <v>1</v>
      </c>
      <c r="AG12" s="71">
        <v>2344</v>
      </c>
    </row>
    <row r="13" spans="2:33" ht="15.75" thickBot="1">
      <c r="B13" s="53">
        <v>39052</v>
      </c>
      <c r="C13" s="54">
        <f t="shared" si="0"/>
        <v>2006</v>
      </c>
      <c r="D13" s="54" t="str">
        <f t="shared" si="1"/>
        <v>Q4</v>
      </c>
      <c r="E13" s="55" t="str">
        <f t="shared" si="2"/>
        <v>2006 Q4</v>
      </c>
      <c r="F13" s="56">
        <f t="shared" si="3"/>
        <v>2287.91</v>
      </c>
      <c r="G13" s="57">
        <v>402.75</v>
      </c>
      <c r="H13" s="64">
        <f t="shared" si="8"/>
        <v>340.5365853658537</v>
      </c>
      <c r="I13" s="64">
        <f t="shared" si="6"/>
        <v>57.535714285714285</v>
      </c>
      <c r="J13" s="64">
        <f t="shared" si="7"/>
        <v>4.677700348432055</v>
      </c>
      <c r="K13" s="64">
        <f t="shared" si="4"/>
        <v>402.75</v>
      </c>
      <c r="L13" s="64">
        <f t="shared" si="5"/>
        <v>0</v>
      </c>
      <c r="M13" s="52">
        <v>0.0459</v>
      </c>
      <c r="N13" s="64">
        <f t="shared" si="9"/>
        <v>7.3983739837398375</v>
      </c>
      <c r="O13" s="64">
        <f t="shared" si="10"/>
        <v>1.25</v>
      </c>
      <c r="P13" s="64">
        <f t="shared" si="11"/>
        <v>0.1016260162601626</v>
      </c>
      <c r="Q13" s="64">
        <v>8.75</v>
      </c>
      <c r="R13" s="64" t="s">
        <v>39</v>
      </c>
      <c r="S13" s="64">
        <v>8.75</v>
      </c>
      <c r="T13" s="66">
        <f t="shared" si="12"/>
        <v>0.8456808199121523</v>
      </c>
      <c r="U13" s="66">
        <f t="shared" si="13"/>
        <v>0.14260614934114202</v>
      </c>
      <c r="V13" s="66">
        <f t="shared" si="14"/>
        <v>0.01171303074670571</v>
      </c>
      <c r="X13" s="61" t="s">
        <v>40</v>
      </c>
      <c r="Y13" s="62"/>
      <c r="Z13" s="62"/>
      <c r="AA13" s="70">
        <v>1444</v>
      </c>
      <c r="AB13" s="70">
        <v>243.5</v>
      </c>
      <c r="AC13" s="70">
        <v>20</v>
      </c>
      <c r="AD13" s="70">
        <f t="shared" si="15"/>
        <v>1707.5</v>
      </c>
      <c r="AE13" s="70">
        <v>620.5</v>
      </c>
      <c r="AF13" s="62">
        <v>1</v>
      </c>
      <c r="AG13" s="71">
        <v>2329</v>
      </c>
    </row>
    <row r="14" spans="2:33" ht="15.75" thickBot="1">
      <c r="B14" s="108" t="s">
        <v>41</v>
      </c>
      <c r="C14" s="108"/>
      <c r="D14" s="108"/>
      <c r="E14" s="108"/>
      <c r="F14" s="109"/>
      <c r="G14" s="57"/>
      <c r="H14" s="72">
        <f>SUM(H6:H13)</f>
        <v>2275.0295934959354</v>
      </c>
      <c r="I14" s="72">
        <f>SUM(I6:I13)</f>
        <v>384.38</v>
      </c>
      <c r="J14" s="72">
        <f>SUM(J6:J13)</f>
        <v>31.250406504065037</v>
      </c>
      <c r="K14" s="64"/>
      <c r="L14" s="64"/>
      <c r="N14" s="72">
        <f>SUM(N2:N13)</f>
        <v>23.44650406504065</v>
      </c>
      <c r="O14" s="72">
        <f>SUM(O2:O13)</f>
        <v>3.961428571428571</v>
      </c>
      <c r="P14" s="72">
        <f>SUM(P2:P13)</f>
        <v>0.32206736353077814</v>
      </c>
      <c r="Q14" s="72">
        <f>SUM(Q2:Q13)</f>
        <v>27.73</v>
      </c>
      <c r="R14" s="64">
        <f>SUM(H14:J14,N14:P14)</f>
        <v>2718.390000000001</v>
      </c>
      <c r="S14" s="72">
        <f>SUM(S2:S13)</f>
        <v>27.73</v>
      </c>
      <c r="T14" s="66">
        <f t="shared" si="12"/>
        <v>0.8474275576581904</v>
      </c>
      <c r="U14" s="66">
        <f t="shared" si="13"/>
        <v>0.1404494382022472</v>
      </c>
      <c r="V14" s="66">
        <f t="shared" si="14"/>
        <v>0.01212300413956239</v>
      </c>
      <c r="X14" s="61" t="s">
        <v>42</v>
      </c>
      <c r="Y14" s="62"/>
      <c r="Z14" s="62"/>
      <c r="AA14" s="70">
        <v>1433</v>
      </c>
      <c r="AB14" s="70">
        <v>237.5</v>
      </c>
      <c r="AC14" s="70">
        <v>20.5</v>
      </c>
      <c r="AD14" s="70">
        <f t="shared" si="15"/>
        <v>1691</v>
      </c>
      <c r="AE14" s="70">
        <v>619.5</v>
      </c>
      <c r="AF14" s="62">
        <v>1</v>
      </c>
      <c r="AG14" s="71">
        <v>2311.5</v>
      </c>
    </row>
    <row r="15" spans="2:33" ht="15.75" thickBot="1">
      <c r="B15" s="53">
        <v>39083</v>
      </c>
      <c r="C15" s="54">
        <f aca="true" t="shared" si="16" ref="C15:C26">YEAR(B15)</f>
        <v>2007</v>
      </c>
      <c r="D15" s="54" t="str">
        <f aca="true" t="shared" si="17" ref="D15:D26">IF(MONTH(B15)=0,"",IF(MONTH(B15)&lt;4,"Q1",IF(MONTH(B15)&lt;7,"Q2",IF(MONTH(B15)&lt;10,"Q3","Q4"))))</f>
        <v>Q1</v>
      </c>
      <c r="E15" s="55" t="str">
        <f aca="true" t="shared" si="18" ref="E15:E26">CONCATENATE(C15," ",D15)</f>
        <v>2007 Q1</v>
      </c>
      <c r="F15" s="56">
        <f>F13+G13</f>
        <v>2690.66</v>
      </c>
      <c r="G15" s="57">
        <v>453.99</v>
      </c>
      <c r="H15" s="64">
        <f aca="true" t="shared" si="19" ref="H15:H26">G15*($T$13)</f>
        <v>383.930635431918</v>
      </c>
      <c r="I15" s="64">
        <f aca="true" t="shared" si="20" ref="I15:I26">G15*($U$13)</f>
        <v>64.74176573938507</v>
      </c>
      <c r="J15" s="64">
        <f aca="true" t="shared" si="21" ref="J15:J26">G15*($V$13)</f>
        <v>5.317598828696926</v>
      </c>
      <c r="K15" s="64">
        <f aca="true" t="shared" si="22" ref="K15:K26">SUM(H15:J15)</f>
        <v>453.99</v>
      </c>
      <c r="L15" s="64">
        <f aca="true" t="shared" si="23" ref="L15:L26">K15-G15</f>
        <v>0</v>
      </c>
      <c r="M15" s="52">
        <v>0.0459</v>
      </c>
      <c r="N15" s="64">
        <f aca="true" t="shared" si="24" ref="N15:N26">Q15*($T$13)</f>
        <v>8.702055636896047</v>
      </c>
      <c r="O15" s="64">
        <f aca="true" t="shared" si="25" ref="O15:O26">Q15*($U$13)</f>
        <v>1.4674172767203513</v>
      </c>
      <c r="P15" s="64">
        <f aca="true" t="shared" si="26" ref="P15:P26">Q15*($V$13)</f>
        <v>0.12052708638360175</v>
      </c>
      <c r="Q15" s="64">
        <v>10.29</v>
      </c>
      <c r="R15" s="64"/>
      <c r="S15" s="64">
        <v>10.29</v>
      </c>
      <c r="T15" s="66">
        <f t="shared" si="12"/>
        <v>0.8468122786304605</v>
      </c>
      <c r="U15" s="66">
        <f t="shared" si="13"/>
        <v>0.141086186540732</v>
      </c>
      <c r="V15" s="66">
        <f t="shared" si="14"/>
        <v>0.012101534828807556</v>
      </c>
      <c r="X15" s="61" t="s">
        <v>43</v>
      </c>
      <c r="Y15" s="62"/>
      <c r="Z15" s="62"/>
      <c r="AA15" s="70">
        <v>1434.5</v>
      </c>
      <c r="AB15" s="70">
        <v>239</v>
      </c>
      <c r="AC15" s="70">
        <v>20.5</v>
      </c>
      <c r="AD15" s="70">
        <f t="shared" si="15"/>
        <v>1694</v>
      </c>
      <c r="AE15" s="70">
        <v>621</v>
      </c>
      <c r="AF15" s="62"/>
      <c r="AG15" s="71">
        <v>2315</v>
      </c>
    </row>
    <row r="16" spans="2:33" ht="15.75" thickBot="1">
      <c r="B16" s="53">
        <v>39114</v>
      </c>
      <c r="C16" s="54">
        <f t="shared" si="16"/>
        <v>2007</v>
      </c>
      <c r="D16" s="54" t="str">
        <f t="shared" si="17"/>
        <v>Q1</v>
      </c>
      <c r="E16" s="55" t="str">
        <f t="shared" si="18"/>
        <v>2007 Q1</v>
      </c>
      <c r="F16" s="56">
        <f aca="true" t="shared" si="27" ref="F16:F26">F15+G15</f>
        <v>3144.6499999999996</v>
      </c>
      <c r="G16" s="57">
        <v>397.5</v>
      </c>
      <c r="H16" s="64">
        <f t="shared" si="19"/>
        <v>336.1581259150805</v>
      </c>
      <c r="I16" s="64">
        <f t="shared" si="20"/>
        <v>56.68594436310395</v>
      </c>
      <c r="J16" s="64">
        <f t="shared" si="21"/>
        <v>4.65592972181552</v>
      </c>
      <c r="K16" s="64">
        <f t="shared" si="22"/>
        <v>397.5</v>
      </c>
      <c r="L16" s="64">
        <f t="shared" si="23"/>
        <v>0</v>
      </c>
      <c r="M16" s="52">
        <v>0.0459</v>
      </c>
      <c r="N16" s="64">
        <f t="shared" si="24"/>
        <v>10.173540263543192</v>
      </c>
      <c r="O16" s="64">
        <f t="shared" si="25"/>
        <v>1.7155519765739384</v>
      </c>
      <c r="P16" s="64">
        <f t="shared" si="26"/>
        <v>0.1409077598828697</v>
      </c>
      <c r="Q16" s="64">
        <v>12.03</v>
      </c>
      <c r="R16" s="64"/>
      <c r="S16" s="64">
        <v>12.03</v>
      </c>
      <c r="T16" s="66">
        <f t="shared" si="12"/>
        <v>0.8463493726284644</v>
      </c>
      <c r="U16" s="66">
        <f t="shared" si="13"/>
        <v>0.14120686757938905</v>
      </c>
      <c r="V16" s="66">
        <f t="shared" si="14"/>
        <v>0.012443759792146484</v>
      </c>
      <c r="X16" s="61" t="s">
        <v>44</v>
      </c>
      <c r="Y16" s="62"/>
      <c r="Z16" s="62"/>
      <c r="AA16" s="70">
        <v>1423.5</v>
      </c>
      <c r="AB16" s="70">
        <v>237.5</v>
      </c>
      <c r="AC16" s="70">
        <v>20.92952702157503</v>
      </c>
      <c r="AD16" s="70">
        <f t="shared" si="15"/>
        <v>1681.929527021575</v>
      </c>
      <c r="AE16" s="70">
        <v>623</v>
      </c>
      <c r="AF16" s="62"/>
      <c r="AG16" s="71">
        <v>2304.9295270215753</v>
      </c>
    </row>
    <row r="17" spans="2:33" ht="15.75" thickBot="1">
      <c r="B17" s="53">
        <v>39142</v>
      </c>
      <c r="C17" s="54">
        <f t="shared" si="16"/>
        <v>2007</v>
      </c>
      <c r="D17" s="54" t="str">
        <f t="shared" si="17"/>
        <v>Q1</v>
      </c>
      <c r="E17" s="55" t="str">
        <f t="shared" si="18"/>
        <v>2007 Q1</v>
      </c>
      <c r="F17" s="56">
        <f t="shared" si="27"/>
        <v>3542.1499999999996</v>
      </c>
      <c r="G17" s="57">
        <v>452.25</v>
      </c>
      <c r="H17" s="64">
        <f t="shared" si="19"/>
        <v>382.45915080527084</v>
      </c>
      <c r="I17" s="64">
        <f t="shared" si="20"/>
        <v>64.49363103953148</v>
      </c>
      <c r="J17" s="64">
        <f t="shared" si="21"/>
        <v>5.297218155197657</v>
      </c>
      <c r="K17" s="64">
        <f t="shared" si="22"/>
        <v>452.24999999999994</v>
      </c>
      <c r="L17" s="64">
        <f t="shared" si="23"/>
        <v>0</v>
      </c>
      <c r="M17" s="52">
        <v>0.0459</v>
      </c>
      <c r="N17" s="64">
        <f t="shared" si="24"/>
        <v>11.458975109809664</v>
      </c>
      <c r="O17" s="64">
        <f t="shared" si="25"/>
        <v>1.9323133235724745</v>
      </c>
      <c r="P17" s="64">
        <f t="shared" si="26"/>
        <v>0.1587115666178624</v>
      </c>
      <c r="Q17" s="64">
        <v>13.55</v>
      </c>
      <c r="R17" s="64"/>
      <c r="S17" s="64">
        <v>13.55</v>
      </c>
      <c r="T17" s="66">
        <f t="shared" si="12"/>
        <v>0.848524685893445</v>
      </c>
      <c r="U17" s="66">
        <f t="shared" si="13"/>
        <v>0.13899957097913646</v>
      </c>
      <c r="V17" s="66">
        <f t="shared" si="14"/>
        <v>0.012475743127418561</v>
      </c>
      <c r="X17" s="61" t="s">
        <v>45</v>
      </c>
      <c r="Y17" s="62"/>
      <c r="Z17" s="62"/>
      <c r="AA17" s="70">
        <v>1423.5</v>
      </c>
      <c r="AB17" s="70">
        <v>233.18813533451885</v>
      </c>
      <c r="AC17" s="70">
        <v>20.92952702157503</v>
      </c>
      <c r="AD17" s="70">
        <f t="shared" si="15"/>
        <v>1677.617662356094</v>
      </c>
      <c r="AE17" s="70">
        <v>623.2145810432548</v>
      </c>
      <c r="AF17" s="62"/>
      <c r="AG17" s="71">
        <v>2300.832243399349</v>
      </c>
    </row>
    <row r="18" spans="2:33" ht="15.75" thickBot="1">
      <c r="B18" s="53">
        <v>39173</v>
      </c>
      <c r="C18" s="54">
        <f t="shared" si="16"/>
        <v>2007</v>
      </c>
      <c r="D18" s="54" t="str">
        <f t="shared" si="17"/>
        <v>Q2</v>
      </c>
      <c r="E18" s="55" t="str">
        <f t="shared" si="18"/>
        <v>2007 Q2</v>
      </c>
      <c r="F18" s="56">
        <f t="shared" si="27"/>
        <v>3994.3999999999996</v>
      </c>
      <c r="G18" s="57">
        <v>404.5</v>
      </c>
      <c r="H18" s="64">
        <f t="shared" si="19"/>
        <v>342.0778916544656</v>
      </c>
      <c r="I18" s="64">
        <f t="shared" si="20"/>
        <v>57.684187408491944</v>
      </c>
      <c r="J18" s="64">
        <f t="shared" si="21"/>
        <v>4.7379209370424595</v>
      </c>
      <c r="K18" s="64">
        <f t="shared" si="22"/>
        <v>404.5</v>
      </c>
      <c r="L18" s="64">
        <f t="shared" si="23"/>
        <v>0</v>
      </c>
      <c r="M18" s="52">
        <v>0.0459</v>
      </c>
      <c r="N18" s="64">
        <f t="shared" si="24"/>
        <v>12.922002928257687</v>
      </c>
      <c r="O18" s="64">
        <f t="shared" si="25"/>
        <v>2.17902196193265</v>
      </c>
      <c r="P18" s="64">
        <f t="shared" si="26"/>
        <v>0.17897510980966325</v>
      </c>
      <c r="Q18" s="64">
        <v>15.28</v>
      </c>
      <c r="R18" s="64"/>
      <c r="S18" s="64">
        <v>15.28</v>
      </c>
      <c r="T18" s="66">
        <f t="shared" si="12"/>
        <v>0.8507071193211458</v>
      </c>
      <c r="U18" s="66">
        <f t="shared" si="13"/>
        <v>0.14041272314410436</v>
      </c>
      <c r="V18" s="66">
        <f t="shared" si="14"/>
        <v>0.008880157534749852</v>
      </c>
      <c r="X18" s="73" t="s">
        <v>46</v>
      </c>
      <c r="Y18" s="74"/>
      <c r="Z18" s="74"/>
      <c r="AA18" s="75">
        <v>1423.5</v>
      </c>
      <c r="AB18" s="75">
        <v>234.95455351911528</v>
      </c>
      <c r="AC18" s="75">
        <v>14.859290540325684</v>
      </c>
      <c r="AD18" s="75">
        <f t="shared" si="15"/>
        <v>1673.313844059441</v>
      </c>
      <c r="AE18" s="75">
        <v>623.4292359950557</v>
      </c>
      <c r="AF18" s="74"/>
      <c r="AG18" s="76">
        <v>2296.7430800544967</v>
      </c>
    </row>
    <row r="19" spans="2:19" ht="15.75" thickBot="1">
      <c r="B19" s="53">
        <v>39203</v>
      </c>
      <c r="C19" s="54">
        <f t="shared" si="16"/>
        <v>2007</v>
      </c>
      <c r="D19" s="54" t="str">
        <f t="shared" si="17"/>
        <v>Q2</v>
      </c>
      <c r="E19" s="55" t="str">
        <f t="shared" si="18"/>
        <v>2007 Q2</v>
      </c>
      <c r="F19" s="56">
        <f t="shared" si="27"/>
        <v>4398.9</v>
      </c>
      <c r="G19" s="57">
        <v>452.75</v>
      </c>
      <c r="H19" s="64">
        <f t="shared" si="19"/>
        <v>382.88199121522695</v>
      </c>
      <c r="I19" s="64">
        <f t="shared" si="20"/>
        <v>64.56493411420205</v>
      </c>
      <c r="J19" s="64">
        <f t="shared" si="21"/>
        <v>5.303074670571011</v>
      </c>
      <c r="K19" s="64">
        <f t="shared" si="22"/>
        <v>452.75</v>
      </c>
      <c r="L19" s="64">
        <f t="shared" si="23"/>
        <v>0</v>
      </c>
      <c r="M19" s="52">
        <v>0.0459</v>
      </c>
      <c r="N19" s="64">
        <f t="shared" si="24"/>
        <v>14.232808199121521</v>
      </c>
      <c r="O19" s="64">
        <f t="shared" si="25"/>
        <v>2.4000614934114197</v>
      </c>
      <c r="P19" s="64">
        <f t="shared" si="26"/>
        <v>0.1971303074670571</v>
      </c>
      <c r="Q19" s="64">
        <v>16.83</v>
      </c>
      <c r="R19" s="64"/>
      <c r="S19" s="64">
        <v>16.83</v>
      </c>
    </row>
    <row r="20" spans="2:19" ht="15.75" thickBot="1">
      <c r="B20" s="53">
        <v>39234</v>
      </c>
      <c r="C20" s="54">
        <f t="shared" si="16"/>
        <v>2007</v>
      </c>
      <c r="D20" s="54" t="str">
        <f t="shared" si="17"/>
        <v>Q2</v>
      </c>
      <c r="E20" s="55" t="str">
        <f t="shared" si="18"/>
        <v>2007 Q2</v>
      </c>
      <c r="F20" s="56">
        <f t="shared" si="27"/>
        <v>4851.65</v>
      </c>
      <c r="G20" s="57">
        <v>403.87</v>
      </c>
      <c r="H20" s="64">
        <f t="shared" si="19"/>
        <v>341.54511273792093</v>
      </c>
      <c r="I20" s="64">
        <f t="shared" si="20"/>
        <v>57.594345534407026</v>
      </c>
      <c r="J20" s="64">
        <f t="shared" si="21"/>
        <v>4.730541727672035</v>
      </c>
      <c r="K20" s="64">
        <f t="shared" si="22"/>
        <v>403.87</v>
      </c>
      <c r="L20" s="64">
        <f t="shared" si="23"/>
        <v>0</v>
      </c>
      <c r="M20" s="52">
        <v>0.0459</v>
      </c>
      <c r="N20" s="64">
        <f t="shared" si="24"/>
        <v>15.695836017569546</v>
      </c>
      <c r="O20" s="64">
        <f t="shared" si="25"/>
        <v>2.6467701317715955</v>
      </c>
      <c r="P20" s="64">
        <f t="shared" si="26"/>
        <v>0.21739385065885797</v>
      </c>
      <c r="Q20" s="64">
        <v>18.56</v>
      </c>
      <c r="R20" s="64"/>
      <c r="S20" s="64">
        <v>18.56</v>
      </c>
    </row>
    <row r="21" spans="2:19" ht="15.75" thickBot="1">
      <c r="B21" s="53">
        <v>39264</v>
      </c>
      <c r="C21" s="54">
        <f t="shared" si="16"/>
        <v>2007</v>
      </c>
      <c r="D21" s="54" t="str">
        <f t="shared" si="17"/>
        <v>Q3</v>
      </c>
      <c r="E21" s="55" t="str">
        <f t="shared" si="18"/>
        <v>2007 Q3</v>
      </c>
      <c r="F21" s="56">
        <f t="shared" si="27"/>
        <v>5255.5199999999995</v>
      </c>
      <c r="G21" s="57">
        <v>454</v>
      </c>
      <c r="H21" s="64">
        <f t="shared" si="19"/>
        <v>383.93909224011713</v>
      </c>
      <c r="I21" s="64">
        <f t="shared" si="20"/>
        <v>64.74319180087848</v>
      </c>
      <c r="J21" s="64">
        <f t="shared" si="21"/>
        <v>5.317715959004392</v>
      </c>
      <c r="K21" s="64">
        <f t="shared" si="22"/>
        <v>454</v>
      </c>
      <c r="L21" s="64">
        <f t="shared" si="23"/>
        <v>0</v>
      </c>
      <c r="M21" s="52">
        <v>0.0459</v>
      </c>
      <c r="N21" s="64">
        <f t="shared" si="24"/>
        <v>16.99818448023426</v>
      </c>
      <c r="O21" s="64">
        <f t="shared" si="25"/>
        <v>2.866383601756955</v>
      </c>
      <c r="P21" s="64">
        <f t="shared" si="26"/>
        <v>0.2354319180087848</v>
      </c>
      <c r="Q21" s="64">
        <v>20.1</v>
      </c>
      <c r="R21" s="64"/>
      <c r="S21" s="64">
        <v>20.1</v>
      </c>
    </row>
    <row r="22" spans="2:19" ht="15.75" thickBot="1">
      <c r="B22" s="53">
        <v>39295</v>
      </c>
      <c r="C22" s="54">
        <f t="shared" si="16"/>
        <v>2007</v>
      </c>
      <c r="D22" s="54" t="str">
        <f t="shared" si="17"/>
        <v>Q3</v>
      </c>
      <c r="E22" s="55" t="str">
        <f t="shared" si="18"/>
        <v>2007 Q3</v>
      </c>
      <c r="F22" s="56">
        <f t="shared" si="27"/>
        <v>5709.5199999999995</v>
      </c>
      <c r="G22" s="57">
        <v>403</v>
      </c>
      <c r="H22" s="64">
        <f t="shared" si="19"/>
        <v>340.8093704245974</v>
      </c>
      <c r="I22" s="64">
        <f t="shared" si="20"/>
        <v>57.470278184480236</v>
      </c>
      <c r="J22" s="64">
        <f t="shared" si="21"/>
        <v>4.720351390922401</v>
      </c>
      <c r="K22" s="64">
        <f t="shared" si="22"/>
        <v>403.00000000000006</v>
      </c>
      <c r="L22" s="64">
        <f t="shared" si="23"/>
        <v>0</v>
      </c>
      <c r="M22" s="52">
        <v>0.0459</v>
      </c>
      <c r="N22" s="64">
        <f t="shared" si="24"/>
        <v>18.469669106881405</v>
      </c>
      <c r="O22" s="64">
        <f t="shared" si="25"/>
        <v>3.1145183016105418</v>
      </c>
      <c r="P22" s="64">
        <f t="shared" si="26"/>
        <v>0.2558125915080527</v>
      </c>
      <c r="Q22" s="64">
        <v>21.84</v>
      </c>
      <c r="R22" s="64"/>
      <c r="S22" s="64">
        <v>21.84</v>
      </c>
    </row>
    <row r="23" spans="2:19" ht="15.75" thickBot="1">
      <c r="B23" s="53">
        <v>39326</v>
      </c>
      <c r="C23" s="54">
        <f t="shared" si="16"/>
        <v>2007</v>
      </c>
      <c r="D23" s="54" t="str">
        <f t="shared" si="17"/>
        <v>Q3</v>
      </c>
      <c r="E23" s="55" t="str">
        <f t="shared" si="18"/>
        <v>2007 Q3</v>
      </c>
      <c r="F23" s="56">
        <f t="shared" si="27"/>
        <v>6112.5199999999995</v>
      </c>
      <c r="G23" s="57">
        <v>450.5</v>
      </c>
      <c r="H23" s="64">
        <f t="shared" si="19"/>
        <v>380.9792093704246</v>
      </c>
      <c r="I23" s="64">
        <f t="shared" si="20"/>
        <v>64.24407027818448</v>
      </c>
      <c r="J23" s="64">
        <f t="shared" si="21"/>
        <v>5.276720351390923</v>
      </c>
      <c r="K23" s="64">
        <f t="shared" si="22"/>
        <v>450.5</v>
      </c>
      <c r="L23" s="64">
        <f t="shared" si="23"/>
        <v>0</v>
      </c>
      <c r="M23" s="52">
        <v>0.0459</v>
      </c>
      <c r="N23" s="64">
        <f t="shared" si="24"/>
        <v>19.77201756954612</v>
      </c>
      <c r="O23" s="64">
        <f t="shared" si="25"/>
        <v>3.3341317715959002</v>
      </c>
      <c r="P23" s="64">
        <f t="shared" si="26"/>
        <v>0.2738506588579795</v>
      </c>
      <c r="Q23" s="64">
        <v>23.38</v>
      </c>
      <c r="R23" s="64"/>
      <c r="S23" s="64">
        <v>23.38</v>
      </c>
    </row>
    <row r="24" spans="2:19" ht="15.75" thickBot="1">
      <c r="B24" s="53">
        <v>39356</v>
      </c>
      <c r="C24" s="54">
        <f t="shared" si="16"/>
        <v>2007</v>
      </c>
      <c r="D24" s="54" t="str">
        <f t="shared" si="17"/>
        <v>Q4</v>
      </c>
      <c r="E24" s="55" t="str">
        <f t="shared" si="18"/>
        <v>2007 Q4</v>
      </c>
      <c r="F24" s="56">
        <f t="shared" si="27"/>
        <v>6563.0199999999995</v>
      </c>
      <c r="G24" s="57">
        <v>404</v>
      </c>
      <c r="H24" s="64">
        <f t="shared" si="19"/>
        <v>341.65505124450954</v>
      </c>
      <c r="I24" s="64">
        <f t="shared" si="20"/>
        <v>57.61288433382138</v>
      </c>
      <c r="J24" s="64">
        <f t="shared" si="21"/>
        <v>4.732064421669107</v>
      </c>
      <c r="K24" s="64">
        <f t="shared" si="22"/>
        <v>404.00000000000006</v>
      </c>
      <c r="L24" s="64">
        <f t="shared" si="23"/>
        <v>0</v>
      </c>
      <c r="M24" s="52">
        <v>0.0514</v>
      </c>
      <c r="N24" s="64">
        <f t="shared" si="24"/>
        <v>23.7720878477306</v>
      </c>
      <c r="O24" s="64">
        <f t="shared" si="25"/>
        <v>4.008658857979502</v>
      </c>
      <c r="P24" s="64">
        <f t="shared" si="26"/>
        <v>0.3292532942898975</v>
      </c>
      <c r="Q24" s="64">
        <v>28.11</v>
      </c>
      <c r="R24" s="64"/>
      <c r="S24" s="64">
        <v>28.11</v>
      </c>
    </row>
    <row r="25" spans="2:19" ht="15.75" thickBot="1">
      <c r="B25" s="53">
        <v>39387</v>
      </c>
      <c r="C25" s="54">
        <f t="shared" si="16"/>
        <v>2007</v>
      </c>
      <c r="D25" s="54" t="str">
        <f t="shared" si="17"/>
        <v>Q4</v>
      </c>
      <c r="E25" s="55" t="str">
        <f t="shared" si="18"/>
        <v>2007 Q4</v>
      </c>
      <c r="F25" s="56">
        <f t="shared" si="27"/>
        <v>6967.0199999999995</v>
      </c>
      <c r="G25" s="57">
        <v>453.75</v>
      </c>
      <c r="H25" s="64">
        <f t="shared" si="19"/>
        <v>383.7276720351391</v>
      </c>
      <c r="I25" s="64">
        <f t="shared" si="20"/>
        <v>64.7075402635432</v>
      </c>
      <c r="J25" s="64">
        <f t="shared" si="21"/>
        <v>5.314787701317716</v>
      </c>
      <c r="K25" s="64">
        <f t="shared" si="22"/>
        <v>453.75</v>
      </c>
      <c r="L25" s="64">
        <f t="shared" si="23"/>
        <v>0</v>
      </c>
      <c r="M25" s="52">
        <v>0.0514</v>
      </c>
      <c r="N25" s="64">
        <f t="shared" si="24"/>
        <v>25.235115666178622</v>
      </c>
      <c r="O25" s="64">
        <f t="shared" si="25"/>
        <v>4.2553674963396775</v>
      </c>
      <c r="P25" s="64">
        <f t="shared" si="26"/>
        <v>0.3495168374816984</v>
      </c>
      <c r="Q25" s="64">
        <v>29.84</v>
      </c>
      <c r="R25" s="64" t="s">
        <v>39</v>
      </c>
      <c r="S25" s="64">
        <v>29.84</v>
      </c>
    </row>
    <row r="26" spans="2:19" ht="15.75" thickBot="1">
      <c r="B26" s="53">
        <v>39417</v>
      </c>
      <c r="C26" s="54">
        <f t="shared" si="16"/>
        <v>2007</v>
      </c>
      <c r="D26" s="54" t="str">
        <f t="shared" si="17"/>
        <v>Q4</v>
      </c>
      <c r="E26" s="55" t="str">
        <f t="shared" si="18"/>
        <v>2007 Q4</v>
      </c>
      <c r="F26" s="56">
        <f t="shared" si="27"/>
        <v>7420.7699999999995</v>
      </c>
      <c r="G26" s="57">
        <v>403.25</v>
      </c>
      <c r="H26" s="64">
        <f t="shared" si="19"/>
        <v>341.0207906295754</v>
      </c>
      <c r="I26" s="64">
        <f t="shared" si="20"/>
        <v>57.50592972181552</v>
      </c>
      <c r="J26" s="64">
        <f t="shared" si="21"/>
        <v>4.723279648609077</v>
      </c>
      <c r="K26" s="64">
        <f t="shared" si="22"/>
        <v>403.25</v>
      </c>
      <c r="L26" s="64">
        <f t="shared" si="23"/>
        <v>0</v>
      </c>
      <c r="M26" s="52">
        <v>0.0514</v>
      </c>
      <c r="N26" s="64">
        <f t="shared" si="24"/>
        <v>26.88419326500732</v>
      </c>
      <c r="O26" s="64">
        <f t="shared" si="25"/>
        <v>4.533449487554905</v>
      </c>
      <c r="P26" s="64">
        <f t="shared" si="26"/>
        <v>0.37235724743777454</v>
      </c>
      <c r="Q26" s="64">
        <v>31.79</v>
      </c>
      <c r="R26" s="64"/>
      <c r="S26" s="64">
        <v>31.79</v>
      </c>
    </row>
    <row r="27" spans="2:19" ht="15.75" thickBot="1">
      <c r="B27" s="100" t="s">
        <v>47</v>
      </c>
      <c r="C27" s="100"/>
      <c r="D27" s="100"/>
      <c r="E27" s="100"/>
      <c r="F27" s="101"/>
      <c r="G27" s="57"/>
      <c r="H27" s="72">
        <f>SUM(H15:H26)</f>
        <v>4341.184093704246</v>
      </c>
      <c r="I27" s="72">
        <f>SUM(I15:I26)</f>
        <v>732.0487027818448</v>
      </c>
      <c r="J27" s="72">
        <f>SUM(J15:J26)</f>
        <v>60.12720351390922</v>
      </c>
      <c r="K27" s="64"/>
      <c r="L27" s="64"/>
      <c r="N27" s="72">
        <f>SUM(N15:N26)</f>
        <v>204.31648609077598</v>
      </c>
      <c r="O27" s="72">
        <f>SUM(O15:O26)</f>
        <v>34.45364568081991</v>
      </c>
      <c r="P27" s="72">
        <f>SUM(P15:P26)</f>
        <v>2.8298682284040995</v>
      </c>
      <c r="Q27" s="72">
        <f>SUM(Q15:Q26)</f>
        <v>241.60000000000002</v>
      </c>
      <c r="R27" s="64">
        <f>SUM(H27:J27,N27:P27)</f>
        <v>5374.96</v>
      </c>
      <c r="S27" s="72">
        <f>SUM(S15:S26)</f>
        <v>241.60000000000002</v>
      </c>
    </row>
    <row r="28" spans="2:19" ht="15.75" thickBot="1">
      <c r="B28" s="53">
        <v>39448</v>
      </c>
      <c r="C28" s="54">
        <f aca="true" t="shared" si="28" ref="C28:C39">YEAR(B28)</f>
        <v>2008</v>
      </c>
      <c r="D28" s="54" t="str">
        <f aca="true" t="shared" si="29" ref="D28:D39">IF(MONTH(B28)=0,"",IF(MONTH(B28)&lt;4,"Q1",IF(MONTH(B28)&lt;7,"Q2",IF(MONTH(B28)&lt;10,"Q3","Q4"))))</f>
        <v>Q1</v>
      </c>
      <c r="E28" s="55" t="str">
        <f aca="true" t="shared" si="30" ref="E28:E39">CONCATENATE(C28," ",D28)</f>
        <v>2008 Q1</v>
      </c>
      <c r="F28" s="56">
        <f>F26+G26</f>
        <v>7824.0199999999995</v>
      </c>
      <c r="G28" s="57">
        <v>448.5</v>
      </c>
      <c r="H28" s="64">
        <f aca="true" t="shared" si="31" ref="H28:H39">G28*($T$14)</f>
        <v>380.0712596096984</v>
      </c>
      <c r="I28" s="64">
        <f aca="true" t="shared" si="32" ref="I28:I39">G28*($U$14)</f>
        <v>62.99157303370787</v>
      </c>
      <c r="J28" s="64">
        <f aca="true" t="shared" si="33" ref="J28:J39">G28*($V$14)</f>
        <v>5.437167356593732</v>
      </c>
      <c r="K28" s="64">
        <f aca="true" t="shared" si="34" ref="K28:K39">SUM(H28:J28)</f>
        <v>448.5</v>
      </c>
      <c r="L28" s="64">
        <f aca="true" t="shared" si="35" ref="L28:L39">K28-G28</f>
        <v>0</v>
      </c>
      <c r="M28" s="52">
        <v>0.0514</v>
      </c>
      <c r="N28" s="64">
        <f aca="true" t="shared" si="36" ref="N28:N39">Q28*($T$14)</f>
        <v>28.39729745712596</v>
      </c>
      <c r="O28" s="64">
        <f aca="true" t="shared" si="37" ref="O28:O39">Q28*($U$14)</f>
        <v>4.706460674157303</v>
      </c>
      <c r="P28" s="64">
        <f aca="true" t="shared" si="38" ref="P28:P39">Q28*($V$14)</f>
        <v>0.4062418687167356</v>
      </c>
      <c r="Q28" s="64">
        <v>33.51</v>
      </c>
      <c r="R28" s="64"/>
      <c r="S28" s="64">
        <v>33.51</v>
      </c>
    </row>
    <row r="29" spans="2:19" ht="15.75" thickBot="1">
      <c r="B29" s="53">
        <v>39479</v>
      </c>
      <c r="C29" s="54">
        <f t="shared" si="28"/>
        <v>2008</v>
      </c>
      <c r="D29" s="54" t="str">
        <f t="shared" si="29"/>
        <v>Q1</v>
      </c>
      <c r="E29" s="55" t="str">
        <f t="shared" si="30"/>
        <v>2008 Q1</v>
      </c>
      <c r="F29" s="56">
        <f aca="true" t="shared" si="39" ref="F29:F39">F28+G28</f>
        <v>8272.52</v>
      </c>
      <c r="G29" s="57">
        <v>403</v>
      </c>
      <c r="H29" s="64">
        <f t="shared" si="31"/>
        <v>341.51330573625074</v>
      </c>
      <c r="I29" s="64">
        <f t="shared" si="32"/>
        <v>56.60112359550562</v>
      </c>
      <c r="J29" s="64">
        <f t="shared" si="33"/>
        <v>4.885570668243643</v>
      </c>
      <c r="K29" s="64">
        <f t="shared" si="34"/>
        <v>403</v>
      </c>
      <c r="L29" s="64">
        <f t="shared" si="35"/>
        <v>0</v>
      </c>
      <c r="M29" s="52">
        <v>0.0514</v>
      </c>
      <c r="N29" s="64">
        <f t="shared" si="36"/>
        <v>30.024358367829688</v>
      </c>
      <c r="O29" s="64">
        <f t="shared" si="37"/>
        <v>4.9761235955056184</v>
      </c>
      <c r="P29" s="64">
        <f t="shared" si="38"/>
        <v>0.42951803666469546</v>
      </c>
      <c r="Q29" s="64">
        <v>35.43</v>
      </c>
      <c r="R29" s="64"/>
      <c r="S29" s="64">
        <v>35.43</v>
      </c>
    </row>
    <row r="30" spans="2:19" ht="15.75" thickBot="1">
      <c r="B30" s="53">
        <v>39508</v>
      </c>
      <c r="C30" s="54">
        <f t="shared" si="28"/>
        <v>2008</v>
      </c>
      <c r="D30" s="54" t="str">
        <f t="shared" si="29"/>
        <v>Q1</v>
      </c>
      <c r="E30" s="55" t="str">
        <f t="shared" si="30"/>
        <v>2008 Q1</v>
      </c>
      <c r="F30" s="56">
        <f t="shared" si="39"/>
        <v>8675.52</v>
      </c>
      <c r="G30" s="57">
        <v>451</v>
      </c>
      <c r="H30" s="64">
        <f t="shared" si="31"/>
        <v>382.1898285038439</v>
      </c>
      <c r="I30" s="64">
        <f t="shared" si="32"/>
        <v>63.342696629213485</v>
      </c>
      <c r="J30" s="64">
        <f t="shared" si="33"/>
        <v>5.467474866942638</v>
      </c>
      <c r="K30" s="64">
        <f t="shared" si="34"/>
        <v>451</v>
      </c>
      <c r="L30" s="64">
        <f t="shared" si="35"/>
        <v>0</v>
      </c>
      <c r="M30" s="52">
        <v>0.0514</v>
      </c>
      <c r="N30" s="64">
        <f t="shared" si="36"/>
        <v>31.490408042578355</v>
      </c>
      <c r="O30" s="64">
        <f t="shared" si="37"/>
        <v>5.219101123595506</v>
      </c>
      <c r="P30" s="64">
        <f t="shared" si="38"/>
        <v>0.45049083382613836</v>
      </c>
      <c r="Q30" s="64">
        <v>37.16</v>
      </c>
      <c r="R30" s="64"/>
      <c r="S30" s="64">
        <v>37.16</v>
      </c>
    </row>
    <row r="31" spans="2:19" ht="15.75" thickBot="1">
      <c r="B31" s="53">
        <v>39539</v>
      </c>
      <c r="C31" s="54">
        <f t="shared" si="28"/>
        <v>2008</v>
      </c>
      <c r="D31" s="54" t="str">
        <f t="shared" si="29"/>
        <v>Q2</v>
      </c>
      <c r="E31" s="55" t="str">
        <f t="shared" si="30"/>
        <v>2008 Q2</v>
      </c>
      <c r="F31" s="56">
        <f t="shared" si="39"/>
        <v>9126.52</v>
      </c>
      <c r="G31" s="57">
        <v>401.75</v>
      </c>
      <c r="H31" s="64">
        <f t="shared" si="31"/>
        <v>340.454021289178</v>
      </c>
      <c r="I31" s="64">
        <f t="shared" si="32"/>
        <v>56.42556179775281</v>
      </c>
      <c r="J31" s="64">
        <f t="shared" si="33"/>
        <v>4.87041691306919</v>
      </c>
      <c r="K31" s="64">
        <f t="shared" si="34"/>
        <v>401.75</v>
      </c>
      <c r="L31" s="64">
        <f t="shared" si="35"/>
        <v>0</v>
      </c>
      <c r="M31" s="52">
        <v>0.0408</v>
      </c>
      <c r="N31" s="64">
        <f t="shared" si="36"/>
        <v>26.29567711413365</v>
      </c>
      <c r="O31" s="64">
        <f t="shared" si="37"/>
        <v>4.35814606741573</v>
      </c>
      <c r="P31" s="64">
        <f t="shared" si="38"/>
        <v>0.37617681845062095</v>
      </c>
      <c r="Q31" s="64">
        <v>31.03</v>
      </c>
      <c r="R31" s="64"/>
      <c r="S31" s="64">
        <v>31.03</v>
      </c>
    </row>
    <row r="32" spans="2:19" ht="15.75" thickBot="1">
      <c r="B32" s="53">
        <v>39569</v>
      </c>
      <c r="C32" s="54">
        <f t="shared" si="28"/>
        <v>2008</v>
      </c>
      <c r="D32" s="54" t="str">
        <f t="shared" si="29"/>
        <v>Q2</v>
      </c>
      <c r="E32" s="55" t="str">
        <f t="shared" si="30"/>
        <v>2008 Q2</v>
      </c>
      <c r="F32" s="56">
        <f t="shared" si="39"/>
        <v>9528.27</v>
      </c>
      <c r="G32" s="57">
        <v>450.5</v>
      </c>
      <c r="H32" s="64">
        <f t="shared" si="31"/>
        <v>381.7661147250148</v>
      </c>
      <c r="I32" s="64">
        <f t="shared" si="32"/>
        <v>63.272471910112365</v>
      </c>
      <c r="J32" s="64">
        <f t="shared" si="33"/>
        <v>5.461413364872857</v>
      </c>
      <c r="K32" s="64">
        <f t="shared" si="34"/>
        <v>450.5</v>
      </c>
      <c r="L32" s="64">
        <f t="shared" si="35"/>
        <v>0</v>
      </c>
      <c r="M32" s="52">
        <v>0.0408</v>
      </c>
      <c r="N32" s="64">
        <f t="shared" si="36"/>
        <v>27.45665286812537</v>
      </c>
      <c r="O32" s="64">
        <f t="shared" si="37"/>
        <v>4.550561797752809</v>
      </c>
      <c r="P32" s="64">
        <f t="shared" si="38"/>
        <v>0.3927853341218214</v>
      </c>
      <c r="Q32" s="64">
        <v>32.4</v>
      </c>
      <c r="R32" s="64"/>
      <c r="S32" s="64">
        <v>32.4</v>
      </c>
    </row>
    <row r="33" spans="2:19" ht="15.75" thickBot="1">
      <c r="B33" s="53">
        <v>39600</v>
      </c>
      <c r="C33" s="54">
        <f t="shared" si="28"/>
        <v>2008</v>
      </c>
      <c r="D33" s="54" t="str">
        <f t="shared" si="29"/>
        <v>Q2</v>
      </c>
      <c r="E33" s="55" t="str">
        <f t="shared" si="30"/>
        <v>2008 Q2</v>
      </c>
      <c r="F33" s="56">
        <f t="shared" si="39"/>
        <v>9978.77</v>
      </c>
      <c r="G33" s="57">
        <v>404.5</v>
      </c>
      <c r="H33" s="64">
        <f t="shared" si="31"/>
        <v>342.78444707273803</v>
      </c>
      <c r="I33" s="64">
        <f t="shared" si="32"/>
        <v>56.81179775280899</v>
      </c>
      <c r="J33" s="64">
        <f t="shared" si="33"/>
        <v>4.903755174452987</v>
      </c>
      <c r="K33" s="64">
        <f t="shared" si="34"/>
        <v>404.50000000000006</v>
      </c>
      <c r="L33" s="64">
        <f t="shared" si="35"/>
        <v>0</v>
      </c>
      <c r="M33" s="52">
        <v>0.0408</v>
      </c>
      <c r="N33" s="64">
        <f t="shared" si="36"/>
        <v>28.753217031342402</v>
      </c>
      <c r="O33" s="64">
        <f t="shared" si="37"/>
        <v>4.765449438202247</v>
      </c>
      <c r="P33" s="64">
        <f t="shared" si="38"/>
        <v>0.41133353045535187</v>
      </c>
      <c r="Q33" s="64">
        <v>33.93</v>
      </c>
      <c r="R33" s="64"/>
      <c r="S33" s="64">
        <v>33.93</v>
      </c>
    </row>
    <row r="34" spans="2:19" ht="15.75" thickBot="1">
      <c r="B34" s="53">
        <v>39630</v>
      </c>
      <c r="C34" s="54">
        <f t="shared" si="28"/>
        <v>2008</v>
      </c>
      <c r="D34" s="54" t="str">
        <f t="shared" si="29"/>
        <v>Q3</v>
      </c>
      <c r="E34" s="55" t="str">
        <f t="shared" si="30"/>
        <v>2008 Q3</v>
      </c>
      <c r="F34" s="56">
        <f t="shared" si="39"/>
        <v>10383.27</v>
      </c>
      <c r="G34" s="57">
        <v>449.5</v>
      </c>
      <c r="H34" s="64">
        <f t="shared" si="31"/>
        <v>380.9186871673566</v>
      </c>
      <c r="I34" s="64">
        <f t="shared" si="32"/>
        <v>63.13202247191012</v>
      </c>
      <c r="J34" s="64">
        <f t="shared" si="33"/>
        <v>5.449290360733294</v>
      </c>
      <c r="K34" s="64">
        <f t="shared" si="34"/>
        <v>449.50000000000006</v>
      </c>
      <c r="L34" s="64">
        <f t="shared" si="35"/>
        <v>0</v>
      </c>
      <c r="M34" s="52">
        <v>0.0335</v>
      </c>
      <c r="N34" s="64">
        <f t="shared" si="36"/>
        <v>24.56692489651094</v>
      </c>
      <c r="O34" s="64">
        <f t="shared" si="37"/>
        <v>4.071629213483146</v>
      </c>
      <c r="P34" s="64">
        <f t="shared" si="38"/>
        <v>0.35144589000591364</v>
      </c>
      <c r="Q34" s="64">
        <v>28.99</v>
      </c>
      <c r="R34" s="64"/>
      <c r="S34" s="64">
        <v>28.99</v>
      </c>
    </row>
    <row r="35" spans="2:19" ht="15.75" thickBot="1">
      <c r="B35" s="53">
        <v>39661</v>
      </c>
      <c r="C35" s="54">
        <f t="shared" si="28"/>
        <v>2008</v>
      </c>
      <c r="D35" s="54" t="str">
        <f t="shared" si="29"/>
        <v>Q3</v>
      </c>
      <c r="E35" s="55" t="str">
        <f t="shared" si="30"/>
        <v>2008 Q3</v>
      </c>
      <c r="F35" s="56">
        <f t="shared" si="39"/>
        <v>10832.77</v>
      </c>
      <c r="G35" s="57">
        <v>404</v>
      </c>
      <c r="H35" s="64">
        <f t="shared" si="31"/>
        <v>342.36073329390894</v>
      </c>
      <c r="I35" s="64">
        <f t="shared" si="32"/>
        <v>56.741573033707866</v>
      </c>
      <c r="J35" s="64">
        <f t="shared" si="33"/>
        <v>4.897693672383205</v>
      </c>
      <c r="K35" s="64">
        <f t="shared" si="34"/>
        <v>404</v>
      </c>
      <c r="L35" s="64">
        <f t="shared" si="35"/>
        <v>0</v>
      </c>
      <c r="M35" s="52">
        <v>0.0335</v>
      </c>
      <c r="N35" s="64">
        <f t="shared" si="36"/>
        <v>25.626209343583678</v>
      </c>
      <c r="O35" s="64">
        <f t="shared" si="37"/>
        <v>4.247191011235955</v>
      </c>
      <c r="P35" s="64">
        <f t="shared" si="38"/>
        <v>0.36659964518036664</v>
      </c>
      <c r="Q35" s="64">
        <v>30.24</v>
      </c>
      <c r="R35" s="64"/>
      <c r="S35" s="64">
        <v>30.24</v>
      </c>
    </row>
    <row r="36" spans="2:19" ht="15.75" thickBot="1">
      <c r="B36" s="53">
        <v>39692</v>
      </c>
      <c r="C36" s="54">
        <f t="shared" si="28"/>
        <v>2008</v>
      </c>
      <c r="D36" s="54" t="str">
        <f t="shared" si="29"/>
        <v>Q3</v>
      </c>
      <c r="E36" s="55" t="str">
        <f t="shared" si="30"/>
        <v>2008 Q3</v>
      </c>
      <c r="F36" s="56">
        <f t="shared" si="39"/>
        <v>11236.77</v>
      </c>
      <c r="G36" s="57">
        <v>452</v>
      </c>
      <c r="H36" s="64">
        <f t="shared" si="31"/>
        <v>383.0372560615021</v>
      </c>
      <c r="I36" s="64">
        <f t="shared" si="32"/>
        <v>63.48314606741573</v>
      </c>
      <c r="J36" s="64">
        <f t="shared" si="33"/>
        <v>5.4795978710822</v>
      </c>
      <c r="K36" s="64">
        <f t="shared" si="34"/>
        <v>452</v>
      </c>
      <c r="L36" s="64">
        <f t="shared" si="35"/>
        <v>0</v>
      </c>
      <c r="M36" s="52">
        <v>0.0335</v>
      </c>
      <c r="N36" s="64">
        <f t="shared" si="36"/>
        <v>26.583802483737436</v>
      </c>
      <c r="O36" s="64">
        <f t="shared" si="37"/>
        <v>4.405898876404494</v>
      </c>
      <c r="P36" s="64">
        <f t="shared" si="38"/>
        <v>0.38029863985807216</v>
      </c>
      <c r="Q36" s="64">
        <v>31.37</v>
      </c>
      <c r="R36" s="64"/>
      <c r="S36" s="64">
        <v>31.37</v>
      </c>
    </row>
    <row r="37" spans="2:19" ht="15.75" thickBot="1">
      <c r="B37" s="53">
        <v>39722</v>
      </c>
      <c r="C37" s="54">
        <f t="shared" si="28"/>
        <v>2008</v>
      </c>
      <c r="D37" s="54" t="str">
        <f t="shared" si="29"/>
        <v>Q4</v>
      </c>
      <c r="E37" s="55" t="str">
        <f t="shared" si="30"/>
        <v>2008 Q4</v>
      </c>
      <c r="F37" s="56">
        <f t="shared" si="39"/>
        <v>11688.77</v>
      </c>
      <c r="G37" s="57">
        <v>398.75</v>
      </c>
      <c r="H37" s="64">
        <f t="shared" si="31"/>
        <v>337.9117386162034</v>
      </c>
      <c r="I37" s="64">
        <f t="shared" si="32"/>
        <v>56.004213483146074</v>
      </c>
      <c r="J37" s="64">
        <f t="shared" si="33"/>
        <v>4.834047900650503</v>
      </c>
      <c r="K37" s="64">
        <f t="shared" si="34"/>
        <v>398.75</v>
      </c>
      <c r="L37" s="64">
        <f t="shared" si="35"/>
        <v>0</v>
      </c>
      <c r="M37" s="52">
        <v>0.0335</v>
      </c>
      <c r="N37" s="64">
        <f t="shared" si="36"/>
        <v>27.651561206386756</v>
      </c>
      <c r="O37" s="64">
        <f t="shared" si="37"/>
        <v>4.5828651685393265</v>
      </c>
      <c r="P37" s="64">
        <f t="shared" si="38"/>
        <v>0.3955736250739208</v>
      </c>
      <c r="Q37" s="64">
        <v>32.63</v>
      </c>
      <c r="R37" s="64"/>
      <c r="S37" s="64">
        <v>32.63</v>
      </c>
    </row>
    <row r="38" spans="2:19" ht="15.75" thickBot="1">
      <c r="B38" s="53">
        <v>39753</v>
      </c>
      <c r="C38" s="54">
        <f t="shared" si="28"/>
        <v>2008</v>
      </c>
      <c r="D38" s="54" t="str">
        <f t="shared" si="29"/>
        <v>Q4</v>
      </c>
      <c r="E38" s="55" t="str">
        <f t="shared" si="30"/>
        <v>2008 Q4</v>
      </c>
      <c r="F38" s="56">
        <f t="shared" si="39"/>
        <v>12087.52</v>
      </c>
      <c r="G38" s="57">
        <v>447.5</v>
      </c>
      <c r="H38" s="64">
        <f t="shared" si="31"/>
        <v>379.2238320520402</v>
      </c>
      <c r="I38" s="64">
        <f t="shared" si="32"/>
        <v>62.85112359550562</v>
      </c>
      <c r="J38" s="64">
        <f t="shared" si="33"/>
        <v>5.425044352454169</v>
      </c>
      <c r="K38" s="64">
        <f t="shared" si="34"/>
        <v>447.5</v>
      </c>
      <c r="L38" s="64">
        <f t="shared" si="35"/>
        <v>0</v>
      </c>
      <c r="M38" s="52">
        <v>0.0335</v>
      </c>
      <c r="N38" s="64">
        <f t="shared" si="36"/>
        <v>28.592205795387347</v>
      </c>
      <c r="O38" s="64">
        <f t="shared" si="37"/>
        <v>4.738764044943821</v>
      </c>
      <c r="P38" s="64">
        <f t="shared" si="38"/>
        <v>0.40903015966883505</v>
      </c>
      <c r="Q38" s="64">
        <v>33.74</v>
      </c>
      <c r="R38" s="64"/>
      <c r="S38" s="64">
        <v>33.74</v>
      </c>
    </row>
    <row r="39" spans="2:19" ht="15.75" thickBot="1">
      <c r="B39" s="53">
        <v>39783</v>
      </c>
      <c r="C39" s="54">
        <f t="shared" si="28"/>
        <v>2008</v>
      </c>
      <c r="D39" s="54" t="str">
        <f t="shared" si="29"/>
        <v>Q4</v>
      </c>
      <c r="E39" s="55" t="str">
        <f t="shared" si="30"/>
        <v>2008 Q4</v>
      </c>
      <c r="F39" s="56">
        <f t="shared" si="39"/>
        <v>12535.02</v>
      </c>
      <c r="G39" s="57">
        <v>399.5</v>
      </c>
      <c r="H39" s="64">
        <f t="shared" si="31"/>
        <v>338.54730928444707</v>
      </c>
      <c r="I39" s="64">
        <f t="shared" si="32"/>
        <v>56.109550561797754</v>
      </c>
      <c r="J39" s="64">
        <f t="shared" si="33"/>
        <v>4.843140153755175</v>
      </c>
      <c r="K39" s="64">
        <f t="shared" si="34"/>
        <v>399.5</v>
      </c>
      <c r="L39" s="64">
        <f t="shared" si="35"/>
        <v>0</v>
      </c>
      <c r="M39" s="52">
        <v>0.0335</v>
      </c>
      <c r="N39" s="64">
        <f t="shared" si="36"/>
        <v>29.651490242460085</v>
      </c>
      <c r="O39" s="64">
        <f t="shared" si="37"/>
        <v>4.91432584269663</v>
      </c>
      <c r="P39" s="64">
        <f t="shared" si="38"/>
        <v>0.42418391484328805</v>
      </c>
      <c r="Q39" s="64">
        <v>34.99</v>
      </c>
      <c r="R39" s="64"/>
      <c r="S39" s="64">
        <v>34.99</v>
      </c>
    </row>
    <row r="40" spans="2:19" ht="15.75" thickBot="1">
      <c r="B40" s="100" t="s">
        <v>48</v>
      </c>
      <c r="C40" s="100"/>
      <c r="D40" s="100"/>
      <c r="E40" s="100"/>
      <c r="F40" s="101"/>
      <c r="G40" s="77"/>
      <c r="H40" s="78">
        <f>SUM(H28:H39)</f>
        <v>4330.778533412182</v>
      </c>
      <c r="I40" s="79">
        <f>SUM(I28:I39)</f>
        <v>717.7668539325844</v>
      </c>
      <c r="J40" s="80">
        <f>SUM(J28:J39)</f>
        <v>61.95461265523359</v>
      </c>
      <c r="K40" s="64"/>
      <c r="L40" s="64"/>
      <c r="N40" s="72">
        <f>SUM(N28:N39)</f>
        <v>335.08980484920164</v>
      </c>
      <c r="O40" s="72">
        <f>SUM(O28:O39)</f>
        <v>55.53651685393258</v>
      </c>
      <c r="P40" s="72">
        <f>SUM(P28:P39)</f>
        <v>4.79367829686576</v>
      </c>
      <c r="Q40" s="72">
        <f>SUM(Q28:Q39)</f>
        <v>395.42</v>
      </c>
      <c r="R40" s="64">
        <f>SUM(H40:J40,N40:P40)</f>
        <v>5505.919999999999</v>
      </c>
      <c r="S40" s="72">
        <f>SUM(S28:S39)</f>
        <v>395.42</v>
      </c>
    </row>
    <row r="41" spans="2:19" ht="15.75" thickBot="1">
      <c r="B41" s="53">
        <v>39814</v>
      </c>
      <c r="C41" s="54">
        <f aca="true" t="shared" si="40" ref="C41:C52">YEAR(B41)</f>
        <v>2009</v>
      </c>
      <c r="D41" s="54" t="str">
        <f aca="true" t="shared" si="41" ref="D41:D52">IF(MONTH(B41)=0,"",IF(MONTH(B41)&lt;4,"Q1",IF(MONTH(B41)&lt;7,"Q2",IF(MONTH(B41)&lt;10,"Q3","Q4"))))</f>
        <v>Q1</v>
      </c>
      <c r="E41" s="55" t="str">
        <f aca="true" t="shared" si="42" ref="E41:E52">CONCATENATE(C41," ",D41)</f>
        <v>2009 Q1</v>
      </c>
      <c r="F41" s="56">
        <f>F39+G39</f>
        <v>12934.52</v>
      </c>
      <c r="G41" s="57">
        <v>601.25</v>
      </c>
      <c r="H41" s="64">
        <f aca="true" t="shared" si="43" ref="H41:H52">G41*($T$15)</f>
        <v>509.1458825265644</v>
      </c>
      <c r="I41" s="64">
        <f aca="true" t="shared" si="44" ref="I41:I52">G41*($U$15)</f>
        <v>84.8280696576151</v>
      </c>
      <c r="J41" s="64">
        <f aca="true" t="shared" si="45" ref="J41:J52">G41*($V$15)</f>
        <v>7.276047815820543</v>
      </c>
      <c r="K41" s="64">
        <f aca="true" t="shared" si="46" ref="K41:K52">SUM(H41:J41)</f>
        <v>601.25</v>
      </c>
      <c r="L41" s="64">
        <f aca="true" t="shared" si="47" ref="L41:L52">K41-G41</f>
        <v>0</v>
      </c>
      <c r="M41" s="52">
        <v>0.0245</v>
      </c>
      <c r="N41" s="64">
        <f aca="true" t="shared" si="48" ref="N41:N52">Q41*($T$15)</f>
        <v>22.36431227863046</v>
      </c>
      <c r="O41" s="64">
        <f aca="true" t="shared" si="49" ref="O41:O52">Q41*($U$15)</f>
        <v>3.7260861865407318</v>
      </c>
      <c r="P41" s="64">
        <f aca="true" t="shared" si="50" ref="P41:P52">Q41*($V$15)</f>
        <v>0.31960153482880754</v>
      </c>
      <c r="Q41" s="64">
        <v>26.41</v>
      </c>
      <c r="R41" s="64"/>
      <c r="S41" s="64">
        <v>26.41</v>
      </c>
    </row>
    <row r="42" spans="2:19" ht="15.75" thickBot="1">
      <c r="B42" s="53">
        <v>39845</v>
      </c>
      <c r="C42" s="54">
        <f t="shared" si="40"/>
        <v>2009</v>
      </c>
      <c r="D42" s="54" t="str">
        <f t="shared" si="41"/>
        <v>Q1</v>
      </c>
      <c r="E42" s="55" t="str">
        <f t="shared" si="42"/>
        <v>2009 Q1</v>
      </c>
      <c r="F42" s="56">
        <f aca="true" t="shared" si="51" ref="F42:F52">F41+G41</f>
        <v>13535.77</v>
      </c>
      <c r="G42" s="57">
        <v>259.32</v>
      </c>
      <c r="H42" s="64">
        <f t="shared" si="43"/>
        <v>219.595360094451</v>
      </c>
      <c r="I42" s="64">
        <f t="shared" si="44"/>
        <v>36.58646989374262</v>
      </c>
      <c r="J42" s="64">
        <f t="shared" si="45"/>
        <v>3.1381700118063756</v>
      </c>
      <c r="K42" s="64">
        <f t="shared" si="46"/>
        <v>259.32</v>
      </c>
      <c r="L42" s="64">
        <f t="shared" si="47"/>
        <v>0</v>
      </c>
      <c r="M42" s="52">
        <v>0.0245</v>
      </c>
      <c r="N42" s="64">
        <f t="shared" si="48"/>
        <v>23.405891381345928</v>
      </c>
      <c r="O42" s="64">
        <f t="shared" si="49"/>
        <v>3.8996221959858324</v>
      </c>
      <c r="P42" s="64">
        <f t="shared" si="50"/>
        <v>0.33448642266824086</v>
      </c>
      <c r="Q42" s="64">
        <v>27.64</v>
      </c>
      <c r="R42" s="64"/>
      <c r="S42" s="64">
        <v>27.64</v>
      </c>
    </row>
    <row r="43" spans="2:19" ht="15.75" thickBot="1">
      <c r="B43" s="53">
        <v>39873</v>
      </c>
      <c r="C43" s="54">
        <f t="shared" si="40"/>
        <v>2009</v>
      </c>
      <c r="D43" s="54" t="str">
        <f t="shared" si="41"/>
        <v>Q1</v>
      </c>
      <c r="E43" s="55" t="str">
        <f t="shared" si="42"/>
        <v>2009 Q1</v>
      </c>
      <c r="F43" s="56">
        <f t="shared" si="51"/>
        <v>13795.09</v>
      </c>
      <c r="G43" s="57">
        <v>461.75</v>
      </c>
      <c r="H43" s="64">
        <f t="shared" si="43"/>
        <v>391.0155696576151</v>
      </c>
      <c r="I43" s="64">
        <f t="shared" si="44"/>
        <v>65.146546635183</v>
      </c>
      <c r="J43" s="64">
        <f t="shared" si="45"/>
        <v>5.587883707201889</v>
      </c>
      <c r="K43" s="64">
        <f t="shared" si="46"/>
        <v>461.75000000000006</v>
      </c>
      <c r="L43" s="64">
        <f t="shared" si="47"/>
        <v>0</v>
      </c>
      <c r="M43" s="52">
        <v>0.0245</v>
      </c>
      <c r="N43" s="64">
        <f t="shared" si="48"/>
        <v>23.846233766233766</v>
      </c>
      <c r="O43" s="64">
        <f t="shared" si="49"/>
        <v>3.9729870129870126</v>
      </c>
      <c r="P43" s="64">
        <f t="shared" si="50"/>
        <v>0.3407792207792208</v>
      </c>
      <c r="Q43" s="64">
        <v>28.16</v>
      </c>
      <c r="R43" s="64"/>
      <c r="S43" s="64">
        <v>28.16</v>
      </c>
    </row>
    <row r="44" spans="2:19" ht="15.75" thickBot="1">
      <c r="B44" s="53">
        <v>39904</v>
      </c>
      <c r="C44" s="54">
        <f t="shared" si="40"/>
        <v>2009</v>
      </c>
      <c r="D44" s="54" t="str">
        <f t="shared" si="41"/>
        <v>Q2</v>
      </c>
      <c r="E44" s="55" t="str">
        <f t="shared" si="42"/>
        <v>2009 Q2</v>
      </c>
      <c r="F44" s="56">
        <f t="shared" si="51"/>
        <v>14256.84</v>
      </c>
      <c r="G44" s="57">
        <v>401</v>
      </c>
      <c r="H44" s="64">
        <f t="shared" si="43"/>
        <v>339.57172373081465</v>
      </c>
      <c r="I44" s="64">
        <f t="shared" si="44"/>
        <v>56.57556080283353</v>
      </c>
      <c r="J44" s="64">
        <f t="shared" si="45"/>
        <v>4.85271546635183</v>
      </c>
      <c r="K44" s="64">
        <f t="shared" si="46"/>
        <v>401</v>
      </c>
      <c r="L44" s="64">
        <f t="shared" si="47"/>
        <v>0</v>
      </c>
      <c r="M44" s="52">
        <v>0.01</v>
      </c>
      <c r="N44" s="64">
        <f t="shared" si="48"/>
        <v>10.060129870129872</v>
      </c>
      <c r="O44" s="64">
        <f t="shared" si="49"/>
        <v>1.676103896103896</v>
      </c>
      <c r="P44" s="64">
        <f t="shared" si="50"/>
        <v>0.14376623376623376</v>
      </c>
      <c r="Q44" s="64">
        <v>11.88</v>
      </c>
      <c r="R44" s="64"/>
      <c r="S44" s="64">
        <v>11.88</v>
      </c>
    </row>
    <row r="45" spans="2:19" ht="15.75" thickBot="1">
      <c r="B45" s="53">
        <v>39934</v>
      </c>
      <c r="C45" s="54">
        <f t="shared" si="40"/>
        <v>2009</v>
      </c>
      <c r="D45" s="54" t="str">
        <f t="shared" si="41"/>
        <v>Q2</v>
      </c>
      <c r="E45" s="55" t="str">
        <f t="shared" si="42"/>
        <v>2009 Q2</v>
      </c>
      <c r="F45" s="56">
        <f t="shared" si="51"/>
        <v>14657.84</v>
      </c>
      <c r="G45" s="57">
        <v>453.56</v>
      </c>
      <c r="H45" s="64">
        <f t="shared" si="43"/>
        <v>384.08017709563165</v>
      </c>
      <c r="I45" s="64">
        <f t="shared" si="44"/>
        <v>63.9910507674144</v>
      </c>
      <c r="J45" s="64">
        <f t="shared" si="45"/>
        <v>5.488772136953955</v>
      </c>
      <c r="K45" s="64">
        <f t="shared" si="46"/>
        <v>453.56</v>
      </c>
      <c r="L45" s="64">
        <f t="shared" si="47"/>
        <v>0</v>
      </c>
      <c r="M45" s="52">
        <v>0.01</v>
      </c>
      <c r="N45" s="64">
        <f t="shared" si="48"/>
        <v>10.339577922077924</v>
      </c>
      <c r="O45" s="64">
        <f t="shared" si="49"/>
        <v>1.7226623376623378</v>
      </c>
      <c r="P45" s="64">
        <f t="shared" si="50"/>
        <v>0.14775974025974026</v>
      </c>
      <c r="Q45" s="64">
        <v>12.21</v>
      </c>
      <c r="R45" s="64"/>
      <c r="S45" s="64">
        <v>12.21</v>
      </c>
    </row>
    <row r="46" spans="2:19" ht="15.75" thickBot="1">
      <c r="B46" s="53">
        <v>39965</v>
      </c>
      <c r="C46" s="54">
        <f t="shared" si="40"/>
        <v>2009</v>
      </c>
      <c r="D46" s="54" t="str">
        <f t="shared" si="41"/>
        <v>Q2</v>
      </c>
      <c r="E46" s="55" t="str">
        <f t="shared" si="42"/>
        <v>2009 Q2</v>
      </c>
      <c r="F46" s="56">
        <f t="shared" si="51"/>
        <v>15111.4</v>
      </c>
      <c r="G46" s="57">
        <v>1146.06</v>
      </c>
      <c r="H46" s="64">
        <f t="shared" si="43"/>
        <v>970.4976800472255</v>
      </c>
      <c r="I46" s="64">
        <f t="shared" si="44"/>
        <v>161.69323494687129</v>
      </c>
      <c r="J46" s="64">
        <f t="shared" si="45"/>
        <v>13.869085005903187</v>
      </c>
      <c r="K46" s="64">
        <f t="shared" si="46"/>
        <v>1146.06</v>
      </c>
      <c r="L46" s="64">
        <f t="shared" si="47"/>
        <v>0</v>
      </c>
      <c r="M46" s="52">
        <v>0.01</v>
      </c>
      <c r="N46" s="64">
        <f t="shared" si="48"/>
        <v>10.661366587957497</v>
      </c>
      <c r="O46" s="64">
        <f t="shared" si="49"/>
        <v>1.7762750885478158</v>
      </c>
      <c r="P46" s="64">
        <f t="shared" si="50"/>
        <v>0.15235832349468714</v>
      </c>
      <c r="Q46" s="64">
        <v>12.59</v>
      </c>
      <c r="R46" s="64"/>
      <c r="S46" s="64">
        <v>12.59</v>
      </c>
    </row>
    <row r="47" spans="2:19" ht="15.75" thickBot="1">
      <c r="B47" s="53">
        <v>39995</v>
      </c>
      <c r="C47" s="54">
        <f t="shared" si="40"/>
        <v>2009</v>
      </c>
      <c r="D47" s="54" t="str">
        <f t="shared" si="41"/>
        <v>Q3</v>
      </c>
      <c r="E47" s="55" t="str">
        <f t="shared" si="42"/>
        <v>2009 Q3</v>
      </c>
      <c r="F47" s="56">
        <f t="shared" si="51"/>
        <v>16257.46</v>
      </c>
      <c r="G47" s="57">
        <v>1783</v>
      </c>
      <c r="H47" s="64">
        <f t="shared" si="43"/>
        <v>1509.866292798111</v>
      </c>
      <c r="I47" s="64">
        <f t="shared" si="44"/>
        <v>251.55667060212514</v>
      </c>
      <c r="J47" s="64">
        <f t="shared" si="45"/>
        <v>21.577036599763872</v>
      </c>
      <c r="K47" s="64">
        <f t="shared" si="46"/>
        <v>1783.0000000000002</v>
      </c>
      <c r="L47" s="64">
        <f t="shared" si="47"/>
        <v>0</v>
      </c>
      <c r="M47" s="52">
        <v>0.0055</v>
      </c>
      <c r="N47" s="64">
        <f t="shared" si="48"/>
        <v>6.308751475796931</v>
      </c>
      <c r="O47" s="64">
        <f t="shared" si="49"/>
        <v>1.0510920897284532</v>
      </c>
      <c r="P47" s="64">
        <f t="shared" si="50"/>
        <v>0.0901564344746163</v>
      </c>
      <c r="Q47" s="64">
        <v>7.45</v>
      </c>
      <c r="R47" s="64"/>
      <c r="S47" s="64">
        <v>7.45</v>
      </c>
    </row>
    <row r="48" spans="2:19" ht="15.75" thickBot="1">
      <c r="B48" s="53">
        <v>40026</v>
      </c>
      <c r="C48" s="54">
        <f t="shared" si="40"/>
        <v>2009</v>
      </c>
      <c r="D48" s="54" t="str">
        <f t="shared" si="41"/>
        <v>Q3</v>
      </c>
      <c r="E48" s="55" t="str">
        <f t="shared" si="42"/>
        <v>2009 Q3</v>
      </c>
      <c r="F48" s="56">
        <f t="shared" si="51"/>
        <v>18040.46</v>
      </c>
      <c r="G48" s="57">
        <v>1570.13</v>
      </c>
      <c r="H48" s="64">
        <f t="shared" si="43"/>
        <v>1329.605363046045</v>
      </c>
      <c r="I48" s="64">
        <f t="shared" si="44"/>
        <v>221.52365407319954</v>
      </c>
      <c r="J48" s="64">
        <f t="shared" si="45"/>
        <v>19.00098288075561</v>
      </c>
      <c r="K48" s="64">
        <f t="shared" si="46"/>
        <v>1570.1300000000003</v>
      </c>
      <c r="L48" s="64">
        <f t="shared" si="47"/>
        <v>0</v>
      </c>
      <c r="M48" s="52">
        <v>0.0055</v>
      </c>
      <c r="N48" s="64">
        <f t="shared" si="48"/>
        <v>7.003137544273908</v>
      </c>
      <c r="O48" s="64">
        <f t="shared" si="49"/>
        <v>1.1667827626918534</v>
      </c>
      <c r="P48" s="64">
        <f t="shared" si="50"/>
        <v>0.10007969303423848</v>
      </c>
      <c r="Q48" s="64">
        <v>8.27</v>
      </c>
      <c r="R48" s="64"/>
      <c r="S48" s="64">
        <v>8.27</v>
      </c>
    </row>
    <row r="49" spans="2:19" ht="15.75" thickBot="1">
      <c r="B49" s="53">
        <v>40057</v>
      </c>
      <c r="C49" s="54">
        <f t="shared" si="40"/>
        <v>2009</v>
      </c>
      <c r="D49" s="54" t="str">
        <f t="shared" si="41"/>
        <v>Q3</v>
      </c>
      <c r="E49" s="55" t="str">
        <f t="shared" si="42"/>
        <v>2009 Q3</v>
      </c>
      <c r="F49" s="56">
        <f t="shared" si="51"/>
        <v>19610.59</v>
      </c>
      <c r="G49" s="57">
        <v>1790.74</v>
      </c>
      <c r="H49" s="64">
        <f t="shared" si="43"/>
        <v>1516.4206198347108</v>
      </c>
      <c r="I49" s="64">
        <f t="shared" si="44"/>
        <v>252.64867768595042</v>
      </c>
      <c r="J49" s="64">
        <f t="shared" si="45"/>
        <v>21.670702479338843</v>
      </c>
      <c r="K49" s="64">
        <f t="shared" si="46"/>
        <v>1790.74</v>
      </c>
      <c r="L49" s="64">
        <f t="shared" si="47"/>
        <v>0</v>
      </c>
      <c r="M49" s="52">
        <v>0.0055</v>
      </c>
      <c r="N49" s="64">
        <f t="shared" si="48"/>
        <v>7.61284238488784</v>
      </c>
      <c r="O49" s="64">
        <f t="shared" si="49"/>
        <v>1.2683648170011805</v>
      </c>
      <c r="P49" s="64">
        <f t="shared" si="50"/>
        <v>0.10879279811097993</v>
      </c>
      <c r="Q49" s="64">
        <v>8.99</v>
      </c>
      <c r="R49" s="64"/>
      <c r="S49" s="64">
        <v>8.99</v>
      </c>
    </row>
    <row r="50" spans="2:19" ht="15.75" thickBot="1">
      <c r="B50" s="53">
        <v>40087</v>
      </c>
      <c r="C50" s="54">
        <f t="shared" si="40"/>
        <v>2009</v>
      </c>
      <c r="D50" s="54" t="str">
        <f t="shared" si="41"/>
        <v>Q4</v>
      </c>
      <c r="E50" s="55" t="str">
        <f t="shared" si="42"/>
        <v>2009 Q4</v>
      </c>
      <c r="F50" s="56">
        <f t="shared" si="51"/>
        <v>21401.33</v>
      </c>
      <c r="G50" s="57">
        <v>1558.67</v>
      </c>
      <c r="H50" s="64">
        <f t="shared" si="43"/>
        <v>1319.90089433294</v>
      </c>
      <c r="I50" s="64">
        <f t="shared" si="44"/>
        <v>219.90680637544273</v>
      </c>
      <c r="J50" s="64">
        <f t="shared" si="45"/>
        <v>18.862299291617475</v>
      </c>
      <c r="K50" s="64">
        <f t="shared" si="46"/>
        <v>1558.6700000000003</v>
      </c>
      <c r="L50" s="64">
        <f t="shared" si="47"/>
        <v>0</v>
      </c>
      <c r="M50" s="52">
        <v>0.0055</v>
      </c>
      <c r="N50" s="64">
        <f t="shared" si="48"/>
        <v>8.307228453364818</v>
      </c>
      <c r="O50" s="64">
        <f t="shared" si="49"/>
        <v>1.384055489964581</v>
      </c>
      <c r="P50" s="64">
        <f t="shared" si="50"/>
        <v>0.11871605667060213</v>
      </c>
      <c r="Q50" s="64">
        <v>9.81</v>
      </c>
      <c r="R50" s="64"/>
      <c r="S50" s="64">
        <v>9.81</v>
      </c>
    </row>
    <row r="51" spans="2:19" ht="15.75" thickBot="1">
      <c r="B51" s="53">
        <v>40118</v>
      </c>
      <c r="C51" s="54">
        <f t="shared" si="40"/>
        <v>2009</v>
      </c>
      <c r="D51" s="54" t="str">
        <f t="shared" si="41"/>
        <v>Q4</v>
      </c>
      <c r="E51" s="55" t="str">
        <f t="shared" si="42"/>
        <v>2009 Q4</v>
      </c>
      <c r="F51" s="56">
        <f t="shared" si="51"/>
        <v>22960</v>
      </c>
      <c r="G51" s="57">
        <v>1782.77</v>
      </c>
      <c r="H51" s="64">
        <f t="shared" si="43"/>
        <v>1509.671525974026</v>
      </c>
      <c r="I51" s="64">
        <f t="shared" si="44"/>
        <v>251.52422077922077</v>
      </c>
      <c r="J51" s="64">
        <f t="shared" si="45"/>
        <v>21.574253246753248</v>
      </c>
      <c r="K51" s="64">
        <f t="shared" si="46"/>
        <v>1782.77</v>
      </c>
      <c r="L51" s="64">
        <f t="shared" si="47"/>
        <v>0</v>
      </c>
      <c r="M51" s="52">
        <v>0.0055</v>
      </c>
      <c r="N51" s="64">
        <f t="shared" si="48"/>
        <v>8.908465171192445</v>
      </c>
      <c r="O51" s="64">
        <f t="shared" si="49"/>
        <v>1.4842266824085004</v>
      </c>
      <c r="P51" s="64">
        <f t="shared" si="50"/>
        <v>0.1273081463990555</v>
      </c>
      <c r="Q51" s="64">
        <v>10.52</v>
      </c>
      <c r="R51" s="64"/>
      <c r="S51" s="64">
        <v>10.52</v>
      </c>
    </row>
    <row r="52" spans="2:19" ht="15.75" thickBot="1">
      <c r="B52" s="53">
        <v>40148</v>
      </c>
      <c r="C52" s="54">
        <f t="shared" si="40"/>
        <v>2009</v>
      </c>
      <c r="D52" s="54" t="str">
        <f t="shared" si="41"/>
        <v>Q4</v>
      </c>
      <c r="E52" s="55" t="str">
        <f t="shared" si="42"/>
        <v>2009 Q4</v>
      </c>
      <c r="F52" s="56">
        <f t="shared" si="51"/>
        <v>24742.77</v>
      </c>
      <c r="G52" s="57">
        <v>1579.72</v>
      </c>
      <c r="H52" s="64">
        <f t="shared" si="43"/>
        <v>1337.726292798111</v>
      </c>
      <c r="I52" s="64">
        <f t="shared" si="44"/>
        <v>222.87667060212513</v>
      </c>
      <c r="J52" s="64">
        <f t="shared" si="45"/>
        <v>19.117036599763875</v>
      </c>
      <c r="K52" s="64">
        <f t="shared" si="46"/>
        <v>1579.72</v>
      </c>
      <c r="L52" s="64">
        <f t="shared" si="47"/>
        <v>0</v>
      </c>
      <c r="M52" s="52">
        <v>0.0055</v>
      </c>
      <c r="N52" s="64">
        <f t="shared" si="48"/>
        <v>9.602851239669421</v>
      </c>
      <c r="O52" s="64">
        <f t="shared" si="49"/>
        <v>1.5999173553719008</v>
      </c>
      <c r="P52" s="64">
        <f t="shared" si="50"/>
        <v>0.1372314049586777</v>
      </c>
      <c r="Q52" s="64">
        <v>11.34</v>
      </c>
      <c r="R52" s="64"/>
      <c r="S52" s="64">
        <v>11.34</v>
      </c>
    </row>
    <row r="53" spans="2:19" ht="15.75" thickBot="1">
      <c r="B53" s="100" t="s">
        <v>49</v>
      </c>
      <c r="C53" s="100"/>
      <c r="D53" s="100"/>
      <c r="E53" s="100"/>
      <c r="F53" s="101"/>
      <c r="G53" s="57"/>
      <c r="H53" s="72">
        <f>SUM(H41:H52)</f>
        <v>11337.097381936248</v>
      </c>
      <c r="I53" s="72">
        <f>SUM(I41:I52)</f>
        <v>1888.8576328217237</v>
      </c>
      <c r="J53" s="72">
        <f>SUM(J41:J52)</f>
        <v>162.01498524203072</v>
      </c>
      <c r="K53" s="64"/>
      <c r="L53" s="64"/>
      <c r="N53" s="72">
        <f>SUM(N41:N52)</f>
        <v>148.4207880755608</v>
      </c>
      <c r="O53" s="72">
        <f>SUM(O41:O52)</f>
        <v>24.728175914994097</v>
      </c>
      <c r="P53" s="72">
        <f>SUM(P41:P52)</f>
        <v>2.1210360094451</v>
      </c>
      <c r="Q53" s="72">
        <f>SUM(Q41:Q52)</f>
        <v>175.27</v>
      </c>
      <c r="R53" s="64">
        <f>SUM(H53:J53,N53:P53)</f>
        <v>13563.240000000002</v>
      </c>
      <c r="S53" s="72">
        <f>SUM(S41:S52)</f>
        <v>175.27</v>
      </c>
    </row>
    <row r="54" spans="2:19" ht="15.75" thickBot="1">
      <c r="B54" s="53">
        <v>40179</v>
      </c>
      <c r="C54" s="54">
        <f aca="true" t="shared" si="52" ref="C54:C65">YEAR(B54)</f>
        <v>2010</v>
      </c>
      <c r="D54" s="54" t="str">
        <f aca="true" t="shared" si="53" ref="D54:D65">IF(MONTH(B54)=0,"",IF(MONTH(B54)&lt;4,"Q1",IF(MONTH(B54)&lt;7,"Q2",IF(MONTH(B54)&lt;10,"Q3","Q4"))))</f>
        <v>Q1</v>
      </c>
      <c r="E54" s="55" t="str">
        <f aca="true" t="shared" si="54" ref="E54:E65">CONCATENATE(C54," ",D54)</f>
        <v>2010 Q1</v>
      </c>
      <c r="F54" s="56">
        <f>F52+G52</f>
        <v>26322.49</v>
      </c>
      <c r="G54" s="57">
        <v>1778.61</v>
      </c>
      <c r="H54" s="64">
        <f aca="true" t="shared" si="55" ref="H54:H65">G54*($T$16)</f>
        <v>1505.3254576507131</v>
      </c>
      <c r="I54" s="64">
        <f aca="true" t="shared" si="56" ref="I54:I65">G54*($U$16)</f>
        <v>251.15194674537713</v>
      </c>
      <c r="J54" s="64">
        <f aca="true" t="shared" si="57" ref="J54:J65">G54*($V$16)</f>
        <v>22.132595603909657</v>
      </c>
      <c r="K54" s="64">
        <f aca="true" t="shared" si="58" ref="K54:K65">SUM(H54:J54)</f>
        <v>1778.61</v>
      </c>
      <c r="L54" s="64">
        <f aca="true" t="shared" si="59" ref="L54:L65">K54-G54</f>
        <v>0</v>
      </c>
      <c r="M54" s="52">
        <v>0.0055</v>
      </c>
      <c r="N54" s="64">
        <f aca="true" t="shared" si="60" ref="N54:N65">Q54*($T$16)</f>
        <v>10.206973433899282</v>
      </c>
      <c r="O54" s="64">
        <f aca="true" t="shared" si="61" ref="O54:O65">Q54*($U$16)</f>
        <v>1.702954823007432</v>
      </c>
      <c r="P54" s="64">
        <f aca="true" t="shared" si="62" ref="P54:P65">Q54*($V$16)</f>
        <v>0.1500717430932866</v>
      </c>
      <c r="Q54" s="64">
        <v>12.06</v>
      </c>
      <c r="R54" s="64"/>
      <c r="S54" s="64">
        <v>12.06</v>
      </c>
    </row>
    <row r="55" spans="2:19" ht="15.75" thickBot="1">
      <c r="B55" s="53">
        <v>40210</v>
      </c>
      <c r="C55" s="54">
        <f t="shared" si="52"/>
        <v>2010</v>
      </c>
      <c r="D55" s="54" t="str">
        <f t="shared" si="53"/>
        <v>Q1</v>
      </c>
      <c r="E55" s="55" t="str">
        <f t="shared" si="54"/>
        <v>2010 Q1</v>
      </c>
      <c r="F55" s="56">
        <f aca="true" t="shared" si="63" ref="F55:F65">F54+G54</f>
        <v>28101.100000000002</v>
      </c>
      <c r="G55" s="57">
        <v>1559.82</v>
      </c>
      <c r="H55" s="64">
        <f t="shared" si="55"/>
        <v>1320.1526784133314</v>
      </c>
      <c r="I55" s="64">
        <f t="shared" si="56"/>
        <v>220.2572961876826</v>
      </c>
      <c r="J55" s="64">
        <f t="shared" si="57"/>
        <v>19.41002539898593</v>
      </c>
      <c r="K55" s="64">
        <f t="shared" si="58"/>
        <v>1559.82</v>
      </c>
      <c r="L55" s="64">
        <f t="shared" si="59"/>
        <v>0</v>
      </c>
      <c r="M55" s="52">
        <v>0.0055</v>
      </c>
      <c r="N55" s="64">
        <f t="shared" si="60"/>
        <v>10.900979919454622</v>
      </c>
      <c r="O55" s="64">
        <f t="shared" si="61"/>
        <v>1.818744454422531</v>
      </c>
      <c r="P55" s="64">
        <f t="shared" si="62"/>
        <v>0.16027562612284674</v>
      </c>
      <c r="Q55" s="64">
        <v>12.88</v>
      </c>
      <c r="R55" s="64"/>
      <c r="S55" s="64">
        <v>12.88</v>
      </c>
    </row>
    <row r="56" spans="2:19" ht="15.75" thickBot="1">
      <c r="B56" s="53">
        <v>40238</v>
      </c>
      <c r="C56" s="54">
        <f t="shared" si="52"/>
        <v>2010</v>
      </c>
      <c r="D56" s="54" t="str">
        <f t="shared" si="53"/>
        <v>Q1</v>
      </c>
      <c r="E56" s="55" t="str">
        <f t="shared" si="54"/>
        <v>2010 Q1</v>
      </c>
      <c r="F56" s="56">
        <f t="shared" si="63"/>
        <v>29660.920000000002</v>
      </c>
      <c r="G56" s="57">
        <v>1781.38</v>
      </c>
      <c r="H56" s="64">
        <f t="shared" si="55"/>
        <v>1507.6698454128941</v>
      </c>
      <c r="I56" s="64">
        <f t="shared" si="56"/>
        <v>251.5430897685721</v>
      </c>
      <c r="J56" s="64">
        <f t="shared" si="57"/>
        <v>22.167064818533905</v>
      </c>
      <c r="K56" s="64">
        <f t="shared" si="58"/>
        <v>1781.38</v>
      </c>
      <c r="L56" s="64">
        <f t="shared" si="59"/>
        <v>0</v>
      </c>
      <c r="M56" s="52">
        <v>0.0055</v>
      </c>
      <c r="N56" s="64">
        <f t="shared" si="60"/>
        <v>11.501887974020832</v>
      </c>
      <c r="O56" s="64">
        <f t="shared" si="61"/>
        <v>1.919001330403897</v>
      </c>
      <c r="P56" s="64">
        <f t="shared" si="62"/>
        <v>0.16911069557527073</v>
      </c>
      <c r="Q56" s="64">
        <v>13.59</v>
      </c>
      <c r="R56" s="64"/>
      <c r="S56" s="64">
        <v>13.59</v>
      </c>
    </row>
    <row r="57" spans="2:19" ht="15.75" thickBot="1">
      <c r="B57" s="53">
        <v>40269</v>
      </c>
      <c r="C57" s="54">
        <f t="shared" si="52"/>
        <v>2010</v>
      </c>
      <c r="D57" s="54" t="str">
        <f t="shared" si="53"/>
        <v>Q2</v>
      </c>
      <c r="E57" s="55" t="str">
        <f t="shared" si="54"/>
        <v>2010 Q2</v>
      </c>
      <c r="F57" s="56">
        <f t="shared" si="63"/>
        <v>31442.300000000003</v>
      </c>
      <c r="G57" s="57">
        <v>1547.72</v>
      </c>
      <c r="H57" s="64">
        <f t="shared" si="55"/>
        <v>1309.911851004527</v>
      </c>
      <c r="I57" s="64">
        <f t="shared" si="56"/>
        <v>218.54869308997203</v>
      </c>
      <c r="J57" s="64">
        <f t="shared" si="57"/>
        <v>19.259455905500957</v>
      </c>
      <c r="K57" s="64">
        <f t="shared" si="58"/>
        <v>1547.72</v>
      </c>
      <c r="L57" s="64">
        <f t="shared" si="59"/>
        <v>0</v>
      </c>
      <c r="M57" s="52">
        <v>0.0055</v>
      </c>
      <c r="N57" s="64">
        <f t="shared" si="60"/>
        <v>12.195894459576172</v>
      </c>
      <c r="O57" s="64">
        <f t="shared" si="61"/>
        <v>2.034790961818996</v>
      </c>
      <c r="P57" s="64">
        <f t="shared" si="62"/>
        <v>0.17931457860483083</v>
      </c>
      <c r="Q57" s="64">
        <v>14.41</v>
      </c>
      <c r="R57" s="64"/>
      <c r="S57" s="64">
        <v>14.41</v>
      </c>
    </row>
    <row r="58" spans="2:19" ht="15.75" thickBot="1">
      <c r="B58" s="53">
        <v>40299</v>
      </c>
      <c r="C58" s="54">
        <f t="shared" si="52"/>
        <v>2010</v>
      </c>
      <c r="D58" s="54" t="str">
        <f t="shared" si="53"/>
        <v>Q2</v>
      </c>
      <c r="E58" s="55" t="str">
        <f t="shared" si="54"/>
        <v>2010 Q2</v>
      </c>
      <c r="F58" s="56">
        <f t="shared" si="63"/>
        <v>32990.020000000004</v>
      </c>
      <c r="G58" s="57">
        <v>2381.91</v>
      </c>
      <c r="H58" s="64">
        <f t="shared" si="55"/>
        <v>2015.9280341574656</v>
      </c>
      <c r="I58" s="64">
        <f t="shared" si="56"/>
        <v>336.34204995602255</v>
      </c>
      <c r="J58" s="64">
        <f t="shared" si="57"/>
        <v>29.63991588651163</v>
      </c>
      <c r="K58" s="64">
        <f t="shared" si="58"/>
        <v>2381.91</v>
      </c>
      <c r="L58" s="64">
        <f t="shared" si="59"/>
        <v>0</v>
      </c>
      <c r="M58" s="52">
        <v>0.0055</v>
      </c>
      <c r="N58" s="64">
        <f t="shared" si="60"/>
        <v>12.796802514142382</v>
      </c>
      <c r="O58" s="64">
        <f t="shared" si="61"/>
        <v>2.135047837800362</v>
      </c>
      <c r="P58" s="64">
        <f t="shared" si="62"/>
        <v>0.18814964805725484</v>
      </c>
      <c r="Q58" s="64">
        <v>15.12</v>
      </c>
      <c r="R58" s="64"/>
      <c r="S58" s="64">
        <v>15.12</v>
      </c>
    </row>
    <row r="59" spans="2:19" ht="15.75" thickBot="1">
      <c r="B59" s="53">
        <v>40330</v>
      </c>
      <c r="C59" s="54">
        <f t="shared" si="52"/>
        <v>2010</v>
      </c>
      <c r="D59" s="54" t="str">
        <f t="shared" si="53"/>
        <v>Q2</v>
      </c>
      <c r="E59" s="55" t="str">
        <f t="shared" si="54"/>
        <v>2010 Q2</v>
      </c>
      <c r="F59" s="56">
        <f t="shared" si="63"/>
        <v>35371.93000000001</v>
      </c>
      <c r="G59" s="57">
        <v>1684.27</v>
      </c>
      <c r="H59" s="64">
        <f t="shared" si="55"/>
        <v>1425.4808578369439</v>
      </c>
      <c r="I59" s="64">
        <f t="shared" si="56"/>
        <v>237.8304908579376</v>
      </c>
      <c r="J59" s="64">
        <f t="shared" si="57"/>
        <v>20.958651305118558</v>
      </c>
      <c r="K59" s="64">
        <f t="shared" si="58"/>
        <v>1684.27</v>
      </c>
      <c r="L59" s="64">
        <f t="shared" si="59"/>
        <v>0</v>
      </c>
      <c r="M59" s="52">
        <v>0.0055</v>
      </c>
      <c r="N59" s="64">
        <f t="shared" si="60"/>
        <v>13.71932333030741</v>
      </c>
      <c r="O59" s="64">
        <f t="shared" si="61"/>
        <v>2.2889633234618967</v>
      </c>
      <c r="P59" s="64">
        <f t="shared" si="62"/>
        <v>0.2017133462306945</v>
      </c>
      <c r="Q59" s="64">
        <v>16.21</v>
      </c>
      <c r="R59" s="64"/>
      <c r="S59" s="64">
        <v>16.21</v>
      </c>
    </row>
    <row r="60" spans="2:19" ht="15.75" thickBot="1">
      <c r="B60" s="53">
        <v>40360</v>
      </c>
      <c r="C60" s="54">
        <f t="shared" si="52"/>
        <v>2010</v>
      </c>
      <c r="D60" s="54" t="str">
        <f t="shared" si="53"/>
        <v>Q3</v>
      </c>
      <c r="E60" s="55" t="str">
        <f t="shared" si="54"/>
        <v>2010 Q3</v>
      </c>
      <c r="F60" s="56">
        <f t="shared" si="63"/>
        <v>37056.200000000004</v>
      </c>
      <c r="G60" s="57">
        <v>1660.19</v>
      </c>
      <c r="H60" s="64">
        <f t="shared" si="55"/>
        <v>1405.1007649440505</v>
      </c>
      <c r="I60" s="64">
        <f t="shared" si="56"/>
        <v>234.4302294866259</v>
      </c>
      <c r="J60" s="64">
        <f t="shared" si="57"/>
        <v>20.65900556932367</v>
      </c>
      <c r="K60" s="64">
        <f t="shared" si="58"/>
        <v>1660.19</v>
      </c>
      <c r="L60" s="64">
        <f t="shared" si="59"/>
        <v>0</v>
      </c>
      <c r="M60" s="52">
        <v>0.0089</v>
      </c>
      <c r="N60" s="64">
        <f t="shared" si="60"/>
        <v>23.257680759830205</v>
      </c>
      <c r="O60" s="64">
        <f t="shared" si="61"/>
        <v>3.880364721081611</v>
      </c>
      <c r="P60" s="64">
        <f t="shared" si="62"/>
        <v>0.3419545190881854</v>
      </c>
      <c r="Q60" s="64">
        <v>27.48</v>
      </c>
      <c r="R60" s="64"/>
      <c r="S60" s="64">
        <v>27.48</v>
      </c>
    </row>
    <row r="61" spans="2:19" ht="15.75" thickBot="1">
      <c r="B61" s="53">
        <v>40391</v>
      </c>
      <c r="C61" s="54">
        <f t="shared" si="52"/>
        <v>2010</v>
      </c>
      <c r="D61" s="54" t="str">
        <f t="shared" si="53"/>
        <v>Q3</v>
      </c>
      <c r="E61" s="55" t="str">
        <f t="shared" si="54"/>
        <v>2010 Q3</v>
      </c>
      <c r="F61" s="56">
        <f t="shared" si="63"/>
        <v>38716.39000000001</v>
      </c>
      <c r="G61" s="57">
        <v>1675.58</v>
      </c>
      <c r="H61" s="64">
        <f t="shared" si="55"/>
        <v>1418.1260817888024</v>
      </c>
      <c r="I61" s="64">
        <f t="shared" si="56"/>
        <v>236.6034031786727</v>
      </c>
      <c r="J61" s="64">
        <f t="shared" si="57"/>
        <v>20.850515032524804</v>
      </c>
      <c r="K61" s="64">
        <f t="shared" si="58"/>
        <v>1675.5799999999997</v>
      </c>
      <c r="L61" s="64">
        <f t="shared" si="59"/>
        <v>0</v>
      </c>
      <c r="M61" s="52">
        <v>0.0089</v>
      </c>
      <c r="N61" s="64">
        <f t="shared" si="60"/>
        <v>24.298690488163214</v>
      </c>
      <c r="O61" s="64">
        <f t="shared" si="61"/>
        <v>4.054049168204259</v>
      </c>
      <c r="P61" s="64">
        <f t="shared" si="62"/>
        <v>0.35726034363252557</v>
      </c>
      <c r="Q61" s="64">
        <v>28.71</v>
      </c>
      <c r="R61" s="64"/>
      <c r="S61" s="64">
        <v>28.71</v>
      </c>
    </row>
    <row r="62" spans="2:19" ht="15.75" thickBot="1">
      <c r="B62" s="53">
        <v>40422</v>
      </c>
      <c r="C62" s="54">
        <f t="shared" si="52"/>
        <v>2010</v>
      </c>
      <c r="D62" s="54" t="str">
        <f t="shared" si="53"/>
        <v>Q3</v>
      </c>
      <c r="E62" s="55" t="str">
        <f t="shared" si="54"/>
        <v>2010 Q3</v>
      </c>
      <c r="F62" s="56">
        <f t="shared" si="63"/>
        <v>40391.97000000001</v>
      </c>
      <c r="G62" s="57">
        <v>6011.47</v>
      </c>
      <c r="H62" s="64">
        <f t="shared" si="55"/>
        <v>5087.803863074835</v>
      </c>
      <c r="I62" s="64">
        <f t="shared" si="56"/>
        <v>848.8608482474699</v>
      </c>
      <c r="J62" s="64">
        <f t="shared" si="57"/>
        <v>74.80528867769483</v>
      </c>
      <c r="K62" s="64">
        <f t="shared" si="58"/>
        <v>6011.47</v>
      </c>
      <c r="L62" s="64">
        <f t="shared" si="59"/>
        <v>0</v>
      </c>
      <c r="M62" s="52">
        <v>0.0089</v>
      </c>
      <c r="N62" s="64">
        <f t="shared" si="60"/>
        <v>25.356627203948797</v>
      </c>
      <c r="O62" s="64">
        <f t="shared" si="61"/>
        <v>4.230557752678496</v>
      </c>
      <c r="P62" s="64">
        <f t="shared" si="62"/>
        <v>0.37281504337270865</v>
      </c>
      <c r="Q62" s="64">
        <v>29.96</v>
      </c>
      <c r="R62" s="64"/>
      <c r="S62" s="64">
        <v>29.96</v>
      </c>
    </row>
    <row r="63" spans="2:19" ht="15.75" thickBot="1">
      <c r="B63" s="53">
        <v>40452</v>
      </c>
      <c r="C63" s="54">
        <f t="shared" si="52"/>
        <v>2010</v>
      </c>
      <c r="D63" s="54" t="str">
        <f t="shared" si="53"/>
        <v>Q4</v>
      </c>
      <c r="E63" s="55" t="str">
        <f t="shared" si="54"/>
        <v>2010 Q4</v>
      </c>
      <c r="F63" s="56">
        <f t="shared" si="63"/>
        <v>46403.44000000001</v>
      </c>
      <c r="G63" s="57">
        <v>6221.43</v>
      </c>
      <c r="H63" s="64">
        <f t="shared" si="55"/>
        <v>5265.503377351908</v>
      </c>
      <c r="I63" s="64">
        <f t="shared" si="56"/>
        <v>878.5086421644385</v>
      </c>
      <c r="J63" s="64">
        <f t="shared" si="57"/>
        <v>77.4179804836539</v>
      </c>
      <c r="K63" s="64">
        <f t="shared" si="58"/>
        <v>6221.43</v>
      </c>
      <c r="L63" s="64">
        <f t="shared" si="59"/>
        <v>0</v>
      </c>
      <c r="M63" s="52">
        <v>0.012</v>
      </c>
      <c r="N63" s="64">
        <f t="shared" si="60"/>
        <v>39.27061088996075</v>
      </c>
      <c r="O63" s="64">
        <f t="shared" si="61"/>
        <v>6.551998655683652</v>
      </c>
      <c r="P63" s="64">
        <f t="shared" si="62"/>
        <v>0.5773904543555969</v>
      </c>
      <c r="Q63" s="64">
        <v>46.4</v>
      </c>
      <c r="R63" s="64"/>
      <c r="S63" s="64">
        <v>46.4</v>
      </c>
    </row>
    <row r="64" spans="2:19" ht="15.75" thickBot="1">
      <c r="B64" s="53">
        <v>40483</v>
      </c>
      <c r="C64" s="54">
        <f t="shared" si="52"/>
        <v>2010</v>
      </c>
      <c r="D64" s="54" t="str">
        <f t="shared" si="53"/>
        <v>Q4</v>
      </c>
      <c r="E64" s="55" t="str">
        <f t="shared" si="54"/>
        <v>2010 Q4</v>
      </c>
      <c r="F64" s="56">
        <f t="shared" si="63"/>
        <v>52624.87000000001</v>
      </c>
      <c r="G64" s="57">
        <v>6356.47</v>
      </c>
      <c r="H64" s="64">
        <f t="shared" si="55"/>
        <v>5379.794396631655</v>
      </c>
      <c r="I64" s="64">
        <f t="shared" si="56"/>
        <v>897.5772175623591</v>
      </c>
      <c r="J64" s="64">
        <f t="shared" si="57"/>
        <v>79.09838580598536</v>
      </c>
      <c r="K64" s="64">
        <f t="shared" si="58"/>
        <v>6356.469999999999</v>
      </c>
      <c r="L64" s="64">
        <f t="shared" si="59"/>
        <v>0</v>
      </c>
      <c r="M64" s="52">
        <v>0.012</v>
      </c>
      <c r="N64" s="64">
        <f t="shared" si="60"/>
        <v>44.5349039877098</v>
      </c>
      <c r="O64" s="64">
        <f t="shared" si="61"/>
        <v>7.430305372027451</v>
      </c>
      <c r="P64" s="64">
        <f t="shared" si="62"/>
        <v>0.6547906402627479</v>
      </c>
      <c r="Q64" s="64">
        <v>52.62</v>
      </c>
      <c r="R64" s="64"/>
      <c r="S64" s="64">
        <v>52.62</v>
      </c>
    </row>
    <row r="65" spans="2:19" ht="15.75" thickBot="1">
      <c r="B65" s="53">
        <v>40513</v>
      </c>
      <c r="C65" s="54">
        <f t="shared" si="52"/>
        <v>2010</v>
      </c>
      <c r="D65" s="54" t="str">
        <f t="shared" si="53"/>
        <v>Q4</v>
      </c>
      <c r="E65" s="55" t="str">
        <f t="shared" si="54"/>
        <v>2010 Q4</v>
      </c>
      <c r="F65" s="56">
        <f t="shared" si="63"/>
        <v>58981.34000000001</v>
      </c>
      <c r="G65" s="57">
        <v>6309.04</v>
      </c>
      <c r="H65" s="64">
        <f t="shared" si="55"/>
        <v>5339.652045887888</v>
      </c>
      <c r="I65" s="64">
        <f t="shared" si="56"/>
        <v>890.8797758330687</v>
      </c>
      <c r="J65" s="64">
        <f t="shared" si="57"/>
        <v>78.50817827904386</v>
      </c>
      <c r="K65" s="64">
        <f t="shared" si="58"/>
        <v>6309.04</v>
      </c>
      <c r="L65" s="64">
        <f t="shared" si="59"/>
        <v>0</v>
      </c>
      <c r="M65" s="52">
        <v>0.012</v>
      </c>
      <c r="N65" s="64">
        <f t="shared" si="60"/>
        <v>49.91768599762683</v>
      </c>
      <c r="O65" s="64">
        <f t="shared" si="61"/>
        <v>8.328381049832366</v>
      </c>
      <c r="P65" s="64">
        <f t="shared" si="62"/>
        <v>0.7339329525407996</v>
      </c>
      <c r="Q65" s="64">
        <v>58.98</v>
      </c>
      <c r="R65" s="64"/>
      <c r="S65" s="64">
        <v>58.98</v>
      </c>
    </row>
    <row r="66" spans="2:19" ht="15.75" thickBot="1">
      <c r="B66" s="100" t="s">
        <v>50</v>
      </c>
      <c r="C66" s="100"/>
      <c r="D66" s="100"/>
      <c r="E66" s="100"/>
      <c r="F66" s="101"/>
      <c r="G66" s="57"/>
      <c r="H66" s="72">
        <f>SUM(H54:H65)</f>
        <v>32980.44925415501</v>
      </c>
      <c r="I66" s="72">
        <f>SUM(I54:I65)</f>
        <v>5502.533683078198</v>
      </c>
      <c r="J66" s="72">
        <f>SUM(J54:J65)</f>
        <v>484.9070627667871</v>
      </c>
      <c r="K66" s="64"/>
      <c r="L66" s="64"/>
      <c r="N66" s="72">
        <f>SUM(N54:N65)</f>
        <v>277.9580609586403</v>
      </c>
      <c r="O66" s="72">
        <f>SUM(O54:O65)</f>
        <v>46.37515945042295</v>
      </c>
      <c r="P66" s="72">
        <f>SUM(P54:P65)</f>
        <v>4.086779590936748</v>
      </c>
      <c r="Q66" s="72">
        <f>SUM(Q54:Q65)</f>
        <v>328.42</v>
      </c>
      <c r="R66" s="64">
        <f>SUM(H66:J66,N66:P66)</f>
        <v>39296.31</v>
      </c>
      <c r="S66" s="72">
        <f>SUM(S54:S65)</f>
        <v>328.42</v>
      </c>
    </row>
    <row r="67" spans="2:19" ht="15.75" thickBot="1">
      <c r="B67" s="53">
        <v>40544</v>
      </c>
      <c r="C67" s="54">
        <f aca="true" t="shared" si="64" ref="C67:C78">YEAR(B67)</f>
        <v>2011</v>
      </c>
      <c r="D67" s="54" t="str">
        <f aca="true" t="shared" si="65" ref="D67:D78">IF(MONTH(B67)=0,"",IF(MONTH(B67)&lt;4,"Q1",IF(MONTH(B67)&lt;7,"Q2",IF(MONTH(B67)&lt;10,"Q3","Q4"))))</f>
        <v>Q1</v>
      </c>
      <c r="E67" s="55" t="str">
        <f aca="true" t="shared" si="66" ref="E67:E78">CONCATENATE(C67," ",D67)</f>
        <v>2011 Q1</v>
      </c>
      <c r="F67" s="56">
        <f>F65+G65</f>
        <v>65290.38000000001</v>
      </c>
      <c r="G67" s="57">
        <v>5100.79</v>
      </c>
      <c r="H67" s="64">
        <f aca="true" t="shared" si="67" ref="H67:H78">G67*($T$17)</f>
        <v>4328.146232558425</v>
      </c>
      <c r="I67" s="64">
        <f aca="true" t="shared" si="68" ref="I67:I78">G67*($U$17)</f>
        <v>709.0076216546694</v>
      </c>
      <c r="J67" s="64">
        <f aca="true" t="shared" si="69" ref="J67:J78">G67*($V$17)</f>
        <v>63.636145786905324</v>
      </c>
      <c r="K67" s="64">
        <f aca="true" t="shared" si="70" ref="K67:K78">SUM(H67:J67)</f>
        <v>5100.79</v>
      </c>
      <c r="L67" s="64">
        <f aca="true" t="shared" si="71" ref="L67:L78">K67-G67</f>
        <v>0</v>
      </c>
      <c r="M67" s="52">
        <v>0.0147</v>
      </c>
      <c r="N67" s="64">
        <f aca="true" t="shared" si="72" ref="N67:N78">Q67*($T$17)</f>
        <v>67.86500437775773</v>
      </c>
      <c r="O67" s="64">
        <f aca="true" t="shared" si="73" ref="O67:O78">Q67*($U$17)</f>
        <v>11.117185686911334</v>
      </c>
      <c r="P67" s="64">
        <f aca="true" t="shared" si="74" ref="P67:P78">Q67*($V$17)</f>
        <v>0.9978099353309365</v>
      </c>
      <c r="Q67" s="64">
        <v>79.98</v>
      </c>
      <c r="R67" s="64"/>
      <c r="S67" s="64">
        <v>79.98</v>
      </c>
    </row>
    <row r="68" spans="2:19" ht="15.75" thickBot="1">
      <c r="B68" s="53">
        <v>40575</v>
      </c>
      <c r="C68" s="54">
        <f t="shared" si="64"/>
        <v>2011</v>
      </c>
      <c r="D68" s="54" t="str">
        <f t="shared" si="65"/>
        <v>Q1</v>
      </c>
      <c r="E68" s="55" t="str">
        <f t="shared" si="66"/>
        <v>2011 Q1</v>
      </c>
      <c r="F68" s="56">
        <f aca="true" t="shared" si="75" ref="F68:F78">F67+G67</f>
        <v>70391.17000000001</v>
      </c>
      <c r="G68" s="57">
        <v>5175.53</v>
      </c>
      <c r="H68" s="64">
        <f t="shared" si="67"/>
        <v>4391.564967582101</v>
      </c>
      <c r="I68" s="64">
        <f t="shared" si="68"/>
        <v>719.39644958965</v>
      </c>
      <c r="J68" s="64">
        <f t="shared" si="69"/>
        <v>64.56858282824858</v>
      </c>
      <c r="K68" s="64">
        <f t="shared" si="70"/>
        <v>5175.53</v>
      </c>
      <c r="L68" s="64">
        <f t="shared" si="71"/>
        <v>0</v>
      </c>
      <c r="M68" s="52">
        <v>0.0147</v>
      </c>
      <c r="N68" s="64">
        <f t="shared" si="72"/>
        <v>73.16828366459177</v>
      </c>
      <c r="O68" s="64">
        <f t="shared" si="73"/>
        <v>11.985933005530937</v>
      </c>
      <c r="P68" s="64">
        <f t="shared" si="74"/>
        <v>1.0757833298773025</v>
      </c>
      <c r="Q68" s="64">
        <v>86.23</v>
      </c>
      <c r="R68" s="64"/>
      <c r="S68" s="64">
        <v>86.23</v>
      </c>
    </row>
    <row r="69" spans="2:19" ht="15.75" thickBot="1">
      <c r="B69" s="53">
        <v>40603</v>
      </c>
      <c r="C69" s="54">
        <f t="shared" si="64"/>
        <v>2011</v>
      </c>
      <c r="D69" s="54" t="str">
        <f t="shared" si="65"/>
        <v>Q1</v>
      </c>
      <c r="E69" s="55" t="str">
        <f t="shared" si="66"/>
        <v>2011 Q1</v>
      </c>
      <c r="F69" s="56">
        <f t="shared" si="75"/>
        <v>75566.70000000001</v>
      </c>
      <c r="G69" s="57">
        <v>4702.09</v>
      </c>
      <c r="H69" s="64">
        <f t="shared" si="67"/>
        <v>3989.839440292709</v>
      </c>
      <c r="I69" s="64">
        <f t="shared" si="68"/>
        <v>653.5884927052878</v>
      </c>
      <c r="J69" s="64">
        <f t="shared" si="69"/>
        <v>58.662067002003546</v>
      </c>
      <c r="K69" s="64">
        <f t="shared" si="70"/>
        <v>4702.09</v>
      </c>
      <c r="L69" s="64">
        <f t="shared" si="71"/>
        <v>0</v>
      </c>
      <c r="M69" s="52">
        <v>0.0147</v>
      </c>
      <c r="N69" s="64">
        <f t="shared" si="72"/>
        <v>78.5479301731562</v>
      </c>
      <c r="O69" s="64">
        <f t="shared" si="73"/>
        <v>12.86719028553866</v>
      </c>
      <c r="P69" s="64">
        <f t="shared" si="74"/>
        <v>1.154879541305136</v>
      </c>
      <c r="Q69" s="64">
        <v>92.57</v>
      </c>
      <c r="R69" s="64"/>
      <c r="S69" s="64">
        <v>92.57</v>
      </c>
    </row>
    <row r="70" spans="2:19" ht="15.75" thickBot="1">
      <c r="B70" s="53">
        <v>40634</v>
      </c>
      <c r="C70" s="54">
        <f t="shared" si="64"/>
        <v>2011</v>
      </c>
      <c r="D70" s="54" t="str">
        <f t="shared" si="65"/>
        <v>Q2</v>
      </c>
      <c r="E70" s="55" t="str">
        <f t="shared" si="66"/>
        <v>2011 Q2</v>
      </c>
      <c r="F70" s="56">
        <f t="shared" si="75"/>
        <v>80268.79000000001</v>
      </c>
      <c r="G70" s="57">
        <v>5820.5</v>
      </c>
      <c r="H70" s="64">
        <f t="shared" si="67"/>
        <v>4938.837934242796</v>
      </c>
      <c r="I70" s="64">
        <f t="shared" si="68"/>
        <v>809.0470028840638</v>
      </c>
      <c r="J70" s="64">
        <f t="shared" si="69"/>
        <v>72.61506287313973</v>
      </c>
      <c r="K70" s="64">
        <f t="shared" si="70"/>
        <v>5820.499999999999</v>
      </c>
      <c r="L70" s="64">
        <f t="shared" si="71"/>
        <v>0</v>
      </c>
      <c r="M70" s="52">
        <v>0.0147</v>
      </c>
      <c r="N70" s="64">
        <f t="shared" si="72"/>
        <v>83.43543236390245</v>
      </c>
      <c r="O70" s="64">
        <f t="shared" si="73"/>
        <v>13.667827814378487</v>
      </c>
      <c r="P70" s="64">
        <f t="shared" si="74"/>
        <v>1.226739821719067</v>
      </c>
      <c r="Q70" s="64">
        <v>98.33</v>
      </c>
      <c r="R70" s="64"/>
      <c r="S70" s="64">
        <v>98.33</v>
      </c>
    </row>
    <row r="71" spans="2:19" ht="15.75" thickBot="1">
      <c r="B71" s="53">
        <v>40664</v>
      </c>
      <c r="C71" s="54">
        <f t="shared" si="64"/>
        <v>2011</v>
      </c>
      <c r="D71" s="54" t="str">
        <f t="shared" si="65"/>
        <v>Q2</v>
      </c>
      <c r="E71" s="55" t="str">
        <f t="shared" si="66"/>
        <v>2011 Q2</v>
      </c>
      <c r="F71" s="56">
        <f t="shared" si="75"/>
        <v>86089.29000000001</v>
      </c>
      <c r="G71" s="57">
        <v>5820.5</v>
      </c>
      <c r="H71" s="64">
        <f t="shared" si="67"/>
        <v>4938.837934242796</v>
      </c>
      <c r="I71" s="64">
        <f t="shared" si="68"/>
        <v>809.0470028840638</v>
      </c>
      <c r="J71" s="64">
        <f t="shared" si="69"/>
        <v>72.61506287313973</v>
      </c>
      <c r="K71" s="64">
        <f t="shared" si="70"/>
        <v>5820.499999999999</v>
      </c>
      <c r="L71" s="64">
        <f t="shared" si="71"/>
        <v>0</v>
      </c>
      <c r="M71" s="52">
        <v>0.0147</v>
      </c>
      <c r="N71" s="64">
        <f t="shared" si="72"/>
        <v>89.4854133743227</v>
      </c>
      <c r="O71" s="64">
        <f t="shared" si="73"/>
        <v>14.65889475545973</v>
      </c>
      <c r="P71" s="64">
        <f t="shared" si="74"/>
        <v>1.3156918702175613</v>
      </c>
      <c r="Q71" s="64">
        <v>105.46</v>
      </c>
      <c r="R71" s="64"/>
      <c r="S71" s="64">
        <v>105.46</v>
      </c>
    </row>
    <row r="72" spans="2:19" ht="15.75" thickBot="1">
      <c r="B72" s="53">
        <v>40695</v>
      </c>
      <c r="C72" s="54">
        <f t="shared" si="64"/>
        <v>2011</v>
      </c>
      <c r="D72" s="54" t="str">
        <f t="shared" si="65"/>
        <v>Q2</v>
      </c>
      <c r="E72" s="55" t="str">
        <f t="shared" si="66"/>
        <v>2011 Q2</v>
      </c>
      <c r="F72" s="56">
        <f t="shared" si="75"/>
        <v>91909.79000000001</v>
      </c>
      <c r="G72" s="57">
        <v>5820.5</v>
      </c>
      <c r="H72" s="64">
        <f t="shared" si="67"/>
        <v>4938.837934242796</v>
      </c>
      <c r="I72" s="64">
        <f t="shared" si="68"/>
        <v>809.0470028840638</v>
      </c>
      <c r="J72" s="64">
        <f t="shared" si="69"/>
        <v>72.61506287313973</v>
      </c>
      <c r="K72" s="64">
        <f t="shared" si="70"/>
        <v>5820.499999999999</v>
      </c>
      <c r="L72" s="64">
        <f t="shared" si="71"/>
        <v>0</v>
      </c>
      <c r="M72" s="52">
        <v>0.0147</v>
      </c>
      <c r="N72" s="64">
        <f t="shared" si="72"/>
        <v>95.53539438474297</v>
      </c>
      <c r="O72" s="64">
        <f t="shared" si="73"/>
        <v>15.649961696540974</v>
      </c>
      <c r="P72" s="64">
        <f t="shared" si="74"/>
        <v>1.4046439187160558</v>
      </c>
      <c r="Q72" s="64">
        <v>112.59</v>
      </c>
      <c r="R72" s="64"/>
      <c r="S72" s="64">
        <v>112.59</v>
      </c>
    </row>
    <row r="73" spans="2:19" ht="15.75" thickBot="1">
      <c r="B73" s="53">
        <v>40725</v>
      </c>
      <c r="C73" s="54">
        <f t="shared" si="64"/>
        <v>2011</v>
      </c>
      <c r="D73" s="54" t="str">
        <f t="shared" si="65"/>
        <v>Q3</v>
      </c>
      <c r="E73" s="55" t="str">
        <f t="shared" si="66"/>
        <v>2011 Q3</v>
      </c>
      <c r="F73" s="56">
        <f t="shared" si="75"/>
        <v>97730.29000000001</v>
      </c>
      <c r="G73" s="57">
        <v>5820.5</v>
      </c>
      <c r="H73" s="64">
        <f t="shared" si="67"/>
        <v>4938.837934242796</v>
      </c>
      <c r="I73" s="64">
        <f t="shared" si="68"/>
        <v>809.0470028840638</v>
      </c>
      <c r="J73" s="64">
        <f t="shared" si="69"/>
        <v>72.61506287313973</v>
      </c>
      <c r="K73" s="64">
        <f t="shared" si="70"/>
        <v>5820.499999999999</v>
      </c>
      <c r="L73" s="64">
        <f t="shared" si="71"/>
        <v>0</v>
      </c>
      <c r="M73" s="52">
        <v>0.0147</v>
      </c>
      <c r="N73" s="64">
        <f t="shared" si="72"/>
        <v>101.58537539516323</v>
      </c>
      <c r="O73" s="64">
        <f t="shared" si="73"/>
        <v>16.641028637622217</v>
      </c>
      <c r="P73" s="64">
        <f t="shared" si="74"/>
        <v>1.49359596721455</v>
      </c>
      <c r="Q73" s="64">
        <v>119.72</v>
      </c>
      <c r="R73" s="64"/>
      <c r="S73" s="64">
        <v>119.72</v>
      </c>
    </row>
    <row r="74" spans="2:24" ht="15.75" thickBot="1">
      <c r="B74" s="53">
        <v>40756</v>
      </c>
      <c r="C74" s="54">
        <f t="shared" si="64"/>
        <v>2011</v>
      </c>
      <c r="D74" s="54" t="str">
        <f t="shared" si="65"/>
        <v>Q3</v>
      </c>
      <c r="E74" s="55" t="str">
        <f t="shared" si="66"/>
        <v>2011 Q3</v>
      </c>
      <c r="F74" s="56">
        <f t="shared" si="75"/>
        <v>103550.79000000001</v>
      </c>
      <c r="G74" s="57">
        <v>5820.5</v>
      </c>
      <c r="H74" s="64">
        <f t="shared" si="67"/>
        <v>4938.837934242796</v>
      </c>
      <c r="I74" s="64">
        <f t="shared" si="68"/>
        <v>809.0470028840638</v>
      </c>
      <c r="J74" s="64">
        <f t="shared" si="69"/>
        <v>72.61506287313973</v>
      </c>
      <c r="K74" s="64">
        <f t="shared" si="70"/>
        <v>5820.499999999999</v>
      </c>
      <c r="L74" s="64">
        <f t="shared" si="71"/>
        <v>0</v>
      </c>
      <c r="M74" s="52">
        <v>0.0147</v>
      </c>
      <c r="N74" s="64">
        <f t="shared" si="72"/>
        <v>107.6353564055835</v>
      </c>
      <c r="O74" s="64">
        <f t="shared" si="73"/>
        <v>17.63209557870346</v>
      </c>
      <c r="P74" s="64">
        <f t="shared" si="74"/>
        <v>1.5825480157130445</v>
      </c>
      <c r="Q74" s="64">
        <v>126.85</v>
      </c>
      <c r="R74" s="64"/>
      <c r="S74" s="64">
        <v>126.85</v>
      </c>
      <c r="X74" s="81"/>
    </row>
    <row r="75" spans="2:19" ht="15.75" thickBot="1">
      <c r="B75" s="53">
        <v>40787</v>
      </c>
      <c r="C75" s="54">
        <f t="shared" si="64"/>
        <v>2011</v>
      </c>
      <c r="D75" s="54" t="str">
        <f t="shared" si="65"/>
        <v>Q3</v>
      </c>
      <c r="E75" s="55" t="str">
        <f t="shared" si="66"/>
        <v>2011 Q3</v>
      </c>
      <c r="F75" s="56">
        <f t="shared" si="75"/>
        <v>109371.29000000001</v>
      </c>
      <c r="G75" s="57">
        <v>5820.5</v>
      </c>
      <c r="H75" s="64">
        <f t="shared" si="67"/>
        <v>4938.837934242796</v>
      </c>
      <c r="I75" s="64">
        <f t="shared" si="68"/>
        <v>809.0470028840638</v>
      </c>
      <c r="J75" s="64">
        <f t="shared" si="69"/>
        <v>72.61506287313973</v>
      </c>
      <c r="K75" s="64">
        <f t="shared" si="70"/>
        <v>5820.499999999999</v>
      </c>
      <c r="L75" s="64">
        <f t="shared" si="71"/>
        <v>0</v>
      </c>
      <c r="M75" s="52">
        <v>0.0147</v>
      </c>
      <c r="N75" s="64">
        <f t="shared" si="72"/>
        <v>113.68533741600375</v>
      </c>
      <c r="O75" s="64">
        <f t="shared" si="73"/>
        <v>18.6231625197847</v>
      </c>
      <c r="P75" s="64">
        <f t="shared" si="74"/>
        <v>1.6715000642115387</v>
      </c>
      <c r="Q75" s="64">
        <v>133.98</v>
      </c>
      <c r="R75" s="64"/>
      <c r="S75" s="64">
        <v>133.98</v>
      </c>
    </row>
    <row r="76" spans="2:19" ht="15.75" thickBot="1">
      <c r="B76" s="53">
        <v>40817</v>
      </c>
      <c r="C76" s="54">
        <f t="shared" si="64"/>
        <v>2011</v>
      </c>
      <c r="D76" s="54" t="str">
        <f t="shared" si="65"/>
        <v>Q4</v>
      </c>
      <c r="E76" s="55" t="str">
        <f t="shared" si="66"/>
        <v>2011 Q4</v>
      </c>
      <c r="F76" s="56">
        <f t="shared" si="75"/>
        <v>115191.79000000001</v>
      </c>
      <c r="G76" s="57">
        <v>5820.5</v>
      </c>
      <c r="H76" s="64">
        <f t="shared" si="67"/>
        <v>4938.837934242796</v>
      </c>
      <c r="I76" s="64">
        <f t="shared" si="68"/>
        <v>809.0470028840638</v>
      </c>
      <c r="J76" s="64">
        <f t="shared" si="69"/>
        <v>72.61506287313973</v>
      </c>
      <c r="K76" s="64">
        <f t="shared" si="70"/>
        <v>5820.499999999999</v>
      </c>
      <c r="L76" s="64">
        <f t="shared" si="71"/>
        <v>0</v>
      </c>
      <c r="M76" s="52">
        <v>0.0147</v>
      </c>
      <c r="N76" s="64">
        <f t="shared" si="72"/>
        <v>119.73531842642403</v>
      </c>
      <c r="O76" s="64">
        <f t="shared" si="73"/>
        <v>19.614229460865946</v>
      </c>
      <c r="P76" s="64">
        <f t="shared" si="74"/>
        <v>1.7604521127100332</v>
      </c>
      <c r="Q76" s="64">
        <v>141.11</v>
      </c>
      <c r="R76" s="64"/>
      <c r="S76" s="64">
        <v>141.11</v>
      </c>
    </row>
    <row r="77" spans="2:19" ht="15.75" thickBot="1">
      <c r="B77" s="53">
        <v>40848</v>
      </c>
      <c r="C77" s="54">
        <f t="shared" si="64"/>
        <v>2011</v>
      </c>
      <c r="D77" s="54" t="str">
        <f t="shared" si="65"/>
        <v>Q4</v>
      </c>
      <c r="E77" s="55" t="str">
        <f t="shared" si="66"/>
        <v>2011 Q4</v>
      </c>
      <c r="F77" s="56">
        <f t="shared" si="75"/>
        <v>121012.29000000001</v>
      </c>
      <c r="G77" s="57">
        <v>5820.5</v>
      </c>
      <c r="H77" s="64">
        <f t="shared" si="67"/>
        <v>4938.837934242796</v>
      </c>
      <c r="I77" s="64">
        <f t="shared" si="68"/>
        <v>809.0470028840638</v>
      </c>
      <c r="J77" s="64">
        <f t="shared" si="69"/>
        <v>72.61506287313973</v>
      </c>
      <c r="K77" s="64">
        <f t="shared" si="70"/>
        <v>5820.499999999999</v>
      </c>
      <c r="L77" s="64">
        <f t="shared" si="71"/>
        <v>0</v>
      </c>
      <c r="M77" s="52">
        <v>0.0147</v>
      </c>
      <c r="N77" s="64">
        <f t="shared" si="72"/>
        <v>125.7852994368443</v>
      </c>
      <c r="O77" s="64">
        <f t="shared" si="73"/>
        <v>20.60529640194719</v>
      </c>
      <c r="P77" s="64">
        <f t="shared" si="74"/>
        <v>1.8494041612085277</v>
      </c>
      <c r="Q77" s="64">
        <v>148.24</v>
      </c>
      <c r="R77" s="64"/>
      <c r="S77" s="64">
        <v>148.24</v>
      </c>
    </row>
    <row r="78" spans="2:19" ht="15.75" thickBot="1">
      <c r="B78" s="53">
        <v>40878</v>
      </c>
      <c r="C78" s="54">
        <f t="shared" si="64"/>
        <v>2011</v>
      </c>
      <c r="D78" s="54" t="str">
        <f t="shared" si="65"/>
        <v>Q4</v>
      </c>
      <c r="E78" s="55" t="str">
        <f t="shared" si="66"/>
        <v>2011 Q4</v>
      </c>
      <c r="F78" s="56">
        <f t="shared" si="75"/>
        <v>126832.79000000001</v>
      </c>
      <c r="G78" s="57">
        <v>5820.5</v>
      </c>
      <c r="H78" s="64">
        <f t="shared" si="67"/>
        <v>4938.837934242796</v>
      </c>
      <c r="I78" s="64">
        <f t="shared" si="68"/>
        <v>809.0470028840638</v>
      </c>
      <c r="J78" s="64">
        <f t="shared" si="69"/>
        <v>72.61506287313973</v>
      </c>
      <c r="K78" s="64">
        <f t="shared" si="70"/>
        <v>5820.499999999999</v>
      </c>
      <c r="L78" s="64">
        <f t="shared" si="71"/>
        <v>0</v>
      </c>
      <c r="M78" s="52">
        <v>0.0147</v>
      </c>
      <c r="N78" s="64">
        <f t="shared" si="72"/>
        <v>131.83528044726455</v>
      </c>
      <c r="O78" s="64">
        <f t="shared" si="73"/>
        <v>21.596363343028433</v>
      </c>
      <c r="P78" s="64">
        <f t="shared" si="74"/>
        <v>1.938356209707022</v>
      </c>
      <c r="Q78" s="64">
        <v>155.37</v>
      </c>
      <c r="R78" s="64"/>
      <c r="S78" s="64">
        <v>155.37</v>
      </c>
    </row>
    <row r="79" spans="2:19" ht="15.75" thickBot="1">
      <c r="B79" s="100" t="s">
        <v>51</v>
      </c>
      <c r="C79" s="100"/>
      <c r="D79" s="100"/>
      <c r="E79" s="100"/>
      <c r="F79" s="101"/>
      <c r="G79" s="57"/>
      <c r="H79" s="72">
        <f>SUM(H67:H78)</f>
        <v>57159.09204861838</v>
      </c>
      <c r="I79" s="72">
        <f>SUM(I67:I78)</f>
        <v>9363.41558990618</v>
      </c>
      <c r="J79" s="72">
        <f>SUM(J67:J78)</f>
        <v>840.4023614754152</v>
      </c>
      <c r="K79" s="64"/>
      <c r="L79" s="64"/>
      <c r="N79" s="72">
        <f>SUM(N67:N78)</f>
        <v>1188.299425865757</v>
      </c>
      <c r="O79" s="72">
        <f>SUM(O67:O78)</f>
        <v>194.65916918631203</v>
      </c>
      <c r="P79" s="72">
        <f>SUM(P67:P78)</f>
        <v>17.471404947930775</v>
      </c>
      <c r="Q79" s="72">
        <f>SUM(Q67:Q78)</f>
        <v>1400.4300000000003</v>
      </c>
      <c r="R79" s="64">
        <f>SUM(H79:J79,N79:P79)</f>
        <v>68763.33999999998</v>
      </c>
      <c r="S79" s="72">
        <f>SUM(S67:S78)</f>
        <v>1400.4300000000003</v>
      </c>
    </row>
    <row r="80" spans="2:19" ht="15.75" thickBot="1">
      <c r="B80" s="53">
        <v>40909</v>
      </c>
      <c r="C80" s="54">
        <f aca="true" t="shared" si="76" ref="C80:C86">YEAR(B80)</f>
        <v>2012</v>
      </c>
      <c r="D80" s="54" t="str">
        <f aca="true" t="shared" si="77" ref="D80:D86">IF(MONTH(B80)=0,"",IF(MONTH(B80)&lt;4,"Q1",IF(MONTH(B80)&lt;7,"Q2",IF(MONTH(B80)&lt;10,"Q3","Q4"))))</f>
        <v>Q1</v>
      </c>
      <c r="E80" s="55" t="str">
        <f aca="true" t="shared" si="78" ref="E80:E86">CONCATENATE(C80," ",D80)</f>
        <v>2012 Q1</v>
      </c>
      <c r="F80" s="56">
        <f>F78+G78</f>
        <v>132653.29</v>
      </c>
      <c r="G80" s="57">
        <f>G78</f>
        <v>5820.5</v>
      </c>
      <c r="H80" s="64">
        <f>G80*($T$18)</f>
        <v>4951.54078800873</v>
      </c>
      <c r="I80" s="64">
        <f>G80*($U$18)</f>
        <v>817.2722550602595</v>
      </c>
      <c r="J80" s="64">
        <f>G80*($V$18)</f>
        <v>51.68695693101151</v>
      </c>
      <c r="K80" s="64">
        <f>SUM(H80:J80)</f>
        <v>5820.5</v>
      </c>
      <c r="L80" s="64">
        <f>K80-G80</f>
        <v>0</v>
      </c>
      <c r="M80" s="52">
        <v>0.0147</v>
      </c>
      <c r="N80" s="64">
        <f>Q80*($T$18)</f>
        <v>138.2399068896862</v>
      </c>
      <c r="O80" s="64">
        <f>Q80*($U$18)</f>
        <v>22.817067510916957</v>
      </c>
      <c r="P80" s="64">
        <f>Q80*($V$18)</f>
        <v>1.4430255993968508</v>
      </c>
      <c r="Q80" s="64">
        <v>162.5</v>
      </c>
      <c r="R80" s="64"/>
      <c r="S80" s="64">
        <v>162.5</v>
      </c>
    </row>
    <row r="81" spans="2:19" ht="15.75" thickBot="1">
      <c r="B81" s="53">
        <v>40940</v>
      </c>
      <c r="C81" s="54">
        <f t="shared" si="76"/>
        <v>2012</v>
      </c>
      <c r="D81" s="54" t="str">
        <f t="shared" si="77"/>
        <v>Q1</v>
      </c>
      <c r="E81" s="55" t="str">
        <f t="shared" si="78"/>
        <v>2012 Q1</v>
      </c>
      <c r="F81" s="56">
        <f aca="true" t="shared" si="79" ref="F81:F86">F80+G80</f>
        <v>138473.79</v>
      </c>
      <c r="G81" s="57">
        <f>G80</f>
        <v>5820.5</v>
      </c>
      <c r="H81" s="64">
        <f>G81*($T$18)</f>
        <v>4951.54078800873</v>
      </c>
      <c r="I81" s="64">
        <f>G81*($U$18)</f>
        <v>817.2722550602595</v>
      </c>
      <c r="J81" s="64">
        <f>G81*($V$18)</f>
        <v>51.68695693101151</v>
      </c>
      <c r="K81" s="64">
        <f>SUM(H81:J81)</f>
        <v>5820.5</v>
      </c>
      <c r="L81" s="64">
        <f>K81-G81</f>
        <v>0</v>
      </c>
      <c r="M81" s="52">
        <v>0.0147</v>
      </c>
      <c r="N81" s="64">
        <f>Q81*($T$18)</f>
        <v>144.30544865044595</v>
      </c>
      <c r="O81" s="64">
        <f>Q81*($U$18)</f>
        <v>23.818210226934422</v>
      </c>
      <c r="P81" s="64">
        <f>Q81*($V$18)</f>
        <v>1.5063411226196173</v>
      </c>
      <c r="Q81" s="64">
        <v>169.63</v>
      </c>
      <c r="R81" s="64"/>
      <c r="S81" s="64">
        <v>169.63</v>
      </c>
    </row>
    <row r="82" spans="2:19" ht="15.75" thickBot="1">
      <c r="B82" s="53">
        <v>40969</v>
      </c>
      <c r="C82" s="54">
        <f t="shared" si="76"/>
        <v>2012</v>
      </c>
      <c r="D82" s="54" t="str">
        <f t="shared" si="77"/>
        <v>Q1</v>
      </c>
      <c r="E82" s="55" t="str">
        <f t="shared" si="78"/>
        <v>2012 Q1</v>
      </c>
      <c r="F82" s="56">
        <f t="shared" si="79"/>
        <v>144294.29</v>
      </c>
      <c r="G82" s="57">
        <f>G81</f>
        <v>5820.5</v>
      </c>
      <c r="H82" s="64">
        <f>G82*($T$18)</f>
        <v>4951.54078800873</v>
      </c>
      <c r="I82" s="64">
        <f>G82*($U$18)</f>
        <v>817.2722550602595</v>
      </c>
      <c r="J82" s="64">
        <f>G82*($V$18)</f>
        <v>51.68695693101151</v>
      </c>
      <c r="K82" s="64">
        <f>SUM(H82:J82)</f>
        <v>5820.5</v>
      </c>
      <c r="L82" s="64">
        <f>K82-G82</f>
        <v>0</v>
      </c>
      <c r="M82" s="52">
        <v>0.0147</v>
      </c>
      <c r="N82" s="64">
        <f>Q82*($T$18)</f>
        <v>150.37099041120572</v>
      </c>
      <c r="O82" s="64">
        <f>Q82*($U$18)</f>
        <v>24.819352942951884</v>
      </c>
      <c r="P82" s="64">
        <f>Q82*($V$18)</f>
        <v>1.5696566458423837</v>
      </c>
      <c r="Q82" s="64">
        <v>176.76</v>
      </c>
      <c r="R82" s="64"/>
      <c r="S82" s="64">
        <v>176.76</v>
      </c>
    </row>
    <row r="83" spans="2:19" ht="15.75" thickBot="1">
      <c r="B83" s="53">
        <v>41000</v>
      </c>
      <c r="C83" s="54">
        <f t="shared" si="76"/>
        <v>2012</v>
      </c>
      <c r="D83" s="54" t="str">
        <f t="shared" si="77"/>
        <v>Q2</v>
      </c>
      <c r="E83" s="55" t="str">
        <f t="shared" si="78"/>
        <v>2012 Q2</v>
      </c>
      <c r="F83" s="56">
        <f t="shared" si="79"/>
        <v>150114.79</v>
      </c>
      <c r="G83" s="57">
        <f>G82</f>
        <v>5820.5</v>
      </c>
      <c r="H83" s="64">
        <f>G83*($T$18)</f>
        <v>4951.54078800873</v>
      </c>
      <c r="I83" s="64">
        <f>G83*($U$18)</f>
        <v>817.2722550602595</v>
      </c>
      <c r="J83" s="64">
        <f>G83*($V$18)</f>
        <v>51.68695693101151</v>
      </c>
      <c r="K83" s="64">
        <f>SUM(H83:J83)</f>
        <v>5820.5</v>
      </c>
      <c r="L83" s="64">
        <f>K83-G83</f>
        <v>0</v>
      </c>
      <c r="M83" s="52">
        <v>0.0147</v>
      </c>
      <c r="N83" s="64">
        <f>Q83*($T$18)</f>
        <v>156.4365321719655</v>
      </c>
      <c r="O83" s="64">
        <f>Q83*($U$18)</f>
        <v>25.82049565896935</v>
      </c>
      <c r="P83" s="64">
        <f>Q83*($V$18)</f>
        <v>1.6329721690651502</v>
      </c>
      <c r="Q83" s="64">
        <v>183.89</v>
      </c>
      <c r="R83" s="64"/>
      <c r="S83" s="64">
        <v>183.89</v>
      </c>
    </row>
    <row r="84" spans="2:19" ht="15.75" thickBot="1">
      <c r="B84" s="53">
        <v>41030</v>
      </c>
      <c r="C84" s="54">
        <f t="shared" si="76"/>
        <v>2012</v>
      </c>
      <c r="D84" s="54" t="str">
        <f t="shared" si="77"/>
        <v>Q2</v>
      </c>
      <c r="E84" s="55" t="str">
        <f t="shared" si="78"/>
        <v>2012 Q2</v>
      </c>
      <c r="F84" s="56">
        <f t="shared" si="79"/>
        <v>155935.29</v>
      </c>
      <c r="G84" s="57"/>
      <c r="M84" s="52">
        <v>0</v>
      </c>
      <c r="Q84" s="64">
        <v>0</v>
      </c>
      <c r="S84" s="64"/>
    </row>
    <row r="85" spans="2:19" ht="15.75" thickBot="1">
      <c r="B85" s="53">
        <v>41061</v>
      </c>
      <c r="C85" s="54">
        <f t="shared" si="76"/>
        <v>2012</v>
      </c>
      <c r="D85" s="54" t="str">
        <f t="shared" si="77"/>
        <v>Q2</v>
      </c>
      <c r="E85" s="55" t="str">
        <f t="shared" si="78"/>
        <v>2012 Q2</v>
      </c>
      <c r="F85" s="56">
        <f t="shared" si="79"/>
        <v>155935.29</v>
      </c>
      <c r="G85" s="57"/>
      <c r="M85" s="52">
        <v>0</v>
      </c>
      <c r="Q85" s="64">
        <v>0</v>
      </c>
      <c r="S85" s="64"/>
    </row>
    <row r="86" spans="2:19" ht="15.75" thickBot="1">
      <c r="B86" s="53">
        <v>41091</v>
      </c>
      <c r="C86" s="54">
        <f t="shared" si="76"/>
        <v>2012</v>
      </c>
      <c r="D86" s="54" t="str">
        <f t="shared" si="77"/>
        <v>Q3</v>
      </c>
      <c r="E86" s="55" t="str">
        <f t="shared" si="78"/>
        <v>2012 Q3</v>
      </c>
      <c r="F86" s="56">
        <f t="shared" si="79"/>
        <v>155935.29</v>
      </c>
      <c r="G86" s="57"/>
      <c r="M86" s="52">
        <v>0</v>
      </c>
      <c r="Q86" s="64">
        <v>0</v>
      </c>
      <c r="S86" s="64"/>
    </row>
    <row r="87" spans="2:19" ht="15.75" thickBot="1">
      <c r="B87" s="100" t="s">
        <v>52</v>
      </c>
      <c r="C87" s="100"/>
      <c r="D87" s="100"/>
      <c r="E87" s="100"/>
      <c r="F87" s="101"/>
      <c r="G87" s="57"/>
      <c r="H87" s="72">
        <f>SUM(H80:H86)</f>
        <v>19806.16315203492</v>
      </c>
      <c r="I87" s="72">
        <f>SUM(I80:I86)</f>
        <v>3269.089020241038</v>
      </c>
      <c r="J87" s="72">
        <f>SUM(J80:J86)</f>
        <v>206.74782772404603</v>
      </c>
      <c r="K87" s="72">
        <f>SUM(K80:K86)</f>
        <v>23282</v>
      </c>
      <c r="M87" s="52">
        <v>0</v>
      </c>
      <c r="N87" s="72">
        <f>SUM(N80:N86)</f>
        <v>589.3528781233034</v>
      </c>
      <c r="O87" s="72">
        <f>SUM(O80:O86)</f>
        <v>97.27512633977261</v>
      </c>
      <c r="P87" s="72">
        <f>SUM(P80:P86)</f>
        <v>6.151995536924002</v>
      </c>
      <c r="Q87" s="72">
        <f>SUM(Q80:Q86)</f>
        <v>692.78</v>
      </c>
      <c r="R87" s="64">
        <f>SUM(H87:J87,N87:P87)</f>
        <v>23974.78</v>
      </c>
      <c r="S87" s="72">
        <f>SUM(S80:S86)</f>
        <v>692.78</v>
      </c>
    </row>
    <row r="88" spans="2:19" ht="15.75" thickBot="1">
      <c r="B88" s="53">
        <v>41122</v>
      </c>
      <c r="C88" s="54">
        <f>YEAR(B88)</f>
        <v>2012</v>
      </c>
      <c r="D88" s="54" t="str">
        <f>IF(MONTH(B88)=0,"",IF(MONTH(B88)&lt;4,"Q1",IF(MONTH(B88)&lt;7,"Q2",IF(MONTH(B88)&lt;10,"Q3","Q4"))))</f>
        <v>Q3</v>
      </c>
      <c r="E88" s="55" t="str">
        <f>CONCATENATE(C88," ",D88)</f>
        <v>2012 Q3</v>
      </c>
      <c r="F88" s="56">
        <f>F86+G86</f>
        <v>155935.29</v>
      </c>
      <c r="G88" s="57"/>
      <c r="M88" s="52">
        <v>0</v>
      </c>
      <c r="Q88" s="64">
        <v>0</v>
      </c>
      <c r="S88" s="64"/>
    </row>
    <row r="89" spans="2:19" ht="15.75" thickBot="1">
      <c r="B89" s="53">
        <v>41153</v>
      </c>
      <c r="C89" s="54">
        <f>YEAR(B89)</f>
        <v>2012</v>
      </c>
      <c r="D89" s="54" t="str">
        <f>IF(MONTH(B89)=0,"",IF(MONTH(B89)&lt;4,"Q1",IF(MONTH(B89)&lt;7,"Q2",IF(MONTH(B89)&lt;10,"Q3","Q4"))))</f>
        <v>Q3</v>
      </c>
      <c r="E89" s="55" t="str">
        <f>CONCATENATE(C89," ",D89)</f>
        <v>2012 Q3</v>
      </c>
      <c r="F89" s="56">
        <f>F88+G87</f>
        <v>155935.29</v>
      </c>
      <c r="G89" s="57"/>
      <c r="M89" s="52">
        <v>0</v>
      </c>
      <c r="Q89" s="64">
        <v>0</v>
      </c>
      <c r="S89" s="64"/>
    </row>
    <row r="90" spans="2:17" ht="15.75" thickBot="1">
      <c r="B90" s="53">
        <v>41183</v>
      </c>
      <c r="C90" s="54">
        <f>YEAR(B90)</f>
        <v>2012</v>
      </c>
      <c r="D90" s="54" t="str">
        <f>IF(MONTH(B90)=0,"",IF(MONTH(B90)&lt;4,"Q1",IF(MONTH(B90)&lt;7,"Q2",IF(MONTH(B90)&lt;10,"Q3","Q4"))))</f>
        <v>Q4</v>
      </c>
      <c r="E90" s="55" t="str">
        <f>CONCATENATE(C90," ",D90)</f>
        <v>2012 Q4</v>
      </c>
      <c r="F90" s="56">
        <f>F89+G88</f>
        <v>155935.29</v>
      </c>
      <c r="G90" s="57"/>
      <c r="M90" s="52">
        <v>0</v>
      </c>
      <c r="Q90">
        <v>0</v>
      </c>
    </row>
    <row r="91" spans="2:17" ht="15">
      <c r="B91" s="53">
        <v>41214</v>
      </c>
      <c r="C91" s="54">
        <f>YEAR(B91)</f>
        <v>2012</v>
      </c>
      <c r="D91" s="54" t="str">
        <f>IF(MONTH(B91)=0,"",IF(MONTH(B91)&lt;4,"Q1",IF(MONTH(B91)&lt;7,"Q2",IF(MONTH(B91)&lt;10,"Q3","Q4"))))</f>
        <v>Q4</v>
      </c>
      <c r="E91" s="55" t="str">
        <f>CONCATENATE(C91," ",D91)</f>
        <v>2012 Q4</v>
      </c>
      <c r="F91" s="56">
        <f>F90+G89</f>
        <v>155935.29</v>
      </c>
      <c r="G91" s="82"/>
      <c r="M91" s="52">
        <v>0</v>
      </c>
      <c r="Q91">
        <v>0</v>
      </c>
    </row>
    <row r="92" spans="2:7" ht="15.75" thickBot="1">
      <c r="B92" s="53">
        <v>41244</v>
      </c>
      <c r="C92" s="54">
        <f>YEAR(B92)</f>
        <v>2012</v>
      </c>
      <c r="D92" s="54" t="str">
        <f>IF(MONTH(B92)=0,"",IF(MONTH(B92)&lt;4,"Q1",IF(MONTH(B92)&lt;7,"Q2",IF(MONTH(B92)&lt;10,"Q3","Q4"))))</f>
        <v>Q4</v>
      </c>
      <c r="E92" s="55" t="str">
        <f>CONCATENATE(C92," ",D92)</f>
        <v>2012 Q4</v>
      </c>
      <c r="F92" s="56">
        <f>F91+G90</f>
        <v>155935.29</v>
      </c>
      <c r="G92" s="83"/>
    </row>
    <row r="93" spans="2:19" ht="16.5" thickBot="1" thickTop="1">
      <c r="B93" s="83"/>
      <c r="C93" s="84"/>
      <c r="D93" s="85"/>
      <c r="E93" s="86"/>
      <c r="F93" s="83"/>
      <c r="G93" s="87">
        <f>SUM(G6:G92)</f>
        <v>155935.29</v>
      </c>
      <c r="H93" s="88">
        <f>SUM(H87+H79+H66+H53+H40+H27+H14)</f>
        <v>132229.79405735692</v>
      </c>
      <c r="I93" s="88">
        <f>SUM(I87+I79+I66+I53+I40+I27+I14)</f>
        <v>21858.09148276157</v>
      </c>
      <c r="J93" s="88">
        <f>SUM(J87+J79+J66+J53+J40+J27+J14)</f>
        <v>1847.404459881487</v>
      </c>
      <c r="K93" s="64">
        <f>SUM(H93:J93)</f>
        <v>155935.28999999998</v>
      </c>
      <c r="L93" s="64">
        <f>K93-G93</f>
        <v>0</v>
      </c>
      <c r="N93" s="88">
        <f>SUM(N87+N79+N66+N53+N40+N27+N14)</f>
        <v>2766.88394802828</v>
      </c>
      <c r="O93" s="88">
        <f>SUM(O87+O79+O66+O53+O40+O27+O14)</f>
        <v>456.98922199768276</v>
      </c>
      <c r="P93" s="88">
        <f>SUM(P87+P79+P66+P53+P40+P27+P14)</f>
        <v>37.77682997403726</v>
      </c>
      <c r="Q93" s="89">
        <f>SUM(Q87+Q79+Q66+Q53+Q40+Q27+Q14)</f>
        <v>3261.65</v>
      </c>
      <c r="R93" s="64">
        <f>SUM(R8:R88)</f>
        <v>159196.93999999997</v>
      </c>
      <c r="S93">
        <v>3261.65</v>
      </c>
    </row>
    <row r="94" spans="2:16" ht="16.5" thickBot="1" thickTop="1">
      <c r="B94" s="90" t="s">
        <v>53</v>
      </c>
      <c r="C94" s="85"/>
      <c r="D94" s="91"/>
      <c r="E94" s="92"/>
      <c r="F94" s="86"/>
      <c r="G94" s="81" t="s">
        <v>54</v>
      </c>
      <c r="H94" s="93" t="s">
        <v>1</v>
      </c>
      <c r="I94" s="93" t="s">
        <v>28</v>
      </c>
      <c r="J94" s="93" t="s">
        <v>29</v>
      </c>
      <c r="N94" s="93" t="s">
        <v>1</v>
      </c>
      <c r="O94" s="93" t="s">
        <v>28</v>
      </c>
      <c r="P94" s="93" t="s">
        <v>29</v>
      </c>
    </row>
    <row r="99" spans="17:19" ht="15">
      <c r="Q99" s="64"/>
      <c r="S99" s="64"/>
    </row>
  </sheetData>
  <sheetProtection/>
  <mergeCells count="8">
    <mergeCell ref="B79:F79"/>
    <mergeCell ref="B87:F87"/>
    <mergeCell ref="X3:AG4"/>
    <mergeCell ref="B14:F14"/>
    <mergeCell ref="B27:F27"/>
    <mergeCell ref="B40:F40"/>
    <mergeCell ref="B53:F53"/>
    <mergeCell ref="B66:F6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Kelly</dc:creator>
  <cp:keywords/>
  <dc:description/>
  <cp:lastModifiedBy>Wilf Thorburn</cp:lastModifiedBy>
  <cp:lastPrinted>2012-07-14T05:23:51Z</cp:lastPrinted>
  <dcterms:created xsi:type="dcterms:W3CDTF">2011-11-17T20:53:16Z</dcterms:created>
  <dcterms:modified xsi:type="dcterms:W3CDTF">2012-07-14T05:24:00Z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