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Basilio, John</author>
  </authors>
  <commentList>
    <comment ref="G58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Ontario Co-operative Education Tax Credit</t>
        </r>
      </text>
    </comment>
    <comment ref="E126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Ontario Co-operative Education Tax Credit
These are taxable credits in the following taxation year.  As such, the "True Up" on this item should be at its after-tax amount.</t>
        </r>
      </text>
    </comment>
    <comment ref="E142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Ontario Co-operative Education Tax Credit
These are taxable credits in the following taxation year.  As such, the "True Up" on this item should be at its after-tax amount.</t>
        </r>
      </text>
    </comment>
  </commentList>
</comments>
</file>

<file path=xl/comments3.xml><?xml version="1.0" encoding="utf-8"?>
<comments xmlns="http://schemas.openxmlformats.org/spreadsheetml/2006/main">
  <authors>
    <author>Basilio, John</author>
  </authors>
  <commentList>
    <comment ref="C145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Ontario Co-operative Education Tax Credit</t>
        </r>
      </text>
    </comment>
  </commentList>
</comments>
</file>

<file path=xl/sharedStrings.xml><?xml version="1.0" encoding="utf-8"?>
<sst xmlns="http://schemas.openxmlformats.org/spreadsheetml/2006/main" count="880" uniqueCount="507">
  <si>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</si>
  <si>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</si>
  <si>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</si>
  <si>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</si>
  <si>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</si>
  <si>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</si>
  <si>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</si>
  <si>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</si>
  <si>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</si>
  <si>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</si>
  <si>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</si>
  <si>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</si>
  <si>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</si>
  <si>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</si>
  <si>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</si>
  <si>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</si>
  <si>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</si>
  <si>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</si>
  <si>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</si>
  <si>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</si>
  <si>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</si>
  <si>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</si>
  <si>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</si>
  <si>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</si>
  <si>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</si>
  <si>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</si>
  <si>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</si>
  <si>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</si>
  <si>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</si>
  <si>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</si>
  <si>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</si>
  <si>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</si>
  <si>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</si>
  <si>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</si>
  <si>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</si>
  <si>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</si>
  <si>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</si>
  <si>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</si>
  <si>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</si>
  <si>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</si>
  <si>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</si>
  <si>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</si>
  <si>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</si>
  <si>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</si>
  <si>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</si>
  <si>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</si>
  <si>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</si>
  <si>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</si>
  <si>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</si>
  <si>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</si>
  <si>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</si>
  <si>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</si>
  <si>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</si>
  <si>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</si>
  <si>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</si>
  <si>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</si>
  <si>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</si>
  <si>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</si>
  <si>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</si>
  <si>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</si>
  <si>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</si>
  <si>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</si>
  <si>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</si>
  <si>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</si>
  <si>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</si>
  <si>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</si>
  <si>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</si>
  <si>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</si>
  <si>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</si>
  <si>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</si>
  <si>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</si>
  <si>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</si>
  <si>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</si>
  <si>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</si>
  <si>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</si>
  <si>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</si>
  <si>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</si>
  <si>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</si>
  <si>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</si>
  <si>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</si>
  <si>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</si>
  <si>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</si>
  <si>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</si>
  <si>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</si>
  <si>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</si>
  <si>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</si>
  <si>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</si>
  <si>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</si>
  <si>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</si>
  <si>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</si>
  <si>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</si>
  <si>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</si>
  <si>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</si>
  <si>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</si>
  <si>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</si>
  <si>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</si>
  <si>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</si>
  <si>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</si>
  <si>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</si>
  <si>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</si>
  <si>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</si>
  <si>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</si>
  <si>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</si>
  <si>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</si>
  <si>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</si>
  <si>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</si>
  <si>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</si>
  <si>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</si>
  <si>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</si>
  <si>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</si>
  <si>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</si>
  <si>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</si>
  <si>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</si>
  <si>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</si>
  <si>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</si>
  <si>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</si>
  <si>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</si>
  <si>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</si>
  <si>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</si>
  <si>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</si>
  <si>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</si>
  <si>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</si>
  <si>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</si>
  <si>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</si>
  <si>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</si>
  <si>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</si>
  <si>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</si>
  <si>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</si>
  <si>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</si>
  <si>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</si>
  <si>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</si>
  <si>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</si>
  <si>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</si>
  <si>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</si>
  <si>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</si>
  <si>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</si>
  <si>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</si>
  <si>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</si>
  <si>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</si>
  <si>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</si>
  <si>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</si>
  <si>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</si>
  <si>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</si>
  <si>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</si>
  <si>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</si>
  <si>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</si>
  <si>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</si>
  <si>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</si>
  <si>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</si>
  <si>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</si>
  <si>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</si>
  <si>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</si>
  <si>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</si>
  <si>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</si>
  <si>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</si>
  <si>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</si>
  <si>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</si>
  <si>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</si>
  <si>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</si>
  <si>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</si>
  <si>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</si>
  <si>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</si>
  <si>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</si>
  <si>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</si>
  <si>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</si>
  <si>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</si>
  <si>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</si>
  <si>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</si>
  <si>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</si>
  <si>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</si>
  <si>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</si>
  <si>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</si>
  <si>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</si>
  <si>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</si>
  <si>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</si>
  <si>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</si>
  <si>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</si>
  <si>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</si>
  <si>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</si>
  <si>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</si>
  <si>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</si>
  <si>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</si>
  <si>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</si>
  <si>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</si>
  <si>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</si>
  <si>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</si>
  <si>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</si>
  <si>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</si>
  <si>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</si>
  <si>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</si>
  <si>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</si>
  <si>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</si>
  <si>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</si>
  <si>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</si>
  <si>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</si>
  <si>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</si>
  <si>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</si>
  <si>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</si>
  <si>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</si>
  <si>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</si>
  <si>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</si>
  <si>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</si>
  <si>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</si>
  <si>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</si>
  <si>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</si>
  <si>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</si>
  <si>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</si>
  <si>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</si>
  <si>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</si>
  <si>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</si>
  <si>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</si>
  <si>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</si>
  <si>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</si>
  <si>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</si>
  <si>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</si>
  <si>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</si>
  <si>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</si>
  <si>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</si>
  <si>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</si>
  <si>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</si>
  <si>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</si>
  <si>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</si>
  <si>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</si>
  <si>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</si>
  <si>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</si>
  <si>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</si>
  <si>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</si>
  <si>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</si>
  <si>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</si>
  <si>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</si>
  <si>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</si>
  <si>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</si>
  <si>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</si>
  <si>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</si>
  <si>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</si>
  <si>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</si>
  <si>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</si>
  <si>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</si>
  <si>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</si>
  <si>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</si>
  <si>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</si>
  <si>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</si>
  <si>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</si>
  <si>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</si>
  <si>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</si>
  <si>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</si>
  <si>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</si>
  <si>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</si>
  <si>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</si>
  <si>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</si>
  <si>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</si>
  <si>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</si>
  <si>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</si>
  <si>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</si>
  <si>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</si>
  <si>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</si>
  <si>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</si>
  <si>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</si>
  <si>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</si>
  <si>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</si>
  <si>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</si>
  <si>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</si>
  <si>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</si>
  <si>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</si>
  <si>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</si>
  <si>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</si>
  <si>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</si>
  <si>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</si>
  <si>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</si>
  <si>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</si>
  <si>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</si>
  <si>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</si>
  <si>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</si>
  <si>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</si>
  <si>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</si>
  <si>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</si>
  <si>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</si>
  <si>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</si>
  <si>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</si>
  <si>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</si>
  <si>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</si>
  <si>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</si>
  <si>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</si>
  <si>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</si>
  <si>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</si>
  <si>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</si>
  <si>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</si>
  <si>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</si>
  <si>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</si>
  <si>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</si>
  <si>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</si>
  <si>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</si>
  <si>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</si>
  <si>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</si>
  <si>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</si>
  <si>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</si>
  <si>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</si>
  <si>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</si>
  <si>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</si>
  <si>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</si>
  <si>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</si>
  <si>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</si>
  <si>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</si>
  <si>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</si>
  <si>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</si>
  <si>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</si>
  <si>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</si>
  <si>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</si>
  <si>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</si>
  <si>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</si>
  <si>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</si>
  <si>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</si>
  <si>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</si>
  <si>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</si>
  <si>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</si>
  <si>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</si>
  <si>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</si>
  <si>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</si>
  <si>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</si>
  <si>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</si>
  <si>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</si>
  <si>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</si>
  <si>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</si>
  <si>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</si>
  <si>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</si>
  <si>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</si>
  <si>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</si>
  <si>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</si>
  <si>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</si>
  <si>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</si>
  <si>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</si>
  <si>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</si>
  <si>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</si>
  <si>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</si>
  <si>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</si>
  <si>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</si>
  <si>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</si>
  <si>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</si>
  <si>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</si>
  <si>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</si>
  <si>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</si>
  <si>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</si>
  <si>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</si>
  <si>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</si>
  <si>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</si>
  <si>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</si>
  <si>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</si>
  <si>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</si>
  <si>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</si>
  <si>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</si>
  <si>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</si>
  <si>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</si>
  <si>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</si>
  <si>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</si>
  <si>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</si>
  <si>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</si>
  <si>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</si>
  <si>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</si>
  <si>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</si>
  <si>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</si>
  <si>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</si>
  <si>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</si>
  <si>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</si>
  <si>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</si>
  <si>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</si>
  <si>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</si>
  <si>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</si>
  <si>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</si>
  <si>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</si>
  <si>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</si>
  <si>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</si>
  <si>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</si>
  <si>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</si>
  <si>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</si>
  <si>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</si>
  <si>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</si>
  <si>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</si>
  <si>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</si>
  <si>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</si>
  <si>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</si>
  <si>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</si>
  <si>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</si>
  <si>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</si>
  <si>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</si>
  <si>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</si>
  <si>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</si>
  <si>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</si>
  <si>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</si>
  <si>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</si>
  <si>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</si>
  <si>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</si>
  <si>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</si>
  <si>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</si>
  <si>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</si>
  <si>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</si>
  <si>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</si>
  <si>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</si>
  <si>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</si>
  <si>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</si>
  <si>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</si>
  <si>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</si>
  <si>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</si>
  <si>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</si>
  <si>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</si>
  <si>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</si>
  <si>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</si>
  <si>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</si>
  <si>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</si>
  <si>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</si>
  <si>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</si>
  <si>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</si>
  <si>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</si>
  <si>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</si>
  <si>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</si>
  <si>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</si>
  <si>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</si>
  <si>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</si>
  <si>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</si>
  <si>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</si>
  <si>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</si>
  <si>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</si>
  <si>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</si>
  <si>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</si>
  <si>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</si>
  <si>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</si>
  <si>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</si>
  <si>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</si>
  <si>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</si>
  <si>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</si>
  <si>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</si>
  <si>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</si>
  <si>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</si>
  <si>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</si>
  <si>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</si>
  <si>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</si>
  <si>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</si>
  <si>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</si>
  <si>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</si>
  <si>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</si>
  <si>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</si>
  <si>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</si>
  <si>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</si>
  <si>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</si>
  <si>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</si>
  <si>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</si>
  <si>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</si>
  <si>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</si>
  <si>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</si>
  <si>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</si>
  <si>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</si>
  <si>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</si>
  <si>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</si>
  <si>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</si>
  <si>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</si>
  <si>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</si>
  <si>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</si>
  <si>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</si>
  <si>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</si>
  <si>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</si>
  <si>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</si>
  <si>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</si>
  <si>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</si>
  <si>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</si>
  <si>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</si>
  <si>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</si>
  <si>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</si>
  <si>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</si>
  <si>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</si>
  <si>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</si>
  <si>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</si>
  <si>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</si>
  <si>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</si>
  <si>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</si>
  <si>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</si>
  <si>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</si>
  <si>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</si>
  <si>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</si>
  <si>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</si>
  <si>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</si>
  <si>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</si>
  <si>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</si>
  <si>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</si>
  <si>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</si>
  <si>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</si>
  <si>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</si>
  <si>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</si>
  <si>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</si>
  <si>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</si>
  <si>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</si>
  <si>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</si>
  <si>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</si>
  <si>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</si>
  <si>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</si>
  <si>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</si>
  <si>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Does this include LCT?  NO.</t>
  </si>
  <si>
    <t>Does this include LCT?   NO.</t>
  </si>
  <si>
    <t xml:space="preserve">     Reg Asset movement</t>
  </si>
  <si>
    <t>Bad debts - pre-October 1, 2001 Denied</t>
  </si>
  <si>
    <t>Reassessment</t>
  </si>
  <si>
    <t>Statement of Adjustments</t>
  </si>
  <si>
    <t>Actual Interest Paid</t>
  </si>
  <si>
    <t>Utility Name:  Hamilton Hydro Inc.</t>
  </si>
  <si>
    <t>Y</t>
  </si>
  <si>
    <t>N</t>
  </si>
  <si>
    <t xml:space="preserve">PILs TAXES </t>
  </si>
  <si>
    <t>Capitalized Fleet Depreciation, net (not permitted for UCC purposes)</t>
  </si>
  <si>
    <t>Employee expenses accrual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</si>
</sst>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1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" fontId="0" fillId="0" borderId="59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178" fontId="0" fillId="0" borderId="0" xfId="63" applyNumberFormat="1" applyFont="1" applyAlignment="1" applyProtection="1">
      <alignment vertical="top"/>
      <protection locked="0"/>
    </xf>
    <xf numFmtId="3" fontId="0" fillId="0" borderId="0" xfId="0" applyNumberFormat="1" applyFill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14" xfId="0" applyFont="1" applyBorder="1" applyAlignment="1">
      <alignment vertical="top"/>
    </xf>
    <xf numFmtId="3" fontId="0" fillId="45" borderId="0" xfId="0" applyNumberFormat="1" applyFill="1" applyAlignment="1">
      <alignment/>
    </xf>
    <xf numFmtId="3" fontId="0" fillId="45" borderId="56" xfId="0" applyNumberFormat="1" applyFill="1" applyBorder="1" applyAlignment="1" applyProtection="1">
      <alignment/>
      <protection/>
    </xf>
    <xf numFmtId="3" fontId="0" fillId="45" borderId="0" xfId="0" applyNumberFormat="1" applyFill="1" applyAlignment="1" applyProtection="1">
      <alignment/>
      <protection/>
    </xf>
    <xf numFmtId="3" fontId="0" fillId="45" borderId="59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view="pageBreakPreview" zoomScale="60" workbookViewId="0" topLeftCell="A1">
      <selection activeCell="Q34" sqref="Q3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504</v>
      </c>
      <c r="C1" s="8"/>
      <c r="E1" s="2" t="s">
        <v>461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501</v>
      </c>
      <c r="C3" s="8"/>
      <c r="D3" s="456" t="s">
        <v>447</v>
      </c>
      <c r="E3" s="8"/>
      <c r="F3" s="8"/>
      <c r="G3" s="8"/>
      <c r="H3" s="8"/>
    </row>
    <row r="4" spans="1:8" ht="12.75">
      <c r="A4" s="2" t="s">
        <v>479</v>
      </c>
      <c r="C4" s="8"/>
      <c r="D4" s="455" t="s">
        <v>442</v>
      </c>
      <c r="E4" s="430"/>
      <c r="H4" s="8"/>
    </row>
    <row r="5" spans="1:8" ht="12.75">
      <c r="A5" s="52"/>
      <c r="C5" s="8"/>
      <c r="D5" s="454" t="s">
        <v>443</v>
      </c>
      <c r="E5" s="400"/>
      <c r="H5" s="8"/>
    </row>
    <row r="6" spans="1:8" ht="12.75">
      <c r="A6" s="2" t="s">
        <v>126</v>
      </c>
      <c r="B6" s="390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502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503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503</v>
      </c>
    </row>
    <row r="18" spans="1:4" ht="15" customHeight="1">
      <c r="A18" s="391" t="s">
        <v>315</v>
      </c>
      <c r="C18" s="8"/>
      <c r="D18" s="8"/>
    </row>
    <row r="19" spans="1:4" ht="15" customHeight="1">
      <c r="A19" s="500" t="s">
        <v>316</v>
      </c>
      <c r="B19" s="8" t="s">
        <v>313</v>
      </c>
      <c r="C19" s="8" t="s">
        <v>64</v>
      </c>
      <c r="D19" s="390" t="s">
        <v>503</v>
      </c>
    </row>
    <row r="20" spans="1:4" ht="13.5" thickBot="1">
      <c r="A20" s="501"/>
      <c r="B20" s="8" t="s">
        <v>314</v>
      </c>
      <c r="C20" s="8" t="s">
        <v>64</v>
      </c>
      <c r="D20" s="258" t="s">
        <v>503</v>
      </c>
    </row>
    <row r="21" spans="1:4" ht="12.75">
      <c r="A21" s="500" t="s">
        <v>312</v>
      </c>
      <c r="B21" s="8" t="s">
        <v>313</v>
      </c>
      <c r="C21" s="8"/>
      <c r="D21" s="425">
        <v>1</v>
      </c>
    </row>
    <row r="22" spans="1:4" ht="12.75">
      <c r="A22" s="500"/>
      <c r="B22" s="8" t="s">
        <v>314</v>
      </c>
      <c r="C22" s="8"/>
      <c r="D22" s="425">
        <v>1</v>
      </c>
    </row>
    <row r="23" spans="1:4" ht="7.5" customHeight="1">
      <c r="A23" s="45"/>
      <c r="C23" s="8"/>
      <c r="D23" s="390"/>
    </row>
    <row r="24" spans="1:4" ht="12.75">
      <c r="A24" s="45" t="s">
        <v>212</v>
      </c>
      <c r="C24" s="8" t="s">
        <v>213</v>
      </c>
      <c r="D24" s="426" t="s">
        <v>480</v>
      </c>
    </row>
    <row r="25" ht="6.75" customHeight="1" thickBot="1">
      <c r="A25" s="12"/>
    </row>
    <row r="26" spans="1:5" ht="12.75">
      <c r="A26" s="255" t="s">
        <v>67</v>
      </c>
      <c r="C26" s="8"/>
      <c r="E26" s="445" t="s">
        <v>297</v>
      </c>
    </row>
    <row r="27" spans="1:5" ht="12.75">
      <c r="A27" s="256" t="s">
        <v>68</v>
      </c>
      <c r="C27" s="8"/>
      <c r="E27" s="446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3">
        <v>247324048</v>
      </c>
      <c r="H31" s="5"/>
    </row>
    <row r="32" ht="6" customHeight="1"/>
    <row r="33" spans="1:8" ht="12.75">
      <c r="A33" t="s">
        <v>71</v>
      </c>
      <c r="D33" s="424">
        <v>0.45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4">
        <v>0.0988</v>
      </c>
      <c r="H37" s="41"/>
    </row>
    <row r="38" ht="4.5" customHeight="1">
      <c r="H38" s="34"/>
    </row>
    <row r="39" spans="1:8" ht="12.75">
      <c r="A39" t="s">
        <v>74</v>
      </c>
      <c r="D39" s="424">
        <v>0.07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20518003.02208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7">
        <v>4776987</v>
      </c>
      <c r="E43" s="389">
        <f>D43</f>
        <v>4776987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15741016.02208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8">
        <v>5247005</v>
      </c>
      <c r="E47" s="389">
        <f aca="true" t="shared" si="0" ref="E47:E53">D47</f>
        <v>5247005</v>
      </c>
      <c r="H47" s="40"/>
      <c r="J47" s="5"/>
      <c r="K47" s="5"/>
    </row>
    <row r="48" spans="1:11" ht="12.75">
      <c r="A48" t="s">
        <v>290</v>
      </c>
      <c r="D48" s="428">
        <v>5247005</v>
      </c>
      <c r="E48" s="389">
        <f>D48</f>
        <v>5247005</v>
      </c>
      <c r="F48" s="22"/>
      <c r="H48" s="40"/>
      <c r="J48" s="5"/>
      <c r="K48" s="5"/>
    </row>
    <row r="49" spans="1:11" ht="12.75">
      <c r="A49" t="s">
        <v>291</v>
      </c>
      <c r="D49" s="429"/>
      <c r="E49" s="389">
        <v>0</v>
      </c>
      <c r="F49" s="22"/>
      <c r="H49" s="40"/>
      <c r="J49" s="5"/>
      <c r="K49" s="5"/>
    </row>
    <row r="50" spans="1:11" ht="12.75">
      <c r="A50" t="s">
        <v>292</v>
      </c>
      <c r="D50" s="430"/>
      <c r="E50" s="389">
        <f t="shared" si="0"/>
        <v>0</v>
      </c>
      <c r="H50" s="40"/>
      <c r="J50" s="5"/>
      <c r="K50" s="5"/>
    </row>
    <row r="51" spans="1:11" ht="12.75">
      <c r="A51" t="s">
        <v>439</v>
      </c>
      <c r="D51" s="430"/>
      <c r="E51" s="389">
        <f t="shared" si="0"/>
        <v>0</v>
      </c>
      <c r="H51" s="40"/>
      <c r="J51" s="5"/>
      <c r="K51" s="5"/>
    </row>
    <row r="52" spans="1:11" ht="12.75">
      <c r="A52" t="s">
        <v>462</v>
      </c>
      <c r="D52" s="430"/>
      <c r="E52" s="389">
        <f t="shared" si="0"/>
        <v>0</v>
      </c>
      <c r="H52" s="40"/>
      <c r="J52" s="5"/>
      <c r="K52" s="5"/>
    </row>
    <row r="53" spans="4:11" ht="12.75">
      <c r="D53" s="430"/>
      <c r="E53" s="389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15270997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111295821.60000001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10996027.174080001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136028226.4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9521975.848000001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4651924.9276759885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7086950.150675025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7086950.150675025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9521975.848000001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7521875" bottom="0.35433070866141736" header="0.1968503937007874" footer="0"/>
  <pageSetup fitToHeight="1" fitToWidth="1" horizontalDpi="600" verticalDpi="600" orientation="portrait" scale="84" r:id="rId1"/>
  <headerFooter alignWithMargins="0">
    <oddHeader>&amp;R&amp;7Horizon Utilities Corporation
Disposition of Account 1562 Deferred PILS
EB-2012-0005
Appendix  C-2-3
Filed: March 28, 2012&amp;8
</oddHeader>
    <oddFooter>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view="pageBreakPreview" zoomScale="60" zoomScaleNormal="90" workbookViewId="0" topLeftCell="A121">
      <selection activeCell="G46" sqref="G46"/>
    </sheetView>
  </sheetViews>
  <sheetFormatPr defaultColWidth="9.140625" defaultRowHeight="12.75"/>
  <cols>
    <col min="1" max="1" width="62.003906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464</v>
      </c>
      <c r="H1" s="210"/>
    </row>
    <row r="2" spans="1:8" ht="12.75">
      <c r="A2" s="211" t="s">
        <v>463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465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 Hamilton Hydro Inc.</v>
      </c>
      <c r="B6" s="115"/>
      <c r="D6" s="137"/>
      <c r="E6" s="115"/>
      <c r="G6" s="115"/>
      <c r="H6" s="466"/>
    </row>
    <row r="7" spans="1:8" ht="12.75">
      <c r="A7" s="211" t="str">
        <f>REGINFO!A4</f>
        <v>Reporting period:  2003</v>
      </c>
      <c r="B7" s="115"/>
      <c r="D7" s="137"/>
      <c r="E7" s="115"/>
      <c r="G7" s="115"/>
      <c r="H7" s="466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1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31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60">
        <f>REGINFO!E54</f>
        <v>15270997</v>
      </c>
      <c r="D16" s="17"/>
      <c r="E16" s="268">
        <f>G16-C16</f>
        <v>3750496</v>
      </c>
      <c r="F16" s="3"/>
      <c r="G16" s="268">
        <f>TAXREC!E50</f>
        <v>19021493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2">
        <v>11570187</v>
      </c>
      <c r="D20" s="18"/>
      <c r="E20" s="268">
        <f>G20-C20</f>
        <v>3052829</v>
      </c>
      <c r="F20" s="6"/>
      <c r="G20" s="268">
        <f>TAXREC!E61</f>
        <v>14623016</v>
      </c>
      <c r="H20" s="151"/>
    </row>
    <row r="21" spans="1:8" ht="12.75">
      <c r="A21" s="158" t="s">
        <v>56</v>
      </c>
      <c r="B21" s="127">
        <v>3</v>
      </c>
      <c r="C21" s="262">
        <v>1565000</v>
      </c>
      <c r="D21" s="18"/>
      <c r="E21" s="268">
        <f>G21-C21</f>
        <v>-551445</v>
      </c>
      <c r="F21" s="6"/>
      <c r="G21" s="268">
        <f>TAXREC!E62</f>
        <v>1013555</v>
      </c>
      <c r="H21" s="151"/>
    </row>
    <row r="22" spans="1:8" ht="12.75">
      <c r="A22" s="158" t="s">
        <v>264</v>
      </c>
      <c r="B22" s="127">
        <v>4</v>
      </c>
      <c r="C22" s="262">
        <v>665000</v>
      </c>
      <c r="D22" s="18"/>
      <c r="E22" s="268">
        <f>G22-C22</f>
        <v>24584</v>
      </c>
      <c r="F22" s="6"/>
      <c r="G22" s="268">
        <f>TAXREC!E63</f>
        <v>689584</v>
      </c>
      <c r="H22" s="151"/>
    </row>
    <row r="23" spans="1:8" ht="12.75">
      <c r="A23" s="158" t="s">
        <v>263</v>
      </c>
      <c r="B23" s="127">
        <v>4</v>
      </c>
      <c r="C23" s="262">
        <v>0</v>
      </c>
      <c r="D23" s="18"/>
      <c r="E23" s="268">
        <f>G23-C23</f>
        <v>1590000</v>
      </c>
      <c r="F23" s="6"/>
      <c r="G23" s="268">
        <f>TAXREC!E64</f>
        <v>1590000</v>
      </c>
      <c r="H23" s="151"/>
    </row>
    <row r="24" spans="1:8" ht="12.75">
      <c r="A24" s="158" t="s">
        <v>265</v>
      </c>
      <c r="B24" s="127">
        <v>5</v>
      </c>
      <c r="C24" s="262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/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>
        <v>593088</v>
      </c>
      <c r="D28" s="18"/>
      <c r="E28" s="268">
        <f>G28-C28</f>
        <v>-155423</v>
      </c>
      <c r="F28" s="6"/>
      <c r="G28" s="268">
        <f>TAXREC!E67</f>
        <v>437665</v>
      </c>
      <c r="H28" s="151"/>
    </row>
    <row r="29" spans="1:8" ht="12.75">
      <c r="A29" s="158" t="s">
        <v>157</v>
      </c>
      <c r="B29" s="127">
        <v>6</v>
      </c>
      <c r="C29" s="262">
        <v>528</v>
      </c>
      <c r="D29" s="18"/>
      <c r="E29" s="268">
        <f>G29-C29</f>
        <v>-528</v>
      </c>
      <c r="F29" s="6"/>
      <c r="G29" s="268">
        <f>TAXREC!E68</f>
        <v>0</v>
      </c>
      <c r="H29" s="151"/>
    </row>
    <row r="30" spans="1:8" ht="15.75">
      <c r="A30" s="483" t="s">
        <v>395</v>
      </c>
      <c r="B30" s="127"/>
      <c r="C30" s="260"/>
      <c r="D30" s="18"/>
      <c r="E30" s="268">
        <f>G30-C30</f>
        <v>53783</v>
      </c>
      <c r="F30" s="6"/>
      <c r="G30" s="268">
        <f>TAXREC!E66</f>
        <v>53783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2">
        <v>8779450</v>
      </c>
      <c r="D33" s="132"/>
      <c r="E33" s="268">
        <f aca="true" t="shared" si="0" ref="E33:E42">G33-C33</f>
        <v>6793449</v>
      </c>
      <c r="F33" s="6"/>
      <c r="G33" s="268">
        <f>TAXREC!E97+TAXREC!E98</f>
        <v>15572899</v>
      </c>
      <c r="H33" s="151"/>
    </row>
    <row r="34" spans="1:8" ht="12.75">
      <c r="A34" s="158" t="s">
        <v>57</v>
      </c>
      <c r="B34" s="127">
        <v>8</v>
      </c>
      <c r="C34" s="262">
        <v>1145000</v>
      </c>
      <c r="D34" s="132"/>
      <c r="E34" s="268">
        <f t="shared" si="0"/>
        <v>-512617</v>
      </c>
      <c r="F34" s="6"/>
      <c r="G34" s="268">
        <f>TAXREC!E99</f>
        <v>632383</v>
      </c>
      <c r="H34" s="151"/>
    </row>
    <row r="35" spans="1:8" ht="12.75">
      <c r="A35" s="158" t="s">
        <v>45</v>
      </c>
      <c r="B35" s="127">
        <v>9</v>
      </c>
      <c r="C35" s="262"/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266</v>
      </c>
      <c r="B36" s="127">
        <v>10</v>
      </c>
      <c r="C36" s="262"/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REGINFO!D66</f>
        <v>7086950.150675025</v>
      </c>
      <c r="D37" s="132"/>
      <c r="E37" s="268">
        <f t="shared" si="0"/>
        <v>1364898.8493249752</v>
      </c>
      <c r="F37" s="6"/>
      <c r="G37" s="268">
        <f>TAXREC!E51</f>
        <v>8451849</v>
      </c>
      <c r="H37" s="151"/>
    </row>
    <row r="38" spans="1:8" ht="12.75">
      <c r="A38" s="155" t="s">
        <v>262</v>
      </c>
      <c r="B38" s="125">
        <v>4</v>
      </c>
      <c r="C38" s="262">
        <v>665000</v>
      </c>
      <c r="D38" s="132"/>
      <c r="E38" s="268">
        <f t="shared" si="0"/>
        <v>-65000</v>
      </c>
      <c r="F38" s="6"/>
      <c r="G38" s="268">
        <f>TAXREC!E104</f>
        <v>600000</v>
      </c>
      <c r="H38" s="151"/>
    </row>
    <row r="39" spans="1:8" ht="12.75">
      <c r="A39" s="155" t="s">
        <v>261</v>
      </c>
      <c r="B39" s="125">
        <v>4</v>
      </c>
      <c r="C39" s="262">
        <v>0</v>
      </c>
      <c r="D39" s="132"/>
      <c r="E39" s="268">
        <f t="shared" si="0"/>
        <v>1856584</v>
      </c>
      <c r="F39" s="6"/>
      <c r="G39" s="268">
        <f>TAXREC!E105</f>
        <v>1856584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.75">
      <c r="A48" s="483" t="s">
        <v>395</v>
      </c>
      <c r="B48" s="127"/>
      <c r="C48" s="260"/>
      <c r="D48" s="132"/>
      <c r="E48" s="268">
        <f>G48-C48</f>
        <v>57972</v>
      </c>
      <c r="F48" s="6"/>
      <c r="G48" s="251">
        <f>TAXREC!E108</f>
        <v>57972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4">
        <f>C16+SUM(C20:C30)-SUM(C33:C48)</f>
        <v>11988399.849324975</v>
      </c>
      <c r="D50" s="102"/>
      <c r="E50" s="264">
        <f>E16+SUM(E20:E30)-SUM(E33:E48)</f>
        <v>-1730990.8493249752</v>
      </c>
      <c r="F50" s="433" t="s">
        <v>367</v>
      </c>
      <c r="G50" s="264">
        <f>G16+SUM(G20:G30)-SUM(G33:G48)</f>
        <v>10257409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3">
        <f>IF($C$50&gt;'Tax Rates'!$E$11,'Tax Rates'!$F$16,IF($C$50&gt;'Tax Rates'!$C$11,'Tax Rates'!$E$16,'Tax Rates'!$C$16))</f>
        <v>0.3862</v>
      </c>
      <c r="D53" s="102"/>
      <c r="E53" s="269">
        <f>+G53-C53</f>
        <v>-0.018427053211512168</v>
      </c>
      <c r="F53" s="114"/>
      <c r="G53" s="474">
        <f>TAXREC!E151</f>
        <v>0.3677729467884878</v>
      </c>
      <c r="H53" s="151"/>
      <c r="I53" s="471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4629920.021809305</v>
      </c>
      <c r="D55" s="102"/>
      <c r="E55" s="268">
        <f>G55-C55</f>
        <v>-3083442.021809305</v>
      </c>
      <c r="F55" s="433" t="s">
        <v>368</v>
      </c>
      <c r="G55" s="265">
        <f>TAXREC!E144</f>
        <v>1546478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3000</v>
      </c>
      <c r="F58" s="433" t="s">
        <v>368</v>
      </c>
      <c r="G58" s="271">
        <f>+TAXREC!C145</f>
        <v>3000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4629920.021809305</v>
      </c>
      <c r="D60" s="133"/>
      <c r="E60" s="270">
        <f>+E55-E58</f>
        <v>-3086442.021809305</v>
      </c>
      <c r="F60" s="433" t="s">
        <v>368</v>
      </c>
      <c r="G60" s="270">
        <f>+G55-G58</f>
        <v>1543478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247324048</v>
      </c>
      <c r="D66" s="102"/>
      <c r="E66" s="268">
        <f>G66-C66</f>
        <v>7334690</v>
      </c>
      <c r="F66" s="6"/>
      <c r="G66" s="476">
        <v>254658738</v>
      </c>
      <c r="H66" s="151"/>
      <c r="I66" s="477" t="s">
        <v>475</v>
      </c>
    </row>
    <row r="67" spans="1:10" ht="12.75">
      <c r="A67" s="152" t="s">
        <v>360</v>
      </c>
      <c r="B67" s="125">
        <v>16</v>
      </c>
      <c r="C67" s="261">
        <f>IF(C66&gt;0,'Tax Rates'!C21,0)</f>
        <v>5000000</v>
      </c>
      <c r="D67" s="102"/>
      <c r="E67" s="268">
        <f>G67-C67</f>
        <v>-706636</v>
      </c>
      <c r="F67" s="6"/>
      <c r="G67" s="268">
        <v>4293364</v>
      </c>
      <c r="H67" s="151"/>
      <c r="I67" s="477" t="s">
        <v>475</v>
      </c>
      <c r="J67" s="478"/>
    </row>
    <row r="68" spans="1:8" ht="12.75">
      <c r="A68" s="152" t="s">
        <v>42</v>
      </c>
      <c r="B68" s="125"/>
      <c r="C68" s="265">
        <f>IF((C66-C67)&gt;0,C66-C67,0)</f>
        <v>242324048</v>
      </c>
      <c r="D68" s="102"/>
      <c r="E68" s="268">
        <f>SUM(E66:E67)</f>
        <v>6628054</v>
      </c>
      <c r="F68" s="114"/>
      <c r="G68" s="265">
        <f>G66-G67</f>
        <v>250365374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5">
        <f>IF(C68&gt;0,C68*C70,0)*REGINFO!$B$6/REGINFO!$B$7</f>
        <v>726972.144</v>
      </c>
      <c r="D72" s="101"/>
      <c r="E72" s="268">
        <f>+G72-C72</f>
        <v>24123.978000000003</v>
      </c>
      <c r="F72" s="479"/>
      <c r="G72" s="265">
        <f>IF(G68&gt;0,G68*G70,0)*REGINFO!$B$6/REGINFO!$B$7</f>
        <v>751096.122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247324048</v>
      </c>
      <c r="D75" s="102"/>
      <c r="E75" s="268">
        <f>+G75-C75</f>
        <v>10116392</v>
      </c>
      <c r="F75" s="6"/>
      <c r="G75" s="476">
        <v>257440440</v>
      </c>
      <c r="H75" s="151"/>
      <c r="I75" s="477" t="s">
        <v>475</v>
      </c>
    </row>
    <row r="76" spans="1:9" ht="12.75">
      <c r="A76" s="152" t="s">
        <v>360</v>
      </c>
      <c r="B76" s="125">
        <v>19</v>
      </c>
      <c r="C76" s="261">
        <f>IF(C75&gt;0,'Tax Rates'!C22,0)</f>
        <v>10000000</v>
      </c>
      <c r="D76" s="18"/>
      <c r="E76" s="268">
        <f>+G76-C76</f>
        <v>0</v>
      </c>
      <c r="F76" s="6"/>
      <c r="G76" s="268">
        <f>'Tax Rates'!C58</f>
        <v>10000000</v>
      </c>
      <c r="H76" s="151"/>
      <c r="I76" s="477" t="s">
        <v>475</v>
      </c>
    </row>
    <row r="77" spans="1:8" ht="12.75">
      <c r="A77" s="152" t="s">
        <v>42</v>
      </c>
      <c r="B77" s="125"/>
      <c r="C77" s="265">
        <f>IF((C75-C76)&gt;0,C75-C76,0)</f>
        <v>237324048</v>
      </c>
      <c r="D77" s="19"/>
      <c r="E77" s="268">
        <f>SUM(E75:E76)</f>
        <v>10116392</v>
      </c>
      <c r="F77" s="114"/>
      <c r="G77" s="265">
        <f>G75-G76</f>
        <v>247440440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5">
        <f>IF(C77&gt;0,C77*C79,0)*REGINFO!$B$6/REGINFO!$B$7</f>
        <v>533979.108</v>
      </c>
      <c r="D81" s="102"/>
      <c r="E81" s="268">
        <f>+G81-C81</f>
        <v>22761.881999999983</v>
      </c>
      <c r="F81" s="6"/>
      <c r="G81" s="265">
        <f>G77*G79*B9/B10</f>
        <v>556740.99</v>
      </c>
      <c r="H81" s="151"/>
    </row>
    <row r="82" spans="1:8" ht="12.75">
      <c r="A82" s="152" t="s">
        <v>319</v>
      </c>
      <c r="B82" s="125">
        <v>21</v>
      </c>
      <c r="C82" s="301">
        <f>IF(C77&gt;0,IF(C60&gt;0,C50*'Tax Rates'!C20,0),0)</f>
        <v>134270.07831243973</v>
      </c>
      <c r="D82" s="102"/>
      <c r="E82" s="268">
        <f>+G82-C82</f>
        <v>-84267.07831243973</v>
      </c>
      <c r="F82" s="6"/>
      <c r="G82" s="301">
        <v>50003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399709.0296875603</v>
      </c>
      <c r="D84" s="16"/>
      <c r="E84" s="268">
        <f>E81-E82</f>
        <v>107028.96031243971</v>
      </c>
      <c r="F84" s="103"/>
      <c r="G84" s="265">
        <f>G81-G82</f>
        <v>506737.99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369</v>
      </c>
      <c r="B90" s="127">
        <v>22</v>
      </c>
      <c r="C90" s="265">
        <f>C60/(1-C88)</f>
        <v>7407872.034894888</v>
      </c>
      <c r="D90" s="20"/>
      <c r="E90" s="139"/>
      <c r="F90" s="432" t="s">
        <v>481</v>
      </c>
      <c r="G90" s="271">
        <f>TAXREC!E156</f>
        <v>1543478</v>
      </c>
      <c r="H90" s="151"/>
    </row>
    <row r="91" spans="1:8" ht="12.75">
      <c r="A91" s="158" t="s">
        <v>370</v>
      </c>
      <c r="B91" s="127">
        <v>23</v>
      </c>
      <c r="C91" s="265">
        <f>C84/(1-C88)</f>
        <v>639534.4475000964</v>
      </c>
      <c r="D91" s="20"/>
      <c r="E91" s="139"/>
      <c r="F91" s="432" t="s">
        <v>481</v>
      </c>
      <c r="G91" s="271">
        <f>TAXREC!E158</f>
        <v>506738</v>
      </c>
      <c r="H91" s="151"/>
    </row>
    <row r="92" spans="1:8" ht="12.75">
      <c r="A92" s="158" t="s">
        <v>348</v>
      </c>
      <c r="B92" s="127">
        <v>24</v>
      </c>
      <c r="C92" s="265">
        <f>C72</f>
        <v>726972.144</v>
      </c>
      <c r="D92" s="20"/>
      <c r="E92" s="139"/>
      <c r="F92" s="432" t="s">
        <v>481</v>
      </c>
      <c r="G92" s="271">
        <f>TAXREC!E157</f>
        <v>751099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482</v>
      </c>
      <c r="B95" s="125">
        <v>25</v>
      </c>
      <c r="C95" s="270">
        <f>SUM(C90:C93)</f>
        <v>8774378.626394985</v>
      </c>
      <c r="D95" s="6"/>
      <c r="E95" s="139"/>
      <c r="F95" s="432" t="s">
        <v>481</v>
      </c>
      <c r="G95" s="415">
        <f>SUM(G90:G94)</f>
        <v>2801315</v>
      </c>
      <c r="H95" s="164"/>
    </row>
    <row r="96" spans="1:8" ht="12.75">
      <c r="A96" s="405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-551445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24584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1590000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-155423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-512617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491</v>
      </c>
      <c r="B112" s="127">
        <v>11</v>
      </c>
      <c r="C112" s="112"/>
      <c r="D112" s="3"/>
      <c r="E112" s="473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-65000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1856584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-371251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483</v>
      </c>
      <c r="B122" s="127"/>
      <c r="C122" s="112"/>
      <c r="D122" s="3" t="s">
        <v>231</v>
      </c>
      <c r="E122" s="470">
        <f>+'Tax Rates'!F52</f>
        <v>0.36619999999999997</v>
      </c>
      <c r="F122" s="471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5">
        <f>E120*E122</f>
        <v>-135952.1162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+E58*(1-E122)</f>
        <v>1901.4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-137853.51619999998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3">
        <f>IF((E120+C50)&gt;'Tax Rates'!$E$47,'Tax Rates'!$F$52-1.12%,IF((E120+C50)&gt;'Tax Rates'!$D$47,'Tax Rates'!$E$52-1.12%,IF((E120+C50)&gt;'Tax Rates'!$C$47,'Tax Rates'!$D$52-1.12%,'Tax Rates'!$C$52-1.12%)))</f>
        <v>0.355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7">
        <f>E128/(1-E130)</f>
        <v>-213726.38170542632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3">
        <f>C50</f>
        <v>11988399.849324975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3">
        <f>IF((E120+E136)&gt;'Tax Rates'!E47,'Tax Rates'!F52,IF((E120+E136)&gt;'Tax Rates'!D47,'Tax Rates'!E52,IF((E120+E136)&gt;'Tax Rates'!C47,'Tax Rates'!D52,'Tax Rates'!C52)))</f>
        <v>0.36619999999999997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4390152.024822806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TAXREC!E145*(1-E122)</f>
        <v>1901.4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4388250.624822806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3">
        <f>C60</f>
        <v>4629920.021809305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</f>
        <v>-241669.39698649943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8" t="s">
        <v>20</v>
      </c>
      <c r="B150" s="130"/>
      <c r="C150" s="112"/>
      <c r="D150" s="119"/>
      <c r="E150" s="482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247324048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6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3">
        <f>E151-E152</f>
        <v>242324048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726972.144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6">
        <f>C72</f>
        <v>726972.144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5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8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247324048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6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3">
        <f>E162-E163</f>
        <v>237324048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3">
        <f>IF(E164&gt;0,E164*E166*B9/B10,0)</f>
        <v>533979.108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8">
        <f>IF(E164&gt;0,IF(E144&gt;0,E136*'Tax Rates'!C56,0),0)</f>
        <v>134270.07831243973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3">
        <f>E168-E169</f>
        <v>399709.0296875603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6" t="s">
        <v>347</v>
      </c>
      <c r="B172" s="130"/>
      <c r="C172" s="112"/>
      <c r="D172" s="118" t="s">
        <v>188</v>
      </c>
      <c r="E172" s="306">
        <f>C84</f>
        <v>399709.0296875603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5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70">
        <f>IF((E120+G50)&gt;'Tax Rates'!E47,'Tax Rates'!F52-1.12%,IF((E120+G50)&gt;'Tax Rates'!D47,'Tax Rates'!E52-1.12%,IF((E120+G50)&gt;'Tax Rates'!C47,'Tax Rates'!D52,'Tax Rates'!C52-1.12%)))</f>
        <v>0.355</v>
      </c>
      <c r="F175" s="471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3">
        <f>E148/(1-E175)</f>
        <v>-374681.2356379836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9" ht="12.75">
      <c r="A181" s="168" t="s">
        <v>353</v>
      </c>
      <c r="B181" s="130"/>
      <c r="C181" s="112"/>
      <c r="D181" s="119" t="s">
        <v>189</v>
      </c>
      <c r="E181" s="486">
        <f>SUM(E177:E179)</f>
        <v>-374681.2356379836</v>
      </c>
      <c r="F181" s="37"/>
      <c r="G181" s="201"/>
      <c r="H181" s="164"/>
      <c r="I181">
        <v>-359932</v>
      </c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9" ht="12.75">
      <c r="A183" s="168" t="s">
        <v>490</v>
      </c>
      <c r="B183" s="130"/>
      <c r="C183" s="112"/>
      <c r="D183" s="119" t="s">
        <v>187</v>
      </c>
      <c r="E183" s="486">
        <f>E132</f>
        <v>-213726.38170542632</v>
      </c>
      <c r="F183" s="37" t="s">
        <v>102</v>
      </c>
      <c r="G183" s="201"/>
      <c r="H183" s="164"/>
      <c r="I183">
        <v>421351</v>
      </c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9" ht="15">
      <c r="A185" s="173" t="s">
        <v>354</v>
      </c>
      <c r="B185" s="130"/>
      <c r="C185" s="112"/>
      <c r="D185" s="119" t="s">
        <v>189</v>
      </c>
      <c r="E185" s="486">
        <f>E181+E183</f>
        <v>-588407.6173434099</v>
      </c>
      <c r="F185" s="37"/>
      <c r="G185" s="201"/>
      <c r="H185" s="164"/>
      <c r="I185">
        <v>61419</v>
      </c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9521975.848000001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9">
        <f>REGINFO!D66</f>
        <v>7086950.150675025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9">
        <f>E193-E194</f>
        <v>2435025.6973249763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90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9">
        <f>G37+G42</f>
        <v>8451849</v>
      </c>
      <c r="F201" s="3"/>
      <c r="G201" s="490"/>
      <c r="H201" s="164"/>
    </row>
    <row r="202" spans="1:8" ht="12.75">
      <c r="A202" s="155" t="s">
        <v>500</v>
      </c>
      <c r="B202" s="127"/>
      <c r="C202" s="112"/>
      <c r="D202" s="120"/>
      <c r="E202" s="489">
        <f>E193</f>
        <v>9521975.848000001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492</v>
      </c>
      <c r="B206" s="127"/>
      <c r="C206" s="112"/>
      <c r="D206" s="120"/>
      <c r="E206" s="472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2435025.6973249763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7521875" bottom="0.35433070866141736" header="0.1968503937007874" footer="0"/>
  <pageSetup fitToHeight="3" horizontalDpi="600" verticalDpi="600" orientation="portrait" scale="43" r:id="rId3"/>
  <headerFooter alignWithMargins="0">
    <oddHeader>&amp;R&amp;7Horizon Utilities Corporation
Disposition of Account 1562 Deferred PILS
EB-2012-0005
Appendix  C-2-3
Filed: March 28, 2012&amp;8
</oddHeader>
    <oddFooter>&amp;R&amp;"Arial,Bold"&amp;9&amp;A</oddFooter>
  </headerFooter>
  <rowBreaks count="3" manualBreakCount="3">
    <brk id="97" max="7" man="1"/>
    <brk id="208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view="pageBreakPreview" zoomScaleSheetLayoutView="100" workbookViewId="0" topLeftCell="A100">
      <selection activeCell="C125" sqref="C125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 Hamilton Hydro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7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503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503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 t="s">
        <v>502</v>
      </c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 t="s">
        <v>502</v>
      </c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1" t="s">
        <v>326</v>
      </c>
      <c r="B23" s="402"/>
      <c r="C23" s="403"/>
      <c r="D23" s="404"/>
      <c r="E23" s="28"/>
      <c r="F23" s="11"/>
      <c r="G23" s="11"/>
      <c r="H23" s="6"/>
      <c r="I23" s="6"/>
    </row>
    <row r="24" spans="1:9" ht="12.75">
      <c r="A24" s="401" t="s">
        <v>259</v>
      </c>
      <c r="B24" s="402"/>
      <c r="C24" s="403"/>
      <c r="D24" s="404"/>
      <c r="E24" s="28"/>
      <c r="F24" s="11"/>
      <c r="G24" s="11"/>
      <c r="H24" s="6"/>
      <c r="I24" s="6"/>
    </row>
    <row r="25" spans="1:9" ht="12.75">
      <c r="A25" s="401" t="s">
        <v>223</v>
      </c>
      <c r="B25" s="402"/>
      <c r="C25" s="403"/>
      <c r="D25" s="404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1" t="s">
        <v>324</v>
      </c>
      <c r="B27" s="402"/>
      <c r="C27" s="403"/>
      <c r="D27" s="404"/>
      <c r="E27" s="28"/>
      <c r="F27" s="11"/>
      <c r="G27" s="11"/>
      <c r="H27" s="6"/>
      <c r="I27" s="6"/>
    </row>
    <row r="28" spans="1:9" ht="12.75">
      <c r="A28" s="401" t="s">
        <v>325</v>
      </c>
      <c r="B28" s="402"/>
      <c r="C28" s="403"/>
      <c r="D28" s="40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6"/>
      <c r="D31" s="287"/>
      <c r="E31" s="285">
        <f>C31-D31</f>
        <v>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6">
        <v>57358200</v>
      </c>
      <c r="D32" s="287"/>
      <c r="E32" s="285">
        <f>C32-D32</f>
        <v>57358200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v>6088989</v>
      </c>
      <c r="D33" s="287">
        <v>2726539</v>
      </c>
      <c r="E33" s="285">
        <f>C33-D33</f>
        <v>3362450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>
        <v>589238</v>
      </c>
      <c r="D34" s="287"/>
      <c r="E34" s="285">
        <f>C34-D34</f>
        <v>589238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6"/>
      <c r="D39" s="287"/>
      <c r="E39" s="285">
        <f>C39-D39</f>
        <v>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6"/>
      <c r="D40" s="287"/>
      <c r="E40" s="285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6"/>
      <c r="D41" s="287"/>
      <c r="E41" s="285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6">
        <v>28672650</v>
      </c>
      <c r="D42" s="287">
        <v>1437536</v>
      </c>
      <c r="E42" s="285">
        <f t="shared" si="0"/>
        <v>27235114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6">
        <v>14572881</v>
      </c>
      <c r="D43" s="287">
        <v>249665</v>
      </c>
      <c r="E43" s="285">
        <f t="shared" si="0"/>
        <v>14323216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6">
        <v>730065</v>
      </c>
      <c r="D44" s="287"/>
      <c r="E44" s="285">
        <f t="shared" si="0"/>
        <v>730065</v>
      </c>
      <c r="F44" s="11"/>
      <c r="G44" s="11"/>
      <c r="H44" s="6"/>
      <c r="I44" s="6"/>
    </row>
    <row r="45" spans="1:11" ht="12.75">
      <c r="A45" s="417" t="s">
        <v>496</v>
      </c>
      <c r="B45" s="23" t="s">
        <v>188</v>
      </c>
      <c r="C45" s="286"/>
      <c r="D45" s="287"/>
      <c r="E45" s="285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20060831</v>
      </c>
      <c r="D50" s="282">
        <f>SUM(D31:D36)-SUM(D39:D49)</f>
        <v>1039338</v>
      </c>
      <c r="E50" s="282">
        <f>SUM(E31:E35)-SUM(E39:E48)</f>
        <v>19021493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6">
        <v>8495849</v>
      </c>
      <c r="D51" s="286">
        <v>44000</v>
      </c>
      <c r="E51" s="283">
        <f>+C51-D51</f>
        <v>8451849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6">
        <v>4524401</v>
      </c>
      <c r="D52" s="286">
        <v>364493</v>
      </c>
      <c r="E52" s="284">
        <f>+C52-D52</f>
        <v>4159908</v>
      </c>
      <c r="F52" s="8"/>
      <c r="G52" s="417" t="s">
        <v>494</v>
      </c>
    </row>
    <row r="53" spans="1:6" ht="12.75">
      <c r="A53" s="2" t="s">
        <v>131</v>
      </c>
      <c r="B53" s="8" t="s">
        <v>189</v>
      </c>
      <c r="C53" s="282">
        <f>C50-C51-C52</f>
        <v>7040581</v>
      </c>
      <c r="D53" s="282">
        <f>D50-D51-D52</f>
        <v>630845</v>
      </c>
      <c r="E53" s="282">
        <f>E50-E51-E52</f>
        <v>6409736</v>
      </c>
      <c r="F53" s="8"/>
    </row>
    <row r="54" spans="1:6" ht="36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8">
        <f>C52</f>
        <v>4524401</v>
      </c>
      <c r="D59" s="288">
        <f>D52</f>
        <v>364493</v>
      </c>
      <c r="E59" s="273">
        <f>+C59-D59</f>
        <v>4159908</v>
      </c>
      <c r="F59" s="8"/>
      <c r="G59" s="417" t="s">
        <v>495</v>
      </c>
    </row>
    <row r="60" spans="1:7" ht="12.75">
      <c r="A60" s="4" t="s">
        <v>327</v>
      </c>
      <c r="B60" s="8" t="s">
        <v>187</v>
      </c>
      <c r="C60" s="319"/>
      <c r="D60" s="319"/>
      <c r="E60" s="273">
        <f>+C60-D60</f>
        <v>0</v>
      </c>
      <c r="F60" s="8"/>
      <c r="G60" t="s">
        <v>499</v>
      </c>
    </row>
    <row r="61" spans="1:7" ht="12.75">
      <c r="A61" t="s">
        <v>4</v>
      </c>
      <c r="B61" s="8" t="s">
        <v>187</v>
      </c>
      <c r="C61" s="288">
        <f>C43+299800</f>
        <v>14872681</v>
      </c>
      <c r="D61" s="288">
        <f>D43</f>
        <v>249665</v>
      </c>
      <c r="E61" s="273">
        <f>+C61-D61</f>
        <v>14623016</v>
      </c>
      <c r="F61" s="8"/>
      <c r="G61" s="417"/>
    </row>
    <row r="62" spans="1:6" ht="12.75">
      <c r="A62" t="s">
        <v>6</v>
      </c>
      <c r="B62" s="8" t="s">
        <v>187</v>
      </c>
      <c r="C62" s="319">
        <f>1140632+30720</f>
        <v>1171352</v>
      </c>
      <c r="D62" s="288">
        <v>157797</v>
      </c>
      <c r="E62" s="273">
        <f>+C62-D62</f>
        <v>1013555</v>
      </c>
      <c r="F62" s="8"/>
    </row>
    <row r="63" spans="1:6" ht="12.75">
      <c r="A63" s="31" t="s">
        <v>279</v>
      </c>
      <c r="B63" s="8" t="s">
        <v>187</v>
      </c>
      <c r="C63" s="317">
        <f>'Tax Reserves'!C22</f>
        <v>689584</v>
      </c>
      <c r="D63" s="318">
        <f>'Tax Reserves'!D22</f>
        <v>0</v>
      </c>
      <c r="E63" s="273">
        <f>C63-D63</f>
        <v>689584</v>
      </c>
      <c r="F63" s="8"/>
    </row>
    <row r="64" spans="1:6" ht="12.75">
      <c r="A64" s="4" t="s">
        <v>52</v>
      </c>
      <c r="B64" s="8" t="s">
        <v>187</v>
      </c>
      <c r="C64" s="317">
        <f>'Tax Reserves'!C63</f>
        <v>1590000</v>
      </c>
      <c r="D64" s="318">
        <f>'Tax Reserves'!D63</f>
        <v>0</v>
      </c>
      <c r="E64" s="273">
        <f>+C64-D64</f>
        <v>1590000</v>
      </c>
      <c r="F64" s="8"/>
    </row>
    <row r="65" spans="1:10" ht="12.75">
      <c r="A65" t="s">
        <v>444</v>
      </c>
      <c r="B65" s="8" t="s">
        <v>187</v>
      </c>
      <c r="C65" s="287"/>
      <c r="D65" s="287"/>
      <c r="E65" s="273">
        <f>+C65-D65</f>
        <v>0</v>
      </c>
      <c r="F65" s="8"/>
      <c r="J65" s="22"/>
    </row>
    <row r="66" spans="1:6" ht="15">
      <c r="A66" s="468" t="s">
        <v>395</v>
      </c>
      <c r="B66" s="8"/>
      <c r="C66" s="448">
        <f>'TAXREC 3 No True-up'!C47</f>
        <v>53783</v>
      </c>
      <c r="D66" s="448">
        <f>'TAXREC 3 No True-up'!D47</f>
        <v>0</v>
      </c>
      <c r="E66" s="273">
        <f>+C66-D66</f>
        <v>53783</v>
      </c>
      <c r="F66" s="8"/>
    </row>
    <row r="67" spans="1:6" ht="12.75">
      <c r="A67" t="s">
        <v>160</v>
      </c>
      <c r="B67" s="8" t="s">
        <v>187</v>
      </c>
      <c r="C67" s="251">
        <f>'TAXREC 2'!C77</f>
        <v>437665</v>
      </c>
      <c r="D67" s="251">
        <f>'TAXREC 2'!D77</f>
        <v>0</v>
      </c>
      <c r="E67" s="273">
        <f>+C67-D67</f>
        <v>437665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493"/>
      <c r="J69" s="23"/>
      <c r="K69" s="75"/>
    </row>
    <row r="70" spans="1:11" ht="12.75">
      <c r="A70" s="10" t="s">
        <v>106</v>
      </c>
      <c r="B70" s="8"/>
      <c r="C70" s="273">
        <f>SUM(C59:C68)</f>
        <v>23339466</v>
      </c>
      <c r="D70" s="273">
        <f>SUM(D59:D68)</f>
        <v>771955</v>
      </c>
      <c r="E70" s="273">
        <f>SUM(E59:E68)</f>
        <v>22567511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/>
      <c r="D74" s="295"/>
      <c r="E74" s="273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4">
        <v>0</v>
      </c>
      <c r="D76" s="295"/>
      <c r="E76" s="480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23339466</v>
      </c>
      <c r="D82" s="251">
        <f>D70+D80</f>
        <v>771955</v>
      </c>
      <c r="E82" s="251">
        <f>E70+E80</f>
        <v>22567511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432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5">
        <v>14514345</v>
      </c>
      <c r="D97" s="295">
        <v>249665</v>
      </c>
      <c r="E97" s="273">
        <f>+C97-D97</f>
        <v>14264680</v>
      </c>
      <c r="F97" s="8"/>
      <c r="G97" s="45" t="s">
        <v>498</v>
      </c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1308219</v>
      </c>
      <c r="D98" s="295"/>
      <c r="E98" s="273">
        <f>+C98-D98</f>
        <v>1308219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5">
        <f>701924+332</f>
        <v>702256</v>
      </c>
      <c r="D99" s="295">
        <v>69873</v>
      </c>
      <c r="E99" s="273">
        <f>+C99-D99</f>
        <v>632383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20">
        <f>'Tax Reserves'!C35</f>
        <v>600000</v>
      </c>
      <c r="D104" s="320">
        <f>'Tax Reserves'!D35</f>
        <v>0</v>
      </c>
      <c r="E104" s="273">
        <f t="shared" si="5"/>
        <v>600000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20">
        <f>'Tax Reserves'!C50</f>
        <v>1856584</v>
      </c>
      <c r="D105" s="320">
        <f>'Tax Reserves'!D50</f>
        <v>0</v>
      </c>
      <c r="E105" s="283">
        <f t="shared" si="5"/>
        <v>1856584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8" t="s">
        <v>395</v>
      </c>
      <c r="B108" s="8"/>
      <c r="C108" s="254">
        <f>'TAXREC 3 No True-up'!C73</f>
        <v>57972</v>
      </c>
      <c r="D108" s="254">
        <f>'TAXREC 3 No True-up'!D73</f>
        <v>0</v>
      </c>
      <c r="E108" s="273">
        <f t="shared" si="5"/>
        <v>57972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30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19039376</v>
      </c>
      <c r="D113" s="251">
        <f>SUM(D97:D111)</f>
        <v>319538</v>
      </c>
      <c r="E113" s="251">
        <f>SUM(E97:E111)</f>
        <v>18719838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3"/>
      <c r="J118" s="73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19039376</v>
      </c>
      <c r="D122" s="251">
        <f>D113+D120</f>
        <v>319538</v>
      </c>
      <c r="E122" s="251">
        <f>+E113+E120</f>
        <v>18719838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11340671</v>
      </c>
      <c r="D134" s="251">
        <f>D53+D82-D122</f>
        <v>1083262</v>
      </c>
      <c r="E134" s="251">
        <f>E53+E82-E122</f>
        <v>10257409</v>
      </c>
      <c r="F134" s="8"/>
      <c r="G134" s="45"/>
      <c r="H134" s="45"/>
      <c r="I134" s="30">
        <f>C134</f>
        <v>11340671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>
        <v>2316506</v>
      </c>
      <c r="J135" s="45"/>
      <c r="K135" s="45"/>
    </row>
    <row r="136" spans="1:11" ht="12.75">
      <c r="A136" s="12" t="s">
        <v>375</v>
      </c>
      <c r="B136" s="8" t="s">
        <v>188</v>
      </c>
      <c r="C136" s="295">
        <v>6876092</v>
      </c>
      <c r="D136" s="295"/>
      <c r="E136" s="265">
        <f>C136-D136</f>
        <v>6876092</v>
      </c>
      <c r="F136" s="8"/>
      <c r="G136" s="45"/>
      <c r="H136" s="45"/>
      <c r="I136" s="488">
        <f>I134-I135</f>
        <v>9024165</v>
      </c>
      <c r="J136" s="45"/>
      <c r="K136" s="45"/>
    </row>
    <row r="137" spans="1:11" ht="12.75">
      <c r="A137" s="46" t="s">
        <v>376</v>
      </c>
      <c r="B137" s="8" t="s">
        <v>188</v>
      </c>
      <c r="C137" s="311"/>
      <c r="D137" s="311"/>
      <c r="E137" s="395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4464579</v>
      </c>
      <c r="D139" s="252">
        <f>D134-D136-D137-D138</f>
        <v>1083262</v>
      </c>
      <c r="E139" s="252">
        <f>E134-E136-E137-E138</f>
        <v>3381317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1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9">
        <v>1083879</v>
      </c>
      <c r="D142" s="299"/>
      <c r="E142" s="252">
        <f>C142-D142</f>
        <v>1083879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9">
        <f>459599+3000</f>
        <v>462599</v>
      </c>
      <c r="D143" s="299"/>
      <c r="E143" s="293">
        <f>C143-D143</f>
        <v>462599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1546478</v>
      </c>
      <c r="D144" s="252">
        <f>D142+D143</f>
        <v>0</v>
      </c>
      <c r="E144" s="252">
        <f>E142+E143</f>
        <v>1546478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9">
        <v>3000</v>
      </c>
      <c r="D145" s="299"/>
      <c r="E145" s="294">
        <f>C145-D145</f>
        <v>3000</v>
      </c>
      <c r="F145" s="8"/>
      <c r="G145" s="45"/>
      <c r="H145" s="45"/>
      <c r="I145" s="45"/>
      <c r="J145" s="45"/>
      <c r="K145" s="45"/>
    </row>
    <row r="146" spans="1:11" ht="12.75">
      <c r="A146" s="321" t="s">
        <v>99</v>
      </c>
      <c r="B146" s="8" t="s">
        <v>189</v>
      </c>
      <c r="C146" s="252">
        <f>C144-C145</f>
        <v>1543478</v>
      </c>
      <c r="D146" s="252">
        <f>D144-D145</f>
        <v>0</v>
      </c>
      <c r="E146" s="252">
        <f>E144-E145</f>
        <v>1543478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1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6">
        <f>C142/C139</f>
        <v>0.2427729467884878</v>
      </c>
      <c r="D149" s="5"/>
      <c r="E149" s="407">
        <f>C149</f>
        <v>0.2427729467884878</v>
      </c>
      <c r="F149" s="8"/>
      <c r="G149" s="485" t="s">
        <v>469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6">
        <v>0.125</v>
      </c>
      <c r="D150" s="492"/>
      <c r="E150" s="407">
        <f>C150</f>
        <v>0.125</v>
      </c>
      <c r="F150" s="8"/>
      <c r="G150" s="485" t="s">
        <v>470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7">
        <f>SUM(C149:C150)</f>
        <v>0.3677729467884878</v>
      </c>
      <c r="D151" s="5"/>
      <c r="E151" s="407">
        <f>SUM(E149:E150)</f>
        <v>0.3677729467884878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478</v>
      </c>
      <c r="B155" s="8"/>
    </row>
    <row r="156" spans="1:5" ht="12.75">
      <c r="A156" t="s">
        <v>219</v>
      </c>
      <c r="B156" s="86" t="s">
        <v>187</v>
      </c>
      <c r="C156" s="251">
        <f>C146</f>
        <v>1543478</v>
      </c>
      <c r="D156" s="251">
        <f>D146</f>
        <v>0</v>
      </c>
      <c r="E156" s="251">
        <f>E146</f>
        <v>1543478</v>
      </c>
    </row>
    <row r="157" spans="1:5" ht="12.75">
      <c r="A157" t="s">
        <v>20</v>
      </c>
      <c r="B157" s="86" t="s">
        <v>187</v>
      </c>
      <c r="C157" s="481">
        <v>751099</v>
      </c>
      <c r="D157" s="251"/>
      <c r="E157" s="251">
        <f>C157+D157</f>
        <v>751099</v>
      </c>
    </row>
    <row r="158" spans="1:5" ht="12.75">
      <c r="A158" t="s">
        <v>218</v>
      </c>
      <c r="B158" s="86" t="s">
        <v>187</v>
      </c>
      <c r="C158" s="481">
        <v>506738</v>
      </c>
      <c r="D158" s="251"/>
      <c r="E158" s="251">
        <f>C158+D158</f>
        <v>506738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2801315</v>
      </c>
      <c r="D160" s="251">
        <f>D156+D157+D158</f>
        <v>0</v>
      </c>
      <c r="E160" s="251">
        <f>E156+E157+E158</f>
        <v>2801315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7521875" bottom="0.35433070866141736" header="0.1968503937007874" footer="0"/>
  <pageSetup fitToHeight="2" horizontalDpi="600" verticalDpi="600" orientation="portrait" scale="54" r:id="rId3"/>
  <headerFooter alignWithMargins="0">
    <oddHeader>&amp;R&amp;7Horizon Utilities Corporation
Disposition of Account 1562 Deferred PILS
EB-2012-0005
Appendix  C-2-3
Filed: March 28, 2012&amp;8
</oddHeader>
    <oddFooter>&amp;R&amp;"Arial,Bold"&amp;9&amp;A</oddFooter>
  </headerFooter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view="pageBreakPreview" zoomScale="60" workbookViewId="0" topLeftCell="A1">
      <selection activeCell="Q34" sqref="Q34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 Hamilton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281</v>
      </c>
      <c r="B14" s="61"/>
      <c r="C14" s="295">
        <v>600000</v>
      </c>
      <c r="D14" s="295"/>
      <c r="E14" s="251">
        <f aca="true" t="shared" si="0" ref="E14:E21">C14-D14</f>
        <v>600000</v>
      </c>
    </row>
    <row r="15" spans="1:5" ht="12.75">
      <c r="A15" s="61" t="s">
        <v>282</v>
      </c>
      <c r="B15" s="61"/>
      <c r="C15" s="295"/>
      <c r="D15" s="295"/>
      <c r="E15" s="251">
        <f t="shared" si="0"/>
        <v>0</v>
      </c>
    </row>
    <row r="16" spans="1:5" ht="12.75">
      <c r="A16" s="61" t="s">
        <v>283</v>
      </c>
      <c r="B16" s="61"/>
      <c r="C16" s="295">
        <v>89584</v>
      </c>
      <c r="D16" s="295"/>
      <c r="E16" s="251">
        <f t="shared" si="0"/>
        <v>89584</v>
      </c>
    </row>
    <row r="17" spans="1:5" ht="12.75">
      <c r="A17" s="61" t="s">
        <v>284</v>
      </c>
      <c r="B17" s="61"/>
      <c r="C17" s="295"/>
      <c r="D17" s="295"/>
      <c r="E17" s="251">
        <f t="shared" si="0"/>
        <v>0</v>
      </c>
    </row>
    <row r="18" spans="1:5" ht="12.75">
      <c r="A18" s="61" t="s">
        <v>449</v>
      </c>
      <c r="B18" s="61"/>
      <c r="C18" s="295"/>
      <c r="D18" s="295"/>
      <c r="E18" s="251">
        <f t="shared" si="0"/>
        <v>0</v>
      </c>
    </row>
    <row r="19" spans="1:5" ht="12.75">
      <c r="A19" s="61" t="s">
        <v>449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689584</v>
      </c>
      <c r="D22" s="251">
        <f>SUM(D13:D21)</f>
        <v>0</v>
      </c>
      <c r="E22" s="251">
        <f>SUM(E13:E21)</f>
        <v>689584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281</v>
      </c>
      <c r="B26" s="61"/>
      <c r="C26" s="295">
        <v>600000</v>
      </c>
      <c r="D26" s="295"/>
      <c r="E26" s="251">
        <f aca="true" t="shared" si="1" ref="E26:E33">C26-D26</f>
        <v>600000</v>
      </c>
    </row>
    <row r="27" spans="1:5" ht="12.75">
      <c r="A27" s="61" t="s">
        <v>282</v>
      </c>
      <c r="B27" s="61"/>
      <c r="C27" s="295"/>
      <c r="D27" s="295"/>
      <c r="E27" s="251">
        <f t="shared" si="1"/>
        <v>0</v>
      </c>
    </row>
    <row r="28" spans="1:5" ht="12.75">
      <c r="A28" s="61" t="s">
        <v>283</v>
      </c>
      <c r="B28" s="61"/>
      <c r="C28" s="295"/>
      <c r="D28" s="295"/>
      <c r="E28" s="251">
        <f t="shared" si="1"/>
        <v>0</v>
      </c>
    </row>
    <row r="29" spans="1:5" ht="12.75">
      <c r="A29" s="61" t="s">
        <v>284</v>
      </c>
      <c r="B29" s="61"/>
      <c r="C29" s="295"/>
      <c r="D29" s="295"/>
      <c r="E29" s="251">
        <f t="shared" si="1"/>
        <v>0</v>
      </c>
    </row>
    <row r="30" spans="1:5" ht="12.75">
      <c r="A30" s="61" t="s">
        <v>449</v>
      </c>
      <c r="B30" s="61"/>
      <c r="C30" s="295"/>
      <c r="D30" s="295"/>
      <c r="E30" s="251">
        <f t="shared" si="1"/>
        <v>0</v>
      </c>
    </row>
    <row r="31" spans="1:5" ht="12.75">
      <c r="A31" s="61" t="s">
        <v>449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600000</v>
      </c>
      <c r="D35" s="251">
        <f>SUM(D25:D33)</f>
        <v>0</v>
      </c>
      <c r="E35" s="251">
        <f>SUM(E25:E33)</f>
        <v>600000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5"/>
      <c r="D43" s="295"/>
      <c r="E43" s="251">
        <f t="shared" si="2"/>
        <v>0</v>
      </c>
    </row>
    <row r="44" spans="1:5" ht="12.75">
      <c r="A44" s="61" t="s">
        <v>268</v>
      </c>
      <c r="B44" s="61"/>
      <c r="C44" s="295">
        <v>1500000</v>
      </c>
      <c r="D44" s="295"/>
      <c r="E44" s="251">
        <f t="shared" si="2"/>
        <v>1500000</v>
      </c>
    </row>
    <row r="45" spans="1:5" ht="12.75">
      <c r="A45" s="61" t="s">
        <v>269</v>
      </c>
      <c r="B45" s="61"/>
      <c r="C45" s="295">
        <v>200000</v>
      </c>
      <c r="D45" s="295"/>
      <c r="E45" s="251">
        <f t="shared" si="2"/>
        <v>200000</v>
      </c>
    </row>
    <row r="46" spans="1:5" ht="12.75">
      <c r="A46" s="61" t="s">
        <v>270</v>
      </c>
      <c r="B46" s="61"/>
      <c r="C46" s="295">
        <v>0</v>
      </c>
      <c r="D46" s="295"/>
      <c r="E46" s="251">
        <f t="shared" si="2"/>
        <v>0</v>
      </c>
    </row>
    <row r="47" spans="1:5" ht="12.75">
      <c r="A47" s="495" t="s">
        <v>506</v>
      </c>
      <c r="B47" s="61"/>
      <c r="C47" s="295">
        <f>67000+89584</f>
        <v>156584</v>
      </c>
      <c r="D47" s="295"/>
      <c r="E47" s="251">
        <f t="shared" si="2"/>
        <v>156584</v>
      </c>
    </row>
    <row r="48" spans="1:5" ht="12.75">
      <c r="A48" s="61" t="s">
        <v>449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1856584</v>
      </c>
      <c r="D50" s="251">
        <f>SUM(D41:D49)</f>
        <v>0</v>
      </c>
      <c r="E50" s="251">
        <f>SUM(E41:E49)</f>
        <v>1856584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5"/>
      <c r="D55" s="295"/>
      <c r="E55" s="251">
        <f t="shared" si="3"/>
        <v>0</v>
      </c>
    </row>
    <row r="56" spans="1:5" ht="12.75">
      <c r="A56" s="246" t="s">
        <v>268</v>
      </c>
      <c r="B56" s="61"/>
      <c r="C56" s="295">
        <v>1250000</v>
      </c>
      <c r="D56" s="295"/>
      <c r="E56" s="251">
        <f t="shared" si="3"/>
        <v>1250000</v>
      </c>
    </row>
    <row r="57" spans="1:5" ht="12.75">
      <c r="A57" s="246" t="s">
        <v>269</v>
      </c>
      <c r="B57" s="61"/>
      <c r="C57" s="295">
        <v>340000</v>
      </c>
      <c r="D57" s="295"/>
      <c r="E57" s="251">
        <f t="shared" si="3"/>
        <v>340000</v>
      </c>
    </row>
    <row r="58" spans="1:5" ht="12.75">
      <c r="A58" s="246" t="s">
        <v>270</v>
      </c>
      <c r="B58" s="61"/>
      <c r="C58" s="295"/>
      <c r="D58" s="295"/>
      <c r="E58" s="251">
        <f t="shared" si="3"/>
        <v>0</v>
      </c>
    </row>
    <row r="59" spans="1:5" ht="12.75">
      <c r="A59" s="495" t="s">
        <v>506</v>
      </c>
      <c r="B59" s="61"/>
      <c r="C59" s="295">
        <v>0</v>
      </c>
      <c r="D59" s="295"/>
      <c r="E59" s="251">
        <f t="shared" si="3"/>
        <v>0</v>
      </c>
    </row>
    <row r="60" spans="1:5" ht="12.75">
      <c r="A60" s="61" t="s">
        <v>449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1590000</v>
      </c>
      <c r="D63" s="251">
        <f>SUM(D53:D61)</f>
        <v>0</v>
      </c>
      <c r="E63" s="251">
        <f>SUM(E53:E61)</f>
        <v>1590000</v>
      </c>
    </row>
  </sheetData>
  <sheetProtection/>
  <printOptions gridLines="1" headings="1"/>
  <pageMargins left="0.35433070866141736" right="0.03937007874015748" top="0.7521875" bottom="0.35433070866141736" header="0.1968503937007874" footer="0"/>
  <pageSetup horizontalDpi="600" verticalDpi="600" orientation="portrait" scale="83" r:id="rId1"/>
  <headerFooter alignWithMargins="0">
    <oddHeader>&amp;R&amp;7Horizon Utilities Corporation
Disposition of Account 1562 Deferred PILS
EB-2012-0005
Appendix  C-2-3
Filed: March 28, 2012&amp;8
</oddHeader>
    <oddFooter>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view="pageBreakPreview" zoomScale="60" workbookViewId="0" topLeftCell="A43">
      <selection activeCell="C83" sqref="C8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7" t="s">
        <v>466</v>
      </c>
      <c r="B5" s="8"/>
      <c r="C5" s="8" t="s">
        <v>2</v>
      </c>
      <c r="D5" s="8"/>
      <c r="E5" s="8"/>
      <c r="F5" s="8"/>
    </row>
    <row r="6" spans="1:6" ht="12.75">
      <c r="A6" s="417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 Hamilton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4">
        <f>C17-D17</f>
        <v>0</v>
      </c>
    </row>
    <row r="18" spans="1:5" ht="12.75">
      <c r="A18" s="67" t="s">
        <v>253</v>
      </c>
      <c r="B18" t="s">
        <v>187</v>
      </c>
      <c r="C18" s="296"/>
      <c r="D18" s="296"/>
      <c r="E18" s="314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4">
        <f t="shared" si="0"/>
        <v>0</v>
      </c>
    </row>
    <row r="20" spans="1:5" ht="12.75">
      <c r="A20" s="67" t="s">
        <v>450</v>
      </c>
      <c r="B20" t="s">
        <v>187</v>
      </c>
      <c r="C20" s="296"/>
      <c r="D20" s="315"/>
      <c r="E20" s="314">
        <f t="shared" si="0"/>
        <v>0</v>
      </c>
    </row>
    <row r="21" spans="1:5" ht="12.75">
      <c r="A21" s="67" t="s">
        <v>8</v>
      </c>
      <c r="B21" t="s">
        <v>187</v>
      </c>
      <c r="C21" s="296">
        <v>13615</v>
      </c>
      <c r="D21" s="296"/>
      <c r="E21" s="314">
        <f t="shared" si="0"/>
        <v>13615</v>
      </c>
    </row>
    <row r="22" spans="1:5" ht="12.75">
      <c r="A22" s="67"/>
      <c r="B22" t="s">
        <v>187</v>
      </c>
      <c r="C22" s="296"/>
      <c r="D22" s="296"/>
      <c r="E22" s="314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254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4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4">
        <f t="shared" si="0"/>
        <v>0</v>
      </c>
    </row>
    <row r="36" spans="1:5" ht="12.75">
      <c r="A36" s="67" t="s">
        <v>476</v>
      </c>
      <c r="B36" t="s">
        <v>187</v>
      </c>
      <c r="C36" s="296"/>
      <c r="D36" s="296"/>
      <c r="E36" s="314">
        <f t="shared" si="0"/>
        <v>0</v>
      </c>
    </row>
    <row r="37" spans="1:5" ht="12.75">
      <c r="A37" s="67"/>
      <c r="B37" t="s">
        <v>187</v>
      </c>
      <c r="C37" s="296"/>
      <c r="D37" s="296"/>
      <c r="E37" s="314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494" t="s">
        <v>505</v>
      </c>
      <c r="B41" t="s">
        <v>187</v>
      </c>
      <c r="C41" s="295">
        <v>424050</v>
      </c>
      <c r="D41" s="295"/>
      <c r="E41" s="251">
        <f t="shared" si="0"/>
        <v>424050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437665</v>
      </c>
      <c r="D46" s="251">
        <f>SUM(D17:D45)</f>
        <v>0</v>
      </c>
      <c r="E46" s="251">
        <f>SUM(E17:E45)</f>
        <v>437665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>IF($E21&gt;$C$11,A21," ")</f>
        <v>Taxable capital gains</v>
      </c>
      <c r="B53" s="274"/>
      <c r="C53" s="251">
        <f t="shared" si="1"/>
        <v>13615</v>
      </c>
      <c r="D53" s="251">
        <f t="shared" si="1"/>
        <v>0</v>
      </c>
      <c r="E53" s="251">
        <f t="shared" si="1"/>
        <v>13615</v>
      </c>
    </row>
    <row r="54" spans="1:5" ht="12.75">
      <c r="A54" s="276" t="str">
        <f aca="true" t="shared" si="2" ref="A53:A59">IF($E22&gt;$C$11,A20," ")</f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Capitalized Fleet Depreciation, net (not permitted for UCC purposes)</v>
      </c>
      <c r="B72" s="274"/>
      <c r="C72" s="251">
        <f t="shared" si="3"/>
        <v>424050</v>
      </c>
      <c r="D72" s="251">
        <f t="shared" si="3"/>
        <v>0</v>
      </c>
      <c r="E72" s="251">
        <f t="shared" si="3"/>
        <v>424050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437665</v>
      </c>
      <c r="D77" s="251">
        <f>SUM(D49:D75)</f>
        <v>0</v>
      </c>
      <c r="E77" s="251">
        <f>SUM(E49:E75)</f>
        <v>437665</v>
      </c>
    </row>
    <row r="78" spans="1:5" ht="12.75">
      <c r="A78" s="277" t="s">
        <v>203</v>
      </c>
      <c r="B78" s="278"/>
      <c r="C78" s="316">
        <f>C46-C77</f>
        <v>0</v>
      </c>
      <c r="D78" s="316">
        <f>D46-D77</f>
        <v>0</v>
      </c>
      <c r="E78" s="316">
        <f>E46-E77</f>
        <v>0</v>
      </c>
    </row>
    <row r="79" spans="1:5" ht="12.75">
      <c r="A79" s="277" t="s">
        <v>170</v>
      </c>
      <c r="B79" s="278"/>
      <c r="C79" s="316">
        <f>C77+C78</f>
        <v>437665</v>
      </c>
      <c r="D79" s="316">
        <f>D77+D78</f>
        <v>0</v>
      </c>
      <c r="E79" s="316">
        <f>E77+E78</f>
        <v>437665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>
        <v>0</v>
      </c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5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2:5" ht="12.75">
      <c r="B92" s="8" t="s">
        <v>188</v>
      </c>
      <c r="C92" s="295"/>
      <c r="D92" s="295"/>
      <c r="E92" s="251"/>
    </row>
    <row r="93" spans="1:5" ht="12.75">
      <c r="A93" s="67"/>
      <c r="B93" s="8" t="s">
        <v>188</v>
      </c>
      <c r="C93" s="295"/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477</v>
      </c>
      <c r="B96" s="8" t="s">
        <v>188</v>
      </c>
      <c r="C96" s="295">
        <v>0</v>
      </c>
      <c r="D96" s="295"/>
      <c r="E96" s="251">
        <f t="shared" si="5"/>
        <v>0</v>
      </c>
    </row>
    <row r="97" spans="1:5" ht="12.75">
      <c r="A97" s="67"/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7521875" bottom="0.35433070866141736" header="0.1968503937007874" footer="0"/>
  <pageSetup fitToHeight="2" horizontalDpi="600" verticalDpi="600" orientation="portrait" scale="59" r:id="rId1"/>
  <headerFooter alignWithMargins="0">
    <oddHeader>&amp;R&amp;7Horizon Utilities Corporation
Disposition of Account 1562 Deferred PILS
EB-2012-0005
Appendix  C-2-3
Filed: March 28, 2012&amp;8
</oddHeader>
    <oddFooter>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view="pageBreakPreview" zoomScale="60" workbookViewId="0" topLeftCell="A4">
      <selection activeCell="C54" sqref="C5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</v>
      </c>
    </row>
    <row r="3" spans="1:5" ht="12.75">
      <c r="A3" s="2" t="s">
        <v>385</v>
      </c>
      <c r="E3" s="92"/>
    </row>
    <row r="4" spans="1:6" ht="15.75">
      <c r="A4" s="465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7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 Hamilton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4">
        <f aca="true" t="shared" si="0" ref="E19:E45">C19-D19</f>
        <v>0</v>
      </c>
    </row>
    <row r="20" spans="1:5" ht="12.75">
      <c r="A20" t="s">
        <v>388</v>
      </c>
      <c r="B20" t="s">
        <v>187</v>
      </c>
      <c r="C20" s="296"/>
      <c r="D20" s="296"/>
      <c r="E20" s="314">
        <f t="shared" si="0"/>
        <v>0</v>
      </c>
    </row>
    <row r="21" spans="1:5" ht="12.75">
      <c r="A21" t="s">
        <v>454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 t="s">
        <v>391</v>
      </c>
      <c r="B22" t="s">
        <v>187</v>
      </c>
      <c r="C22" s="296"/>
      <c r="D22" s="315"/>
      <c r="E22" s="314">
        <f t="shared" si="0"/>
        <v>0</v>
      </c>
    </row>
    <row r="23" spans="1:5" ht="12.75">
      <c r="A23" s="67" t="s">
        <v>392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455</v>
      </c>
      <c r="B24" t="s">
        <v>187</v>
      </c>
      <c r="C24" s="296">
        <v>43835</v>
      </c>
      <c r="D24" s="296"/>
      <c r="E24" s="314">
        <f t="shared" si="0"/>
        <v>43835</v>
      </c>
    </row>
    <row r="25" spans="1:5" ht="12.75">
      <c r="A25" s="67" t="s">
        <v>125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438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390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389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433</v>
      </c>
      <c r="B32" t="s">
        <v>187</v>
      </c>
      <c r="C32" s="296">
        <v>9948</v>
      </c>
      <c r="D32" s="296"/>
      <c r="E32" s="314">
        <f t="shared" si="0"/>
        <v>9948</v>
      </c>
    </row>
    <row r="33" spans="1:5" ht="12.75">
      <c r="A33" s="67" t="s">
        <v>434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451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81" t="s">
        <v>452</v>
      </c>
      <c r="C35" s="296"/>
      <c r="D35" s="296"/>
      <c r="E35" s="314">
        <f t="shared" si="0"/>
        <v>0</v>
      </c>
    </row>
    <row r="36" spans="1:5" ht="12.75">
      <c r="A36" s="67" t="s">
        <v>435</v>
      </c>
      <c r="C36" s="296"/>
      <c r="D36" s="296"/>
      <c r="E36" s="314">
        <f t="shared" si="0"/>
        <v>0</v>
      </c>
    </row>
    <row r="37" spans="1:5" ht="12.75">
      <c r="A37" s="67" t="s">
        <v>436</v>
      </c>
      <c r="C37" s="296"/>
      <c r="D37" s="296"/>
      <c r="E37" s="314">
        <f t="shared" si="0"/>
        <v>0</v>
      </c>
    </row>
    <row r="38" spans="1:5" ht="12.75">
      <c r="A38" s="67" t="s">
        <v>458</v>
      </c>
      <c r="C38" s="296"/>
      <c r="D38" s="296"/>
      <c r="E38" s="314">
        <f t="shared" si="0"/>
        <v>0</v>
      </c>
    </row>
    <row r="39" spans="2:5" ht="12.75">
      <c r="B39" t="s">
        <v>187</v>
      </c>
      <c r="C39" s="296"/>
      <c r="D39" s="296"/>
      <c r="E39" s="314">
        <f t="shared" si="0"/>
        <v>0</v>
      </c>
    </row>
    <row r="40" spans="1:5" ht="12.75">
      <c r="A40" s="81" t="s">
        <v>393</v>
      </c>
      <c r="B40" t="s">
        <v>187</v>
      </c>
      <c r="C40" s="296"/>
      <c r="D40" s="296"/>
      <c r="E40" s="314">
        <f t="shared" si="0"/>
        <v>0</v>
      </c>
    </row>
    <row r="41" spans="1:5" ht="12.75">
      <c r="A41" s="81" t="s">
        <v>387</v>
      </c>
      <c r="B41" t="s">
        <v>187</v>
      </c>
      <c r="C41" s="296"/>
      <c r="D41" s="296"/>
      <c r="E41" s="314">
        <f t="shared" si="0"/>
        <v>0</v>
      </c>
    </row>
    <row r="42" spans="2:5" ht="12.75">
      <c r="B42" t="s">
        <v>187</v>
      </c>
      <c r="C42" s="296"/>
      <c r="D42" s="296"/>
      <c r="E42" s="314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4">
        <f t="shared" si="0"/>
        <v>0</v>
      </c>
    </row>
    <row r="44" spans="1:5" ht="12.75">
      <c r="A44" t="s">
        <v>497</v>
      </c>
      <c r="B44" t="s">
        <v>187</v>
      </c>
      <c r="C44" s="295"/>
      <c r="D44" s="295"/>
      <c r="E44" s="251">
        <f t="shared" si="0"/>
        <v>0</v>
      </c>
    </row>
    <row r="45" spans="2:5" ht="12.75">
      <c r="B45" t="s">
        <v>187</v>
      </c>
      <c r="C45" s="295"/>
      <c r="D45" s="295"/>
      <c r="E45" s="251">
        <f t="shared" si="0"/>
        <v>0</v>
      </c>
    </row>
    <row r="46" spans="1:5" ht="12.75">
      <c r="A46" s="67"/>
      <c r="B46" t="s">
        <v>187</v>
      </c>
      <c r="C46" s="295"/>
      <c r="D46" s="295"/>
      <c r="E46" s="280"/>
    </row>
    <row r="47" spans="1:5" ht="12.75">
      <c r="A47" s="451" t="s">
        <v>397</v>
      </c>
      <c r="B47" t="s">
        <v>189</v>
      </c>
      <c r="C47" s="251">
        <f>SUM(C19:C46)</f>
        <v>53783</v>
      </c>
      <c r="D47" s="251">
        <f>SUM(D19:D46)</f>
        <v>0</v>
      </c>
      <c r="E47" s="251">
        <f>SUM(E19:E46)</f>
        <v>53783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389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437</v>
      </c>
      <c r="B54" s="8" t="s">
        <v>188</v>
      </c>
      <c r="C54" s="295">
        <v>57972</v>
      </c>
      <c r="D54" s="295"/>
      <c r="E54" s="251">
        <f t="shared" si="1"/>
        <v>57972</v>
      </c>
    </row>
    <row r="55" spans="1:5" ht="12.75">
      <c r="A55" s="67" t="s">
        <v>445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456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7"/>
      <c r="B59" s="8" t="s">
        <v>188</v>
      </c>
      <c r="C59" s="295"/>
      <c r="D59" s="295"/>
      <c r="E59" s="251">
        <f t="shared" si="1"/>
        <v>0</v>
      </c>
    </row>
    <row r="60" spans="2:5" ht="12.75"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2:5" ht="12.75">
      <c r="B62" s="8" t="s">
        <v>188</v>
      </c>
      <c r="C62" s="295"/>
      <c r="D62" s="295"/>
      <c r="E62" s="251">
        <f aca="true" t="shared" si="2" ref="E62:E72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1:5" ht="12.75">
      <c r="A64" s="469" t="s">
        <v>394</v>
      </c>
      <c r="B64" s="8" t="s">
        <v>188</v>
      </c>
      <c r="C64" s="295"/>
      <c r="D64" s="295"/>
      <c r="E64" s="251">
        <f t="shared" si="2"/>
        <v>0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1:5" ht="12.75">
      <c r="A66" s="469" t="s">
        <v>387</v>
      </c>
      <c r="B66" s="8" t="s">
        <v>188</v>
      </c>
      <c r="C66" s="295"/>
      <c r="D66" s="295"/>
      <c r="E66" s="251">
        <f t="shared" si="2"/>
        <v>0</v>
      </c>
    </row>
    <row r="67" spans="1:5" ht="12.75">
      <c r="A67" s="67"/>
      <c r="B67" s="8" t="s">
        <v>188</v>
      </c>
      <c r="C67" s="295"/>
      <c r="D67" s="295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5"/>
      <c r="D68" s="295"/>
      <c r="E68" s="251">
        <f t="shared" si="2"/>
        <v>0</v>
      </c>
    </row>
    <row r="69" spans="1:5" ht="12.75">
      <c r="A69" s="67"/>
      <c r="B69" s="8" t="s">
        <v>188</v>
      </c>
      <c r="C69" s="295"/>
      <c r="D69" s="295"/>
      <c r="E69" s="251">
        <f t="shared" si="2"/>
        <v>0</v>
      </c>
    </row>
    <row r="70" spans="1:5" ht="12.75">
      <c r="A70" s="67"/>
      <c r="B70" s="8" t="s">
        <v>188</v>
      </c>
      <c r="C70" s="295"/>
      <c r="D70" s="295"/>
      <c r="E70" s="251">
        <f t="shared" si="2"/>
        <v>0</v>
      </c>
    </row>
    <row r="71" spans="1:5" ht="12.75">
      <c r="A71" s="67"/>
      <c r="B71" s="8" t="s">
        <v>188</v>
      </c>
      <c r="C71" s="295"/>
      <c r="D71" s="295"/>
      <c r="E71" s="251">
        <f t="shared" si="2"/>
        <v>0</v>
      </c>
    </row>
    <row r="72" spans="1:5" ht="12.75">
      <c r="A72" s="67"/>
      <c r="B72" s="8" t="s">
        <v>188</v>
      </c>
      <c r="C72" s="295"/>
      <c r="D72" s="295"/>
      <c r="E72" s="280">
        <f t="shared" si="2"/>
        <v>0</v>
      </c>
    </row>
    <row r="73" spans="1:5" ht="12.75">
      <c r="A73" s="450" t="s">
        <v>396</v>
      </c>
      <c r="B73" s="8" t="s">
        <v>189</v>
      </c>
      <c r="C73" s="251">
        <f>SUM(C51:C72)</f>
        <v>57972</v>
      </c>
      <c r="D73" s="251">
        <f>SUM(D51:D72)</f>
        <v>0</v>
      </c>
      <c r="E73" s="251">
        <f>SUM(E51:E72)</f>
        <v>57972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7521875" bottom="0.35433070866141736" header="0.1968503937007874" footer="0"/>
  <pageSetup horizontalDpi="600" verticalDpi="600" orientation="portrait" scale="68" r:id="rId1"/>
  <headerFooter alignWithMargins="0">
    <oddHeader>&amp;R&amp;7Horizon Utilities Corporation
Disposition of Account 1562 Deferred PILS
EB-2012-0005
Appendix  C-2-3
Filed: March 28, 2012&amp;8
</oddHeader>
    <oddFooter>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view="pageBreakPreview" zoomScale="60" workbookViewId="0" topLeftCell="A1">
      <selection activeCell="Q34" sqref="Q34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2.28125" style="8" customWidth="1"/>
    <col min="4" max="4" width="11.28125" style="8" bestFit="1" customWidth="1"/>
    <col min="5" max="5" width="11.4218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6" t="str">
        <f>REGINFO!A1</f>
        <v>PILs TAXES </v>
      </c>
      <c r="B1" s="387"/>
      <c r="C1" s="344"/>
      <c r="D1" s="344"/>
      <c r="E1" s="344"/>
      <c r="F1" s="344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5" t="s">
        <v>107</v>
      </c>
      <c r="B2" s="344"/>
      <c r="C2" s="344"/>
      <c r="D2" s="344"/>
      <c r="E2" s="344"/>
      <c r="F2" s="346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5" t="s">
        <v>307</v>
      </c>
      <c r="B3" s="344"/>
      <c r="C3" s="344"/>
      <c r="D3" s="344"/>
      <c r="E3" s="344"/>
      <c r="F3" s="346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 Hamilton Hydro Inc.</v>
      </c>
      <c r="B4" s="344"/>
      <c r="C4" s="344"/>
      <c r="D4" s="344"/>
      <c r="E4" s="344"/>
      <c r="F4" s="344"/>
      <c r="G4" s="189"/>
      <c r="H4" s="189"/>
      <c r="I4" s="189"/>
      <c r="J4" s="189"/>
      <c r="K4" s="239"/>
      <c r="L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2003</v>
      </c>
      <c r="B5" s="344"/>
      <c r="C5" s="344"/>
      <c r="D5" s="344"/>
      <c r="E5" s="344"/>
      <c r="F5" s="344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5"/>
      <c r="B6" s="344"/>
      <c r="C6" s="344"/>
      <c r="D6" s="344"/>
      <c r="E6" s="344"/>
      <c r="F6" s="344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5"/>
      <c r="B7" s="344"/>
      <c r="C7" s="344"/>
      <c r="D7" s="344"/>
      <c r="E7" s="344"/>
      <c r="F7" s="412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8" t="s">
        <v>484</v>
      </c>
      <c r="B8" s="509"/>
      <c r="C8" s="509"/>
      <c r="D8" s="509"/>
      <c r="E8" s="344"/>
      <c r="F8" s="384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2" t="s">
        <v>112</v>
      </c>
      <c r="B9" s="327"/>
      <c r="C9" s="375">
        <v>0</v>
      </c>
      <c r="D9" s="375"/>
      <c r="E9" s="375">
        <v>200001</v>
      </c>
      <c r="F9" s="376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3" t="s">
        <v>468</v>
      </c>
      <c r="B10" s="328"/>
      <c r="C10" s="377" t="s">
        <v>111</v>
      </c>
      <c r="D10" s="377"/>
      <c r="E10" s="377" t="s">
        <v>111</v>
      </c>
      <c r="F10" s="378" t="s">
        <v>489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3"/>
      <c r="B11" s="328" t="s">
        <v>116</v>
      </c>
      <c r="C11" s="379">
        <v>200000</v>
      </c>
      <c r="D11" s="379"/>
      <c r="E11" s="379">
        <v>700000</v>
      </c>
      <c r="F11" s="380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4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5" t="s">
        <v>300</v>
      </c>
      <c r="B13" s="411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5" t="s">
        <v>299</v>
      </c>
      <c r="B14" s="245"/>
      <c r="C14" s="329">
        <v>0.1312</v>
      </c>
      <c r="D14" s="329"/>
      <c r="E14" s="330">
        <v>0.2612</v>
      </c>
      <c r="F14" s="330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5" t="s">
        <v>304</v>
      </c>
      <c r="B15" s="245"/>
      <c r="C15" s="331">
        <v>0.06</v>
      </c>
      <c r="D15" s="331"/>
      <c r="E15" s="332">
        <v>0.06</v>
      </c>
      <c r="F15" s="332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5" t="s">
        <v>260</v>
      </c>
      <c r="B16" s="245"/>
      <c r="C16" s="333">
        <f>SUM(C14:C15)</f>
        <v>0.1912</v>
      </c>
      <c r="D16" s="333"/>
      <c r="E16" s="334">
        <v>0.3412</v>
      </c>
      <c r="F16" s="334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5"/>
      <c r="B17" s="245"/>
      <c r="C17" s="329"/>
      <c r="D17" s="329"/>
      <c r="E17" s="330"/>
      <c r="F17" s="330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4" t="s">
        <v>109</v>
      </c>
      <c r="B18" s="244"/>
      <c r="C18" s="335">
        <v>0.003</v>
      </c>
      <c r="D18" s="329"/>
      <c r="E18" s="330"/>
      <c r="F18" s="330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4" t="s">
        <v>110</v>
      </c>
      <c r="B19" s="238"/>
      <c r="C19" s="336">
        <v>0.00225</v>
      </c>
      <c r="D19" s="337"/>
      <c r="E19" s="338"/>
      <c r="F19" s="338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4" t="s">
        <v>113</v>
      </c>
      <c r="B20" s="238"/>
      <c r="C20" s="337">
        <v>0.0112</v>
      </c>
      <c r="D20" s="339"/>
      <c r="E20" s="340"/>
      <c r="F20" s="340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6" t="s">
        <v>332</v>
      </c>
      <c r="B21" s="408" t="s">
        <v>473</v>
      </c>
      <c r="C21" s="363">
        <v>5000000</v>
      </c>
      <c r="D21" s="339"/>
      <c r="E21" s="340"/>
      <c r="F21" s="340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6" t="s">
        <v>333</v>
      </c>
      <c r="B22" s="409" t="s">
        <v>474</v>
      </c>
      <c r="C22" s="364">
        <v>10000000</v>
      </c>
      <c r="D22" s="341"/>
      <c r="E22" s="342"/>
      <c r="F22" s="342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2" t="s">
        <v>493</v>
      </c>
      <c r="B23" s="503"/>
      <c r="C23" s="503"/>
      <c r="D23" s="503"/>
      <c r="E23" s="503"/>
      <c r="F23" s="503"/>
      <c r="G23" s="440"/>
      <c r="H23" s="422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3"/>
      <c r="B24" s="414"/>
      <c r="C24" s="414"/>
      <c r="D24" s="414"/>
      <c r="E24" s="414"/>
      <c r="F24" s="414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1"/>
      <c r="B25" s="382"/>
      <c r="C25" s="385"/>
      <c r="D25" s="344"/>
      <c r="E25" s="344"/>
      <c r="F25" s="412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0" t="s">
        <v>485</v>
      </c>
      <c r="B26" s="511"/>
      <c r="C26" s="511"/>
      <c r="D26" s="511"/>
      <c r="E26" s="511"/>
      <c r="F26" s="511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2" t="s">
        <v>112</v>
      </c>
      <c r="B27" s="327"/>
      <c r="C27" s="369">
        <v>0</v>
      </c>
      <c r="D27" s="369"/>
      <c r="E27" s="369">
        <v>200001</v>
      </c>
      <c r="F27" s="370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3" t="s">
        <v>441</v>
      </c>
      <c r="B28" s="328"/>
      <c r="C28" s="371" t="s">
        <v>111</v>
      </c>
      <c r="D28" s="371"/>
      <c r="E28" s="371" t="s">
        <v>111</v>
      </c>
      <c r="F28" s="372" t="s">
        <v>489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3"/>
      <c r="B29" s="328" t="s">
        <v>116</v>
      </c>
      <c r="C29" s="373">
        <v>200000</v>
      </c>
      <c r="D29" s="373"/>
      <c r="E29" s="373">
        <v>700000</v>
      </c>
      <c r="F29" s="374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4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5" t="s">
        <v>115</v>
      </c>
      <c r="B31" s="411">
        <v>2003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5" t="s">
        <v>299</v>
      </c>
      <c r="B32" s="411">
        <v>2003</v>
      </c>
      <c r="C32" s="329">
        <v>0.1312</v>
      </c>
      <c r="D32" s="329"/>
      <c r="E32" s="330"/>
      <c r="F32" s="330">
        <v>0.2412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5" t="s">
        <v>29</v>
      </c>
      <c r="B33" s="411">
        <v>2003</v>
      </c>
      <c r="C33" s="331">
        <v>0.06</v>
      </c>
      <c r="D33" s="331"/>
      <c r="E33" s="332"/>
      <c r="F33" s="332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5" t="s">
        <v>260</v>
      </c>
      <c r="B34" s="411">
        <v>2003</v>
      </c>
      <c r="C34" s="333">
        <f>SUM(C32:C33)</f>
        <v>0.1912</v>
      </c>
      <c r="D34" s="333"/>
      <c r="E34" s="334">
        <v>0.3412</v>
      </c>
      <c r="F34" s="334">
        <f>SUM(F32:F33)</f>
        <v>0.36619999999999997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5"/>
      <c r="B35" s="245"/>
      <c r="C35" s="329"/>
      <c r="D35" s="329"/>
      <c r="E35" s="330"/>
      <c r="F35" s="330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4" t="s">
        <v>109</v>
      </c>
      <c r="B36" s="411">
        <v>2003</v>
      </c>
      <c r="C36" s="335">
        <v>0.003</v>
      </c>
      <c r="D36" s="329"/>
      <c r="E36" s="330"/>
      <c r="F36" s="330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4" t="s">
        <v>110</v>
      </c>
      <c r="B37" s="411">
        <v>2003</v>
      </c>
      <c r="C37" s="336">
        <v>0.00225</v>
      </c>
      <c r="D37" s="337"/>
      <c r="E37" s="338"/>
      <c r="F37" s="338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4" t="s">
        <v>113</v>
      </c>
      <c r="B38" s="411">
        <v>2003</v>
      </c>
      <c r="C38" s="337">
        <v>0.0112</v>
      </c>
      <c r="D38" s="339"/>
      <c r="E38" s="340"/>
      <c r="F38" s="340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6" t="s">
        <v>486</v>
      </c>
      <c r="B39" s="408" t="s">
        <v>473</v>
      </c>
      <c r="C39" s="363">
        <v>5000000</v>
      </c>
      <c r="D39" s="339"/>
      <c r="E39" s="340"/>
      <c r="F39" s="340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6" t="s">
        <v>487</v>
      </c>
      <c r="B40" s="409" t="s">
        <v>474</v>
      </c>
      <c r="C40" s="364">
        <v>10000000</v>
      </c>
      <c r="D40" s="341"/>
      <c r="E40" s="342"/>
      <c r="F40" s="342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4" t="s">
        <v>335</v>
      </c>
      <c r="B41" s="503"/>
      <c r="C41" s="503"/>
      <c r="D41" s="503"/>
      <c r="E41" s="503"/>
      <c r="F41" s="503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5"/>
      <c r="B42" s="505"/>
      <c r="C42" s="505"/>
      <c r="D42" s="505"/>
      <c r="E42" s="505"/>
      <c r="F42" s="505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1"/>
      <c r="B43" s="382"/>
      <c r="C43" s="383"/>
      <c r="D43" s="382"/>
      <c r="E43" s="382"/>
      <c r="F43" s="412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10" t="s">
        <v>488</v>
      </c>
      <c r="B44" s="367"/>
      <c r="C44" s="368"/>
      <c r="D44" s="367"/>
      <c r="E44" s="344"/>
      <c r="F44" s="384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2" t="s">
        <v>112</v>
      </c>
      <c r="B45" s="327"/>
      <c r="C45" s="369">
        <v>0</v>
      </c>
      <c r="D45" s="369"/>
      <c r="E45" s="369">
        <v>200001</v>
      </c>
      <c r="F45" s="370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3"/>
      <c r="B46" s="328"/>
      <c r="C46" s="371" t="s">
        <v>111</v>
      </c>
      <c r="D46" s="371"/>
      <c r="E46" s="371" t="s">
        <v>111</v>
      </c>
      <c r="F46" s="372" t="s">
        <v>472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3"/>
      <c r="B47" s="343" t="s">
        <v>116</v>
      </c>
      <c r="C47" s="373">
        <v>200000</v>
      </c>
      <c r="D47" s="373"/>
      <c r="E47" s="373">
        <v>700000</v>
      </c>
      <c r="F47" s="374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4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5" t="s">
        <v>115</v>
      </c>
      <c r="B49" s="411">
        <v>2003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5" t="s">
        <v>299</v>
      </c>
      <c r="B50" s="245"/>
      <c r="C50" s="353">
        <v>0.1312</v>
      </c>
      <c r="D50" s="353"/>
      <c r="E50" s="354">
        <v>0</v>
      </c>
      <c r="F50" s="354">
        <v>0.2412</v>
      </c>
      <c r="G50" s="194"/>
      <c r="H50" s="491">
        <v>0.2412</v>
      </c>
      <c r="I50" s="491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5" t="s">
        <v>29</v>
      </c>
      <c r="B51" s="245"/>
      <c r="C51" s="355">
        <v>0.06</v>
      </c>
      <c r="D51" s="355"/>
      <c r="E51" s="356">
        <v>0</v>
      </c>
      <c r="F51" s="356">
        <v>0.125</v>
      </c>
      <c r="G51" s="194"/>
      <c r="H51" s="491">
        <v>0.125</v>
      </c>
      <c r="I51" s="491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5" t="s">
        <v>260</v>
      </c>
      <c r="B52" s="245"/>
      <c r="C52" s="333">
        <f>SUM(C50:C51)</f>
        <v>0.1912</v>
      </c>
      <c r="D52" s="333"/>
      <c r="E52" s="334">
        <f>SUM(E50:E51)</f>
        <v>0</v>
      </c>
      <c r="F52" s="334">
        <f>SUM(F50:F51)</f>
        <v>0.36619999999999997</v>
      </c>
      <c r="G52" s="194"/>
      <c r="H52" s="491">
        <f>+H51+H50</f>
        <v>0.36619999999999997</v>
      </c>
      <c r="I52" s="491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5"/>
      <c r="B53" s="245"/>
      <c r="C53" s="353"/>
      <c r="D53" s="353"/>
      <c r="E53" s="354"/>
      <c r="F53" s="354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4" t="s">
        <v>109</v>
      </c>
      <c r="B54" s="244"/>
      <c r="C54" s="357">
        <v>0.003</v>
      </c>
      <c r="D54" s="353"/>
      <c r="E54" s="354"/>
      <c r="F54" s="354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4" t="s">
        <v>110</v>
      </c>
      <c r="B55" s="238"/>
      <c r="C55" s="358">
        <v>0.00225</v>
      </c>
      <c r="D55" s="359"/>
      <c r="E55" s="360"/>
      <c r="F55" s="360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4" t="s">
        <v>113</v>
      </c>
      <c r="B56" s="238"/>
      <c r="C56" s="359">
        <v>0.0112</v>
      </c>
      <c r="D56" s="361"/>
      <c r="E56" s="362"/>
      <c r="F56" s="362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6" t="s">
        <v>349</v>
      </c>
      <c r="B57" s="408" t="s">
        <v>473</v>
      </c>
      <c r="C57" s="363">
        <v>4686438</v>
      </c>
      <c r="D57" s="361"/>
      <c r="E57" s="362"/>
      <c r="F57" s="362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6" t="s">
        <v>350</v>
      </c>
      <c r="B58" s="409" t="s">
        <v>474</v>
      </c>
      <c r="C58" s="364">
        <v>10000000</v>
      </c>
      <c r="D58" s="365"/>
      <c r="E58" s="366"/>
      <c r="F58" s="366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2" t="s">
        <v>351</v>
      </c>
      <c r="B59" s="506"/>
      <c r="C59" s="506"/>
      <c r="D59" s="506"/>
      <c r="E59" s="506"/>
      <c r="F59" s="506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7"/>
      <c r="B60" s="507"/>
      <c r="C60" s="507"/>
      <c r="D60" s="507"/>
      <c r="E60" s="507"/>
      <c r="F60" s="507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5"/>
      <c r="B61" s="346"/>
      <c r="C61" s="346"/>
      <c r="D61" s="346"/>
      <c r="E61" s="346"/>
      <c r="F61" s="348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5"/>
      <c r="B62" s="346"/>
      <c r="C62" s="347"/>
      <c r="D62" s="347"/>
      <c r="E62" s="347"/>
      <c r="F62" s="349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5"/>
      <c r="B63" s="344"/>
      <c r="C63" s="344"/>
      <c r="D63" s="344"/>
      <c r="E63" s="344"/>
      <c r="F63" s="344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50"/>
      <c r="B64" s="351"/>
      <c r="C64" s="352"/>
      <c r="D64" s="352"/>
      <c r="E64" s="352"/>
      <c r="F64" s="352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7521875" bottom="0.35433070866141736" header="0.1968503937007874" footer="0"/>
  <pageSetup horizontalDpi="600" verticalDpi="600" orientation="portrait" scale="73" r:id="rId1"/>
  <headerFooter alignWithMargins="0">
    <oddHeader>&amp;R&amp;7Horizon Utilities Corporation
Disposition of Account 1562 Deferred PILS
EB-2012-0005
Appendix  C-2-3
Filed: March 28, 2012&amp;8
</oddHeader>
    <oddFooter>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tabSelected="1" view="pageBreakPreview" zoomScale="60" workbookViewId="0" topLeftCell="A1">
      <selection activeCell="G19" sqref="G19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 Hamilton Hydro Inc.</v>
      </c>
      <c r="O3" s="418" t="str">
        <f>REGINFO!E1</f>
        <v>Version 2009.1</v>
      </c>
    </row>
    <row r="4" spans="1:15" ht="12.75">
      <c r="A4" s="2" t="str">
        <f>REGINFO!A4</f>
        <v>Reporting period:  2003</v>
      </c>
      <c r="E4" s="419" t="s">
        <v>321</v>
      </c>
      <c r="F4" s="400"/>
      <c r="G4" s="400"/>
      <c r="H4" s="400"/>
      <c r="I4" s="400"/>
      <c r="O4" s="418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4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6">
        <v>0</v>
      </c>
      <c r="D11" s="392"/>
      <c r="E11" s="398">
        <f>C22</f>
        <v>2485720</v>
      </c>
      <c r="F11" s="421"/>
      <c r="G11" s="398">
        <f>E22</f>
        <v>2655581</v>
      </c>
      <c r="H11" s="421"/>
      <c r="I11" s="398">
        <f>G22</f>
        <v>3328578</v>
      </c>
      <c r="J11" s="392"/>
      <c r="K11" s="498">
        <f>I22</f>
        <v>12099303.5</v>
      </c>
      <c r="L11" s="392"/>
      <c r="M11" s="498">
        <f>K22</f>
        <v>14292898.25</v>
      </c>
      <c r="N11" s="392"/>
      <c r="O11" s="498">
        <f>C11</f>
        <v>0</v>
      </c>
    </row>
    <row r="12" spans="1:15" ht="27" customHeight="1">
      <c r="A12" s="81" t="s">
        <v>398</v>
      </c>
      <c r="B12" s="66" t="s">
        <v>190</v>
      </c>
      <c r="C12" s="397">
        <v>2470670</v>
      </c>
      <c r="D12" s="393"/>
      <c r="E12" s="397">
        <v>8774379</v>
      </c>
      <c r="F12" s="95"/>
      <c r="G12" s="420">
        <f>C12+E12</f>
        <v>11245049</v>
      </c>
      <c r="H12" s="95"/>
      <c r="I12" s="420">
        <f>(E12/12*9)+(G12/12*3)</f>
        <v>9392046.5</v>
      </c>
      <c r="J12" s="393"/>
      <c r="K12" s="496">
        <f>E12/12*3</f>
        <v>2193594.75</v>
      </c>
      <c r="L12" s="393"/>
      <c r="M12" s="496">
        <f>K13/9*12/4</f>
        <v>0</v>
      </c>
      <c r="N12" s="393"/>
      <c r="O12" s="498">
        <f aca="true" t="shared" si="0" ref="O12:O20">SUM(C12:N12)</f>
        <v>34075739.25</v>
      </c>
    </row>
    <row r="13" spans="1:15" ht="27" customHeight="1">
      <c r="A13" s="81" t="s">
        <v>440</v>
      </c>
      <c r="B13" s="66"/>
      <c r="C13" s="420"/>
      <c r="D13" s="393"/>
      <c r="E13" s="420"/>
      <c r="F13" s="95"/>
      <c r="G13" s="420"/>
      <c r="H13" s="95"/>
      <c r="I13" s="420"/>
      <c r="J13" s="393"/>
      <c r="K13" s="496"/>
      <c r="L13" s="393"/>
      <c r="M13" s="496"/>
      <c r="N13" s="393"/>
      <c r="O13" s="498">
        <f t="shared" si="0"/>
        <v>0</v>
      </c>
    </row>
    <row r="14" spans="1:15" ht="25.5">
      <c r="A14" s="81" t="s">
        <v>399</v>
      </c>
      <c r="B14" s="66" t="s">
        <v>190</v>
      </c>
      <c r="C14" s="397"/>
      <c r="D14" s="393"/>
      <c r="E14" s="397">
        <v>458394</v>
      </c>
      <c r="F14" s="95"/>
      <c r="G14" s="397"/>
      <c r="H14" s="95"/>
      <c r="I14" s="397"/>
      <c r="J14" s="393"/>
      <c r="K14" s="496"/>
      <c r="L14" s="393"/>
      <c r="M14" s="496"/>
      <c r="N14" s="393"/>
      <c r="O14" s="498">
        <f t="shared" si="0"/>
        <v>458394</v>
      </c>
    </row>
    <row r="15" spans="1:15" ht="27" customHeight="1">
      <c r="A15" s="81" t="s">
        <v>400</v>
      </c>
      <c r="B15" s="66" t="s">
        <v>190</v>
      </c>
      <c r="C15" s="397"/>
      <c r="D15" s="393"/>
      <c r="E15" s="397"/>
      <c r="F15" s="95"/>
      <c r="G15" s="397">
        <v>162075</v>
      </c>
      <c r="H15" s="95"/>
      <c r="I15" s="397">
        <v>-246640</v>
      </c>
      <c r="J15" s="393"/>
      <c r="K15" s="496"/>
      <c r="L15" s="393"/>
      <c r="M15" s="496">
        <f>TAXCALC!E132</f>
        <v>-213726.38170542632</v>
      </c>
      <c r="N15" s="393"/>
      <c r="O15" s="498">
        <f t="shared" si="0"/>
        <v>-298291.3817054263</v>
      </c>
    </row>
    <row r="16" spans="1:15" ht="27" customHeight="1">
      <c r="A16" s="81" t="s">
        <v>401</v>
      </c>
      <c r="B16" s="66"/>
      <c r="C16" s="397"/>
      <c r="D16" s="393"/>
      <c r="E16" s="397"/>
      <c r="F16" s="95"/>
      <c r="G16" s="397"/>
      <c r="H16" s="95"/>
      <c r="I16" s="397"/>
      <c r="J16" s="393"/>
      <c r="K16" s="496"/>
      <c r="L16" s="393"/>
      <c r="M16" s="496"/>
      <c r="N16" s="393"/>
      <c r="O16" s="498">
        <f t="shared" si="0"/>
        <v>0</v>
      </c>
    </row>
    <row r="17" spans="1:15" ht="27.75" customHeight="1">
      <c r="A17" s="81" t="s">
        <v>402</v>
      </c>
      <c r="B17" s="66" t="s">
        <v>190</v>
      </c>
      <c r="C17" s="397"/>
      <c r="D17" s="393"/>
      <c r="E17" s="397"/>
      <c r="F17" s="95"/>
      <c r="G17" s="397">
        <v>0</v>
      </c>
      <c r="H17" s="95"/>
      <c r="I17" s="397">
        <v>-374681</v>
      </c>
      <c r="J17" s="393"/>
      <c r="K17" s="496"/>
      <c r="L17" s="393"/>
      <c r="M17" s="496">
        <f>TAXCALC!E181</f>
        <v>-374681.2356379836</v>
      </c>
      <c r="N17" s="393"/>
      <c r="O17" s="498">
        <f t="shared" si="0"/>
        <v>-749362.2356379835</v>
      </c>
    </row>
    <row r="18" spans="1:15" ht="25.5">
      <c r="A18" s="81" t="s">
        <v>403</v>
      </c>
      <c r="B18" s="66" t="s">
        <v>190</v>
      </c>
      <c r="C18" s="397"/>
      <c r="D18" s="393"/>
      <c r="E18" s="397"/>
      <c r="F18" s="95"/>
      <c r="G18" s="397"/>
      <c r="H18" s="95"/>
      <c r="I18" s="397"/>
      <c r="J18" s="393"/>
      <c r="K18" s="496"/>
      <c r="L18" s="393"/>
      <c r="M18" s="496"/>
      <c r="N18" s="393"/>
      <c r="O18" s="498">
        <f t="shared" si="0"/>
        <v>0</v>
      </c>
    </row>
    <row r="19" spans="1:15" ht="24" customHeight="1">
      <c r="A19" s="434" t="s">
        <v>404</v>
      </c>
      <c r="B19" s="66" t="s">
        <v>190</v>
      </c>
      <c r="C19" s="397">
        <v>15050</v>
      </c>
      <c r="D19" s="393"/>
      <c r="E19" s="397">
        <v>237418</v>
      </c>
      <c r="F19" s="95"/>
      <c r="G19" s="397">
        <v>189385</v>
      </c>
      <c r="H19" s="95"/>
      <c r="I19" s="496"/>
      <c r="J19" s="393"/>
      <c r="K19" s="496"/>
      <c r="L19" s="393"/>
      <c r="M19" s="496"/>
      <c r="N19" s="393"/>
      <c r="O19" s="498">
        <f t="shared" si="0"/>
        <v>441853</v>
      </c>
    </row>
    <row r="20" spans="1:15" ht="24.75" customHeight="1">
      <c r="A20" s="81" t="s">
        <v>471</v>
      </c>
      <c r="B20" s="66" t="s">
        <v>188</v>
      </c>
      <c r="C20" s="420">
        <v>0</v>
      </c>
      <c r="D20" s="393"/>
      <c r="E20" s="397">
        <v>-9300330</v>
      </c>
      <c r="F20" s="95"/>
      <c r="G20" s="397">
        <v>-10923512</v>
      </c>
      <c r="H20" s="95"/>
      <c r="I20" s="496"/>
      <c r="J20" s="393"/>
      <c r="K20" s="496"/>
      <c r="L20" s="393"/>
      <c r="M20" s="496"/>
      <c r="N20" s="393"/>
      <c r="O20" s="498">
        <f t="shared" si="0"/>
        <v>-20223842</v>
      </c>
    </row>
    <row r="21" spans="1:15" ht="12.75">
      <c r="A21" s="65"/>
      <c r="C21" s="393"/>
      <c r="D21" s="95"/>
      <c r="E21" s="393"/>
      <c r="F21" s="95"/>
      <c r="G21" s="393"/>
      <c r="H21" s="95"/>
      <c r="I21" s="393"/>
      <c r="J21" s="393"/>
      <c r="K21" s="393"/>
      <c r="L21" s="393"/>
      <c r="M21" s="393"/>
      <c r="N21" s="393"/>
      <c r="O21" s="421"/>
    </row>
    <row r="22" spans="1:15" ht="13.5" thickBot="1">
      <c r="A22" s="81" t="s">
        <v>374</v>
      </c>
      <c r="B22" s="34"/>
      <c r="C22" s="399">
        <f>SUM(C11:C20)</f>
        <v>2485720</v>
      </c>
      <c r="D22" s="421"/>
      <c r="E22" s="399">
        <f>SUM(E11:E20)</f>
        <v>2655581</v>
      </c>
      <c r="F22" s="421"/>
      <c r="G22" s="399">
        <f>SUM(G11:G20)</f>
        <v>3328578</v>
      </c>
      <c r="H22" s="421"/>
      <c r="I22" s="497">
        <f>SUM(I11:I20)</f>
        <v>12099303.5</v>
      </c>
      <c r="J22" s="392"/>
      <c r="K22" s="497">
        <f>SUM(K11:K20)</f>
        <v>14292898.25</v>
      </c>
      <c r="L22" s="392"/>
      <c r="M22" s="497">
        <f>SUM(M11:M21)</f>
        <v>13704490.632656591</v>
      </c>
      <c r="N22" s="392"/>
      <c r="O22" s="499">
        <f>SUM(O11:O20)</f>
        <v>13704490.63265659</v>
      </c>
    </row>
    <row r="23" spans="1:15" ht="13.5" thickTop="1">
      <c r="A23" s="435"/>
      <c r="B23" s="436"/>
      <c r="C23" s="442"/>
      <c r="D23" s="443"/>
      <c r="E23" s="442"/>
      <c r="F23" s="443"/>
      <c r="G23" s="442"/>
      <c r="H23" s="443"/>
      <c r="I23" s="442"/>
      <c r="J23" s="436"/>
      <c r="K23" s="442"/>
      <c r="L23" s="188"/>
      <c r="M23" s="444"/>
      <c r="N23" s="188"/>
      <c r="O23" s="444"/>
    </row>
    <row r="24" spans="1:15" ht="12.75">
      <c r="A24" s="457"/>
      <c r="B24" s="458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/>
    </row>
    <row r="25" spans="1:15" ht="12.75">
      <c r="A25" s="435"/>
      <c r="B25" s="436"/>
      <c r="C25" s="461"/>
      <c r="D25" s="461"/>
      <c r="E25" s="461"/>
      <c r="F25" s="461"/>
      <c r="G25" s="461"/>
      <c r="H25" s="461"/>
      <c r="I25" s="461"/>
      <c r="J25" s="462"/>
      <c r="K25" s="461"/>
      <c r="L25" s="463"/>
      <c r="M25" s="464"/>
      <c r="N25" s="463"/>
      <c r="O25" s="464"/>
    </row>
    <row r="26" spans="1:15" ht="12.75">
      <c r="A26" s="435" t="s">
        <v>405</v>
      </c>
      <c r="B26" s="436"/>
      <c r="C26" s="461"/>
      <c r="D26" s="461"/>
      <c r="E26" s="461"/>
      <c r="F26" s="461"/>
      <c r="G26" s="461"/>
      <c r="H26" s="461"/>
      <c r="I26" s="461"/>
      <c r="J26" s="462"/>
      <c r="K26" s="461"/>
      <c r="L26" s="463"/>
      <c r="M26" s="464"/>
      <c r="N26" s="463"/>
      <c r="O26" s="464"/>
    </row>
    <row r="27" spans="1:15" ht="9" customHeight="1">
      <c r="A27" s="435"/>
      <c r="B27" s="436"/>
      <c r="C27" s="436"/>
      <c r="D27" s="436"/>
      <c r="E27" s="436"/>
      <c r="F27" s="436"/>
      <c r="G27" s="436"/>
      <c r="H27" s="436"/>
      <c r="I27" s="436"/>
      <c r="J27" s="436"/>
      <c r="K27" s="437"/>
      <c r="L27" s="188"/>
      <c r="M27" s="188"/>
      <c r="N27" s="188"/>
      <c r="O27" s="188"/>
    </row>
    <row r="28" spans="1:15" ht="12.75">
      <c r="A28" s="435" t="s">
        <v>406</v>
      </c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188"/>
      <c r="M28" s="188"/>
      <c r="N28" s="188"/>
      <c r="O28" s="188"/>
    </row>
    <row r="29" spans="1:15" ht="12.75">
      <c r="A29" s="438" t="s">
        <v>407</v>
      </c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188"/>
      <c r="M29" s="188"/>
      <c r="N29" s="188"/>
      <c r="O29" s="188"/>
    </row>
    <row r="30" spans="1:15" ht="9" customHeight="1">
      <c r="A30" s="188"/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188"/>
      <c r="M30" s="188"/>
      <c r="N30" s="188"/>
      <c r="O30" s="188"/>
    </row>
    <row r="31" spans="1:15" ht="12.75">
      <c r="A31" s="452" t="s">
        <v>408</v>
      </c>
      <c r="B31" s="80"/>
      <c r="C31" s="80"/>
      <c r="D31" s="80"/>
      <c r="E31" s="80"/>
      <c r="F31" s="80"/>
      <c r="G31" s="80"/>
      <c r="H31" s="80"/>
      <c r="I31" s="449"/>
      <c r="J31" s="449"/>
      <c r="K31" s="449"/>
      <c r="L31" s="449"/>
      <c r="M31" s="449"/>
      <c r="N31" s="449"/>
      <c r="O31" s="449"/>
    </row>
    <row r="32" spans="1:15" ht="9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1:19" ht="12.75">
      <c r="A33" s="513" t="s">
        <v>409</v>
      </c>
      <c r="B33" s="514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422"/>
      <c r="Q33" s="422"/>
      <c r="R33" s="422"/>
      <c r="S33" s="422"/>
    </row>
    <row r="34" spans="1:19" ht="12.75">
      <c r="A34" s="512" t="s">
        <v>410</v>
      </c>
      <c r="B34" s="515"/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422"/>
      <c r="Q34" s="422"/>
      <c r="R34" s="422"/>
      <c r="S34" s="422"/>
    </row>
    <row r="35" spans="1:19" ht="12.75">
      <c r="A35" s="512" t="s">
        <v>431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422"/>
      <c r="Q35" s="422"/>
      <c r="R35" s="422"/>
      <c r="S35" s="422"/>
    </row>
    <row r="36" spans="1:19" ht="12.75">
      <c r="A36" s="512" t="s">
        <v>411</v>
      </c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422"/>
      <c r="Q36" s="422"/>
      <c r="R36" s="422"/>
      <c r="S36" s="422"/>
    </row>
    <row r="37" spans="1:19" ht="12.75">
      <c r="A37" s="439" t="s">
        <v>371</v>
      </c>
      <c r="B37" s="440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22"/>
      <c r="Q37" s="422"/>
      <c r="R37" s="422"/>
      <c r="S37" s="422"/>
    </row>
    <row r="38" spans="1:19" ht="12.75">
      <c r="A38" s="439" t="s">
        <v>372</v>
      </c>
      <c r="B38" s="440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22"/>
      <c r="Q38" s="422"/>
      <c r="R38" s="422"/>
      <c r="S38" s="422"/>
    </row>
    <row r="39" spans="1:19" ht="12.75">
      <c r="A39" s="439" t="s">
        <v>412</v>
      </c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22"/>
      <c r="Q39" s="422"/>
      <c r="R39" s="422"/>
      <c r="S39" s="422"/>
    </row>
    <row r="40" spans="1:19" ht="12.75">
      <c r="A40" s="439" t="s">
        <v>413</v>
      </c>
      <c r="B40" s="440"/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22"/>
      <c r="Q40" s="422"/>
      <c r="R40" s="422"/>
      <c r="S40" s="422"/>
    </row>
    <row r="41" spans="2:19" ht="9" customHeight="1"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22"/>
      <c r="Q41" s="422"/>
      <c r="R41" s="422"/>
      <c r="S41" s="422"/>
    </row>
    <row r="42" spans="1:15" ht="12.75">
      <c r="A42" s="441" t="s">
        <v>414</v>
      </c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188"/>
      <c r="M42" s="188"/>
      <c r="N42" s="188"/>
      <c r="O42" s="188"/>
    </row>
    <row r="43" spans="1:15" ht="12.75">
      <c r="A43" s="436" t="s">
        <v>415</v>
      </c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188"/>
      <c r="M43" s="188"/>
      <c r="N43" s="188"/>
      <c r="O43" s="188"/>
    </row>
    <row r="44" spans="1:15" ht="9" customHeight="1">
      <c r="A44" s="436"/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188"/>
      <c r="M44" s="188"/>
      <c r="N44" s="188"/>
      <c r="O44" s="188"/>
    </row>
    <row r="45" spans="1:15" ht="12.75">
      <c r="A45" s="441" t="s">
        <v>416</v>
      </c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188"/>
      <c r="M45" s="188"/>
      <c r="N45" s="188"/>
      <c r="O45" s="188"/>
    </row>
    <row r="46" spans="1:15" ht="12.75">
      <c r="A46" s="436" t="s">
        <v>417</v>
      </c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188"/>
      <c r="M46" s="188"/>
      <c r="N46" s="188"/>
      <c r="O46" s="188"/>
    </row>
    <row r="47" spans="1:15" ht="9" customHeight="1">
      <c r="A47" s="436"/>
      <c r="B47" s="436"/>
      <c r="C47" s="436"/>
      <c r="D47" s="436"/>
      <c r="E47" s="436"/>
      <c r="F47" s="436"/>
      <c r="G47" s="436"/>
      <c r="H47" s="436"/>
      <c r="I47" s="436"/>
      <c r="J47" s="436"/>
      <c r="K47" s="436"/>
      <c r="L47" s="188"/>
      <c r="M47" s="188"/>
      <c r="N47" s="188"/>
      <c r="O47" s="188"/>
    </row>
    <row r="48" spans="1:15" ht="12.75">
      <c r="A48" s="441" t="s">
        <v>418</v>
      </c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188"/>
      <c r="M48" s="188"/>
      <c r="N48" s="188"/>
      <c r="O48" s="188"/>
    </row>
    <row r="49" spans="1:15" ht="12.75">
      <c r="A49" s="436" t="s">
        <v>419</v>
      </c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188"/>
      <c r="M49" s="188"/>
      <c r="N49" s="188"/>
      <c r="O49" s="188"/>
    </row>
    <row r="50" spans="1:15" ht="9" customHeight="1">
      <c r="A50" s="436"/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188"/>
      <c r="M50" s="188"/>
      <c r="N50" s="188"/>
      <c r="O50" s="188"/>
    </row>
    <row r="51" spans="1:15" ht="12.75">
      <c r="A51" s="441" t="s">
        <v>420</v>
      </c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188"/>
      <c r="M51" s="188"/>
      <c r="N51" s="188"/>
      <c r="O51" s="188"/>
    </row>
    <row r="52" spans="1:15" ht="12.75">
      <c r="A52" s="436" t="s">
        <v>417</v>
      </c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188"/>
      <c r="M52" s="188"/>
      <c r="N52" s="188"/>
      <c r="O52" s="188"/>
    </row>
    <row r="53" spans="1:15" ht="9" customHeight="1">
      <c r="A53" s="441"/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188"/>
      <c r="M53" s="188"/>
      <c r="N53" s="188"/>
      <c r="O53" s="188"/>
    </row>
    <row r="54" spans="1:15" ht="12.75">
      <c r="A54" s="436" t="s">
        <v>421</v>
      </c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188"/>
      <c r="M54" s="188"/>
      <c r="N54" s="188"/>
      <c r="O54" s="188"/>
    </row>
    <row r="55" spans="1:15" ht="9" customHeight="1">
      <c r="A55" s="436"/>
      <c r="B55" s="436"/>
      <c r="C55" s="436"/>
      <c r="D55" s="436"/>
      <c r="E55" s="436"/>
      <c r="F55" s="436"/>
      <c r="G55" s="436"/>
      <c r="H55" s="436"/>
      <c r="I55" s="436"/>
      <c r="J55" s="436"/>
      <c r="K55" s="436"/>
      <c r="L55" s="188"/>
      <c r="M55" s="188"/>
      <c r="N55" s="188"/>
      <c r="O55" s="188"/>
    </row>
    <row r="56" spans="1:15" ht="12.75" customHeight="1">
      <c r="A56" s="441" t="s">
        <v>422</v>
      </c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188"/>
      <c r="M56" s="188"/>
      <c r="N56" s="188"/>
      <c r="O56" s="188"/>
    </row>
    <row r="57" spans="1:15" ht="9" customHeight="1">
      <c r="A57" s="436"/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188"/>
      <c r="M57" s="188"/>
      <c r="N57" s="188"/>
      <c r="O57" s="188"/>
    </row>
    <row r="58" spans="1:15" ht="12.75">
      <c r="A58" s="436" t="s">
        <v>423</v>
      </c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188"/>
      <c r="M58" s="188"/>
      <c r="N58" s="188"/>
      <c r="O58" s="188"/>
    </row>
    <row r="59" spans="1:15" ht="12.75">
      <c r="A59" s="436" t="s">
        <v>424</v>
      </c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188"/>
      <c r="M59" s="188"/>
      <c r="N59" s="188"/>
      <c r="O59" s="188"/>
    </row>
    <row r="60" spans="1:15" ht="12.75">
      <c r="A60" s="436" t="s">
        <v>425</v>
      </c>
      <c r="B60" s="436"/>
      <c r="C60" s="436"/>
      <c r="D60" s="436"/>
      <c r="E60" s="436"/>
      <c r="F60" s="436"/>
      <c r="G60" s="436"/>
      <c r="H60" s="436"/>
      <c r="I60" s="436"/>
      <c r="J60" s="436"/>
      <c r="K60" s="436"/>
      <c r="L60" s="188"/>
      <c r="M60" s="188"/>
      <c r="N60" s="188"/>
      <c r="O60" s="188"/>
    </row>
    <row r="61" spans="1:15" ht="12.75">
      <c r="A61" s="436" t="s">
        <v>381</v>
      </c>
      <c r="B61" s="436"/>
      <c r="C61" s="436"/>
      <c r="D61" s="436"/>
      <c r="E61" s="436"/>
      <c r="F61" s="436"/>
      <c r="G61" s="436"/>
      <c r="H61" s="436"/>
      <c r="I61" s="436"/>
      <c r="J61" s="436"/>
      <c r="K61" s="436"/>
      <c r="L61" s="188"/>
      <c r="M61" s="188"/>
      <c r="N61" s="188"/>
      <c r="O61" s="188"/>
    </row>
    <row r="62" spans="1:15" ht="9" customHeight="1">
      <c r="A62" s="436"/>
      <c r="B62" s="436"/>
      <c r="C62" s="436"/>
      <c r="D62" s="436"/>
      <c r="E62" s="436"/>
      <c r="F62" s="436"/>
      <c r="G62" s="436"/>
      <c r="H62" s="436"/>
      <c r="I62" s="436"/>
      <c r="J62" s="436"/>
      <c r="K62" s="436"/>
      <c r="L62" s="188"/>
      <c r="M62" s="188"/>
      <c r="N62" s="188"/>
      <c r="O62" s="188"/>
    </row>
    <row r="63" spans="1:15" ht="12.75">
      <c r="A63" s="436" t="s">
        <v>426</v>
      </c>
      <c r="B63" s="436"/>
      <c r="C63" s="436"/>
      <c r="D63" s="436"/>
      <c r="E63" s="436"/>
      <c r="F63" s="436"/>
      <c r="G63" s="436"/>
      <c r="H63" s="436"/>
      <c r="I63" s="436"/>
      <c r="J63" s="436"/>
      <c r="K63" s="436"/>
      <c r="L63" s="188"/>
      <c r="M63" s="188"/>
      <c r="N63" s="188"/>
      <c r="O63" s="188"/>
    </row>
    <row r="64" spans="1:15" ht="12.75">
      <c r="A64" s="436" t="s">
        <v>427</v>
      </c>
      <c r="B64" s="436"/>
      <c r="C64" s="436"/>
      <c r="D64" s="436"/>
      <c r="E64" s="436"/>
      <c r="F64" s="436"/>
      <c r="G64" s="436"/>
      <c r="H64" s="436"/>
      <c r="I64" s="436"/>
      <c r="J64" s="436"/>
      <c r="K64" s="436"/>
      <c r="L64" s="188"/>
      <c r="M64" s="188"/>
      <c r="N64" s="188"/>
      <c r="O64" s="188"/>
    </row>
    <row r="65" spans="1:15" ht="12.75">
      <c r="A65" s="436" t="s">
        <v>383</v>
      </c>
      <c r="B65" s="436"/>
      <c r="C65" s="436"/>
      <c r="D65" s="436"/>
      <c r="E65" s="436"/>
      <c r="F65" s="436"/>
      <c r="G65" s="436"/>
      <c r="H65" s="436"/>
      <c r="I65" s="436"/>
      <c r="J65" s="436"/>
      <c r="K65" s="436"/>
      <c r="L65" s="188"/>
      <c r="M65" s="188"/>
      <c r="N65" s="188"/>
      <c r="O65" s="188"/>
    </row>
    <row r="66" spans="1:15" ht="3.75" customHeight="1">
      <c r="A66" s="436"/>
      <c r="B66" s="436"/>
      <c r="C66" s="436"/>
      <c r="D66" s="436"/>
      <c r="E66" s="436"/>
      <c r="F66" s="436"/>
      <c r="G66" s="436"/>
      <c r="H66" s="436"/>
      <c r="I66" s="436"/>
      <c r="J66" s="436"/>
      <c r="K66" s="436"/>
      <c r="L66" s="188"/>
      <c r="M66" s="188"/>
      <c r="N66" s="188"/>
      <c r="O66" s="188"/>
    </row>
    <row r="67" spans="1:15" ht="12.75">
      <c r="A67" s="436" t="s">
        <v>382</v>
      </c>
      <c r="B67" s="436"/>
      <c r="C67" s="436"/>
      <c r="D67" s="436"/>
      <c r="E67" s="436"/>
      <c r="F67" s="436"/>
      <c r="G67" s="436"/>
      <c r="H67" s="436"/>
      <c r="I67" s="436"/>
      <c r="J67" s="436"/>
      <c r="K67" s="436"/>
      <c r="L67" s="188"/>
      <c r="M67" s="188"/>
      <c r="N67" s="188"/>
      <c r="O67" s="188"/>
    </row>
    <row r="68" spans="1:15" ht="12.75">
      <c r="A68" s="436" t="s">
        <v>384</v>
      </c>
      <c r="B68" s="436"/>
      <c r="C68" s="436"/>
      <c r="D68" s="436"/>
      <c r="E68" s="436"/>
      <c r="F68" s="436"/>
      <c r="G68" s="436"/>
      <c r="H68" s="436"/>
      <c r="I68" s="436"/>
      <c r="J68" s="436"/>
      <c r="K68" s="436"/>
      <c r="L68" s="188"/>
      <c r="M68" s="188"/>
      <c r="N68" s="188"/>
      <c r="O68" s="188"/>
    </row>
    <row r="69" spans="1:15" ht="3.75" customHeight="1">
      <c r="A69" s="436"/>
      <c r="B69" s="436"/>
      <c r="C69" s="436"/>
      <c r="D69" s="436"/>
      <c r="E69" s="436"/>
      <c r="F69" s="436"/>
      <c r="G69" s="436"/>
      <c r="H69" s="436"/>
      <c r="I69" s="436"/>
      <c r="J69" s="436"/>
      <c r="K69" s="436"/>
      <c r="L69" s="188"/>
      <c r="M69" s="188"/>
      <c r="N69" s="188"/>
      <c r="O69" s="188"/>
    </row>
    <row r="70" spans="1:15" ht="12.75">
      <c r="A70" s="436" t="s">
        <v>428</v>
      </c>
      <c r="B70" s="436"/>
      <c r="C70" s="436"/>
      <c r="D70" s="436"/>
      <c r="E70" s="436"/>
      <c r="F70" s="436"/>
      <c r="G70" s="436"/>
      <c r="H70" s="436"/>
      <c r="I70" s="436"/>
      <c r="J70" s="436"/>
      <c r="K70" s="436"/>
      <c r="L70" s="188"/>
      <c r="M70" s="188"/>
      <c r="N70" s="188"/>
      <c r="O70" s="188"/>
    </row>
    <row r="71" spans="1:15" ht="12.75">
      <c r="A71" s="436" t="s">
        <v>429</v>
      </c>
      <c r="B71" s="436"/>
      <c r="C71" s="436"/>
      <c r="D71" s="436"/>
      <c r="E71" s="436"/>
      <c r="F71" s="436"/>
      <c r="G71" s="436"/>
      <c r="H71" s="436"/>
      <c r="I71" s="436"/>
      <c r="J71" s="436"/>
      <c r="K71" s="436"/>
      <c r="L71" s="188"/>
      <c r="M71" s="188"/>
      <c r="N71" s="188"/>
      <c r="O71" s="188"/>
    </row>
    <row r="72" spans="1:15" ht="12.75">
      <c r="A72" s="436" t="s">
        <v>430</v>
      </c>
      <c r="B72" s="436"/>
      <c r="C72" s="436"/>
      <c r="D72" s="436"/>
      <c r="E72" s="436"/>
      <c r="F72" s="436"/>
      <c r="G72" s="436"/>
      <c r="H72" s="436"/>
      <c r="I72" s="436"/>
      <c r="J72" s="436"/>
      <c r="K72" s="436"/>
      <c r="L72" s="188"/>
      <c r="M72" s="188"/>
      <c r="N72" s="188"/>
      <c r="O72" s="188"/>
    </row>
    <row r="73" spans="1:15" ht="9" customHeight="1">
      <c r="A73" s="436"/>
      <c r="B73" s="436"/>
      <c r="C73" s="436"/>
      <c r="D73" s="436"/>
      <c r="E73" s="436"/>
      <c r="F73" s="436"/>
      <c r="G73" s="436"/>
      <c r="H73" s="436"/>
      <c r="I73" s="436"/>
      <c r="J73" s="436"/>
      <c r="K73" s="436"/>
      <c r="L73" s="188"/>
      <c r="M73" s="188"/>
      <c r="N73" s="188"/>
      <c r="O73" s="188"/>
    </row>
    <row r="74" spans="1:15" ht="12.75" customHeight="1">
      <c r="A74" s="512" t="s">
        <v>460</v>
      </c>
      <c r="B74" s="512"/>
      <c r="C74" s="512"/>
      <c r="D74" s="512"/>
      <c r="E74" s="512"/>
      <c r="F74" s="512"/>
      <c r="G74" s="512"/>
      <c r="H74" s="512"/>
      <c r="I74" s="512"/>
      <c r="J74" s="512"/>
      <c r="K74" s="512"/>
      <c r="L74" s="512"/>
      <c r="M74" s="512"/>
      <c r="N74" s="512"/>
      <c r="O74" s="512"/>
    </row>
    <row r="75" spans="1:15" ht="12.75">
      <c r="A75" s="436" t="s">
        <v>373</v>
      </c>
      <c r="B75" s="436"/>
      <c r="C75" s="436"/>
      <c r="D75" s="436"/>
      <c r="E75" s="436"/>
      <c r="F75" s="436"/>
      <c r="G75" s="436"/>
      <c r="H75" s="436"/>
      <c r="I75" s="436"/>
      <c r="J75" s="436"/>
      <c r="K75" s="436"/>
      <c r="L75" s="188"/>
      <c r="M75" s="188"/>
      <c r="N75" s="188"/>
      <c r="O75" s="188"/>
    </row>
    <row r="76" spans="1:15" ht="12.75">
      <c r="A76" s="188"/>
      <c r="B76" s="436"/>
      <c r="C76" s="436"/>
      <c r="D76" s="436"/>
      <c r="E76" s="436"/>
      <c r="F76" s="436"/>
      <c r="G76" s="436"/>
      <c r="H76" s="436"/>
      <c r="I76" s="436"/>
      <c r="J76" s="436"/>
      <c r="K76" s="436"/>
      <c r="L76" s="188"/>
      <c r="M76" s="188"/>
      <c r="N76" s="188"/>
      <c r="O76" s="188"/>
    </row>
    <row r="77" spans="1:15" ht="12.75">
      <c r="A77" s="188"/>
      <c r="B77" s="436"/>
      <c r="C77" s="436"/>
      <c r="D77" s="436"/>
      <c r="E77" s="436"/>
      <c r="F77" s="436"/>
      <c r="G77" s="436"/>
      <c r="H77" s="436"/>
      <c r="I77" s="436"/>
      <c r="J77" s="436"/>
      <c r="K77" s="436"/>
      <c r="L77" s="188"/>
      <c r="M77" s="188"/>
      <c r="N77" s="188"/>
      <c r="O77" s="188"/>
    </row>
    <row r="78" spans="1:17" ht="12.75">
      <c r="A78" s="188"/>
      <c r="B78" s="436"/>
      <c r="C78" s="436"/>
      <c r="D78" s="436"/>
      <c r="E78" s="436"/>
      <c r="F78" s="436"/>
      <c r="G78" s="436"/>
      <c r="H78" s="436"/>
      <c r="I78" s="436"/>
      <c r="J78" s="436"/>
      <c r="K78" s="436"/>
      <c r="L78" s="436"/>
      <c r="M78" s="436"/>
      <c r="N78" s="188"/>
      <c r="O78" s="188"/>
      <c r="P78" s="188"/>
      <c r="Q78" s="188"/>
    </row>
    <row r="79" spans="1:17" ht="12.75">
      <c r="A79" s="188"/>
      <c r="B79" s="436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188"/>
      <c r="O79" s="188"/>
      <c r="P79" s="188"/>
      <c r="Q79" s="188"/>
    </row>
    <row r="80" spans="1:17" ht="12.75">
      <c r="A80" s="188"/>
      <c r="B80" s="436"/>
      <c r="C80" s="436"/>
      <c r="D80" s="436"/>
      <c r="E80" s="436"/>
      <c r="F80" s="436"/>
      <c r="G80" s="436"/>
      <c r="H80" s="436"/>
      <c r="I80" s="436"/>
      <c r="J80" s="436"/>
      <c r="K80" s="436"/>
      <c r="L80" s="436"/>
      <c r="M80" s="436"/>
      <c r="N80" s="188"/>
      <c r="O80" s="188"/>
      <c r="P80" s="188"/>
      <c r="Q80" s="188"/>
    </row>
    <row r="81" spans="1:17" ht="12.75">
      <c r="A81" s="436"/>
      <c r="B81" s="436"/>
      <c r="C81" s="436"/>
      <c r="D81" s="436"/>
      <c r="E81" s="436"/>
      <c r="F81" s="436"/>
      <c r="G81" s="436"/>
      <c r="H81" s="436"/>
      <c r="I81" s="436"/>
      <c r="J81" s="436"/>
      <c r="K81" s="436"/>
      <c r="L81" s="436"/>
      <c r="M81" s="436"/>
      <c r="N81" s="188"/>
      <c r="O81" s="188"/>
      <c r="P81" s="188"/>
      <c r="Q81" s="188"/>
    </row>
    <row r="82" spans="1:17" ht="12.75">
      <c r="A82" s="188"/>
      <c r="B82" s="188"/>
      <c r="C82" s="436"/>
      <c r="D82" s="436"/>
      <c r="E82" s="436"/>
      <c r="F82" s="436"/>
      <c r="G82" s="436"/>
      <c r="H82" s="436"/>
      <c r="I82" s="436"/>
      <c r="J82" s="436"/>
      <c r="K82" s="436"/>
      <c r="L82" s="436"/>
      <c r="M82" s="436"/>
      <c r="N82" s="188"/>
      <c r="O82" s="188"/>
      <c r="P82" s="188"/>
      <c r="Q82" s="188"/>
    </row>
    <row r="83" spans="1:17" ht="12.75">
      <c r="A83" s="188"/>
      <c r="B83" s="188"/>
      <c r="C83" s="436"/>
      <c r="D83" s="436"/>
      <c r="E83" s="436"/>
      <c r="F83" s="436"/>
      <c r="G83" s="436"/>
      <c r="H83" s="436"/>
      <c r="I83" s="436"/>
      <c r="J83" s="436"/>
      <c r="K83" s="436"/>
      <c r="L83" s="436"/>
      <c r="M83" s="436"/>
      <c r="N83" s="188"/>
      <c r="O83" s="188"/>
      <c r="P83" s="188"/>
      <c r="Q83" s="188"/>
    </row>
    <row r="84" spans="1:17" ht="12.75">
      <c r="A84" s="436"/>
      <c r="B84" s="436"/>
      <c r="C84" s="436"/>
      <c r="D84" s="436"/>
      <c r="E84" s="436"/>
      <c r="F84" s="436"/>
      <c r="G84" s="436"/>
      <c r="H84" s="436"/>
      <c r="I84" s="436"/>
      <c r="J84" s="436"/>
      <c r="K84" s="436"/>
      <c r="L84" s="436"/>
      <c r="M84" s="436"/>
      <c r="N84" s="188"/>
      <c r="O84" s="188"/>
      <c r="P84" s="188"/>
      <c r="Q84" s="188"/>
    </row>
    <row r="85" spans="1:17" ht="12.75">
      <c r="A85" s="188"/>
      <c r="B85" s="436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188"/>
      <c r="O85" s="188"/>
      <c r="P85" s="188"/>
      <c r="Q85" s="188"/>
    </row>
    <row r="86" spans="1:17" ht="12.75">
      <c r="A86" s="188"/>
      <c r="B86" s="436"/>
      <c r="C86" s="436"/>
      <c r="D86" s="436"/>
      <c r="E86" s="436"/>
      <c r="F86" s="436"/>
      <c r="G86" s="436"/>
      <c r="H86" s="436"/>
      <c r="I86" s="436"/>
      <c r="J86" s="436"/>
      <c r="K86" s="436"/>
      <c r="L86" s="436"/>
      <c r="M86" s="436"/>
      <c r="N86" s="188"/>
      <c r="O86" s="188"/>
      <c r="P86" s="188"/>
      <c r="Q86" s="188"/>
    </row>
    <row r="87" spans="1:17" ht="12.75">
      <c r="A87" s="188"/>
      <c r="B87" s="188"/>
      <c r="C87" s="436"/>
      <c r="D87" s="436"/>
      <c r="E87" s="436"/>
      <c r="F87" s="436"/>
      <c r="G87" s="436"/>
      <c r="H87" s="436"/>
      <c r="I87" s="436"/>
      <c r="J87" s="436"/>
      <c r="K87" s="436"/>
      <c r="L87" s="436"/>
      <c r="M87" s="436"/>
      <c r="N87" s="188"/>
      <c r="O87" s="188"/>
      <c r="P87" s="188"/>
      <c r="Q87" s="188"/>
    </row>
    <row r="88" spans="1:17" ht="12.75">
      <c r="A88" s="188"/>
      <c r="B88" s="188"/>
      <c r="C88" s="436"/>
      <c r="D88" s="436"/>
      <c r="E88" s="436"/>
      <c r="F88" s="436"/>
      <c r="G88" s="436"/>
      <c r="H88" s="436"/>
      <c r="I88" s="436"/>
      <c r="J88" s="436"/>
      <c r="K88" s="436"/>
      <c r="L88" s="436"/>
      <c r="M88" s="436"/>
      <c r="N88" s="188"/>
      <c r="O88" s="188"/>
      <c r="P88" s="188"/>
      <c r="Q88" s="188"/>
    </row>
    <row r="89" spans="1:17" ht="12.75">
      <c r="A89" s="188"/>
      <c r="B89" s="188"/>
      <c r="C89" s="436"/>
      <c r="D89" s="436"/>
      <c r="E89" s="436"/>
      <c r="F89" s="436"/>
      <c r="G89" s="436"/>
      <c r="H89" s="436"/>
      <c r="I89" s="436"/>
      <c r="J89" s="436"/>
      <c r="K89" s="436"/>
      <c r="L89" s="436"/>
      <c r="M89" s="436"/>
      <c r="N89" s="188"/>
      <c r="O89" s="188"/>
      <c r="P89" s="188"/>
      <c r="Q89" s="188"/>
    </row>
    <row r="90" spans="1:17" ht="12.75">
      <c r="A90" s="188"/>
      <c r="B90" s="188"/>
      <c r="C90" s="436"/>
      <c r="D90" s="436"/>
      <c r="E90" s="436"/>
      <c r="F90" s="436"/>
      <c r="G90" s="436"/>
      <c r="H90" s="436"/>
      <c r="I90" s="436"/>
      <c r="J90" s="436"/>
      <c r="K90" s="436"/>
      <c r="L90" s="436"/>
      <c r="M90" s="436"/>
      <c r="N90" s="188"/>
      <c r="O90" s="188"/>
      <c r="P90" s="188"/>
      <c r="Q90" s="188"/>
    </row>
    <row r="91" spans="1:17" ht="12.75">
      <c r="A91" s="188"/>
      <c r="B91" s="188"/>
      <c r="D91" s="436"/>
      <c r="E91" s="436"/>
      <c r="F91" s="436"/>
      <c r="G91" s="436"/>
      <c r="H91" s="436"/>
      <c r="I91" s="436"/>
      <c r="J91" s="436"/>
      <c r="K91" s="436"/>
      <c r="L91" s="436"/>
      <c r="M91" s="436"/>
      <c r="N91" s="188"/>
      <c r="O91" s="188"/>
      <c r="P91" s="188"/>
      <c r="Q91" s="188"/>
    </row>
    <row r="92" spans="1:17" ht="12.75">
      <c r="A92" s="188"/>
      <c r="B92" s="188"/>
      <c r="C92" s="512"/>
      <c r="D92" s="512"/>
      <c r="E92" s="512"/>
      <c r="F92" s="512"/>
      <c r="G92" s="512"/>
      <c r="H92" s="512"/>
      <c r="I92" s="512"/>
      <c r="J92" s="512"/>
      <c r="K92" s="512"/>
      <c r="L92" s="512"/>
      <c r="M92" s="512"/>
      <c r="N92" s="512"/>
      <c r="O92" s="512"/>
      <c r="P92" s="512"/>
      <c r="Q92" s="512"/>
    </row>
    <row r="93" spans="1:17" ht="12.75">
      <c r="A93" s="188"/>
      <c r="B93" s="188"/>
      <c r="C93" s="436"/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7521875" bottom="0.35433070866141736" header="0.1968503937007874" footer="0"/>
  <pageSetup horizontalDpi="600" verticalDpi="600" orientation="portrait" scale="66" r:id="rId1"/>
  <headerFooter alignWithMargins="0">
    <oddHeader>&amp;R&amp;7Horizon Utilities Corporation
Disposition of Account 1562 Deferred PILS
EB-2012-0005
Appendix  C-2-3
Filed: March 28, 2012&amp;8
</oddHeader>
    <oddFooter>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Basilio, John G</cp:lastModifiedBy>
  <cp:lastPrinted>2012-03-21T19:15:25Z</cp:lastPrinted>
  <dcterms:created xsi:type="dcterms:W3CDTF">2001-11-07T16:15:53Z</dcterms:created>
  <dcterms:modified xsi:type="dcterms:W3CDTF">2012-07-05T15:05:35Z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