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<sst xmlns="http://schemas.openxmlformats.org/spreadsheetml/2006/main" count="880" uniqueCount="505">
  <si>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</si>
  <si>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</si>
  <si>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</si>
  <si>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</si>
  <si>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</si>
  <si>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</si>
  <si>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</si>
  <si>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</si>
  <si>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</si>
  <si>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</si>
  <si>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</si>
  <si>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</si>
  <si>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</si>
  <si>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</si>
  <si>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</si>
  <si>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</si>
  <si>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</si>
  <si>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</si>
  <si>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</si>
  <si>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</si>
  <si>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</si>
  <si>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</si>
  <si>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</si>
  <si>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</si>
  <si>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</si>
  <si>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</si>
  <si>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</si>
  <si>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</si>
  <si>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</si>
  <si>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</si>
  <si>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</si>
  <si>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</si>
  <si>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</si>
  <si>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</si>
  <si>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</si>
  <si>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</si>
  <si>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</si>
  <si>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</si>
  <si>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</si>
  <si>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</si>
  <si>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</si>
  <si>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</si>
  <si>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</si>
  <si>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</si>
  <si>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</si>
  <si>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</si>
  <si>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</si>
  <si>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</si>
  <si>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</si>
  <si>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</si>
  <si>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</si>
  <si>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</si>
  <si>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</si>
  <si>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</si>
  <si>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</si>
  <si>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</si>
  <si>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</si>
  <si>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</si>
  <si>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</si>
  <si>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</si>
  <si>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</si>
  <si>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</si>
  <si>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</si>
  <si>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</si>
  <si>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</si>
  <si>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</si>
  <si>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</si>
  <si>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</si>
  <si>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</si>
  <si>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</si>
  <si>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</si>
  <si>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</si>
  <si>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</si>
  <si>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</si>
  <si>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</si>
  <si>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</si>
  <si>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</si>
  <si>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</si>
  <si>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</si>
  <si>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</si>
  <si>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</si>
  <si>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</si>
  <si>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</si>
  <si>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</si>
  <si>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</si>
  <si>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</si>
  <si>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</si>
  <si>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</si>
  <si>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</si>
  <si>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</si>
  <si>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</si>
  <si>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</si>
  <si>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</si>
  <si>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</si>
  <si>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</si>
  <si>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</si>
  <si>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</si>
  <si>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</si>
  <si>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</si>
  <si>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</si>
  <si>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</si>
  <si>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</si>
  <si>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</si>
  <si>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</si>
  <si>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</si>
  <si>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</si>
  <si>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</si>
  <si>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</si>
  <si>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</si>
  <si>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</si>
  <si>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</si>
  <si>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</si>
  <si>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</si>
  <si>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</si>
  <si>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</si>
  <si>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</si>
  <si>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</si>
  <si>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</si>
  <si>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</si>
  <si>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</si>
  <si>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</si>
  <si>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</si>
  <si>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</si>
  <si>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</si>
  <si>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</si>
  <si>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</si>
  <si>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</si>
  <si>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</si>
  <si>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</si>
  <si>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</si>
  <si>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</si>
  <si>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</si>
  <si>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</si>
  <si>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</si>
  <si>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</si>
  <si>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</si>
  <si>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</si>
  <si>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</si>
  <si>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</si>
  <si>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</si>
  <si>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</si>
  <si>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</si>
  <si>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</si>
  <si>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</si>
  <si>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</si>
  <si>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</si>
  <si>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</si>
  <si>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</si>
  <si>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</si>
  <si>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</si>
  <si>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</si>
  <si>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</si>
  <si>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</si>
  <si>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</si>
  <si>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</si>
  <si>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</si>
  <si>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</si>
  <si>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</si>
  <si>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</si>
  <si>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</si>
  <si>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</si>
  <si>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</si>
  <si>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</si>
  <si>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</si>
  <si>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</si>
  <si>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</si>
  <si>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</si>
  <si>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</si>
  <si>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</si>
  <si>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</si>
  <si>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</si>
  <si>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</si>
  <si>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</si>
  <si>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</si>
  <si>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</si>
  <si>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</si>
  <si>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</si>
  <si>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</si>
  <si>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</si>
  <si>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</si>
  <si>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</si>
  <si>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</si>
  <si>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</si>
  <si>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</si>
  <si>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</si>
  <si>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</si>
  <si>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</si>
  <si>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</si>
  <si>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</si>
  <si>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</si>
  <si>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</si>
  <si>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</si>
  <si>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</si>
  <si>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</si>
  <si>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</si>
  <si>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</si>
  <si>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</si>
  <si>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</si>
  <si>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</si>
  <si>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</si>
  <si>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</si>
  <si>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</si>
  <si>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</si>
  <si>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</si>
  <si>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</si>
  <si>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</si>
  <si>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</si>
  <si>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</si>
  <si>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</si>
  <si>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</si>
  <si>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</si>
  <si>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</si>
  <si>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</si>
  <si>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</si>
  <si>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</si>
  <si>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</si>
  <si>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</si>
  <si>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</si>
  <si>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</si>
  <si>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</si>
  <si>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</si>
  <si>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</si>
  <si>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</si>
  <si>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</si>
  <si>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</si>
  <si>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</si>
  <si>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</si>
  <si>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</si>
  <si>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</si>
  <si>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</si>
  <si>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</si>
  <si>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</si>
  <si>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</si>
  <si>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</si>
  <si>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</si>
  <si>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</si>
  <si>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</si>
  <si>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</si>
  <si>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</si>
  <si>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</si>
  <si>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</si>
  <si>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</si>
  <si>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</si>
  <si>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</si>
  <si>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</si>
  <si>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</si>
  <si>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</si>
  <si>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</si>
  <si>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</si>
  <si>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</si>
  <si>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</si>
  <si>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</si>
  <si>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</si>
  <si>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</si>
  <si>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</si>
  <si>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</si>
  <si>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</si>
  <si>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</si>
  <si>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</si>
  <si>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</si>
  <si>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</si>
  <si>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</si>
  <si>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</si>
  <si>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</si>
  <si>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</si>
  <si>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</si>
  <si>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</si>
  <si>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</si>
  <si>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</si>
  <si>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</si>
  <si>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</si>
  <si>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</si>
  <si>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</si>
  <si>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</si>
  <si>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</si>
  <si>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</si>
  <si>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</si>
  <si>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</si>
  <si>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</si>
  <si>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</si>
  <si>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</si>
  <si>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</si>
  <si>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</si>
  <si>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</si>
  <si>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</si>
  <si>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</si>
  <si>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</si>
  <si>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</si>
  <si>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</si>
  <si>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</si>
  <si>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</si>
  <si>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</si>
  <si>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</si>
  <si>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</si>
  <si>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</si>
  <si>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</si>
  <si>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</si>
  <si>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</si>
  <si>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</si>
  <si>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</si>
  <si>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</si>
  <si>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</si>
  <si>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</si>
  <si>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</si>
  <si>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</si>
  <si>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</si>
  <si>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</si>
  <si>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</si>
  <si>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</si>
  <si>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</si>
  <si>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</si>
  <si>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</si>
  <si>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</si>
  <si>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</si>
  <si>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</si>
  <si>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</si>
  <si>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</si>
  <si>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</si>
  <si>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</si>
  <si>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</si>
  <si>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</si>
  <si>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</si>
  <si>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</si>
  <si>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</si>
  <si>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</si>
  <si>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</si>
  <si>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</si>
  <si>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</si>
  <si>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</si>
  <si>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</si>
  <si>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</si>
  <si>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</si>
  <si>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</si>
  <si>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</si>
  <si>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</si>
  <si>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</si>
  <si>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</si>
  <si>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</si>
  <si>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</si>
  <si>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</si>
  <si>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</si>
  <si>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</si>
  <si>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</si>
  <si>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</si>
  <si>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</si>
  <si>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</si>
  <si>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</si>
  <si>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</si>
  <si>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</si>
  <si>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</si>
  <si>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</si>
  <si>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</si>
  <si>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</si>
  <si>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</si>
  <si>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</si>
  <si>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</si>
  <si>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</si>
  <si>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</si>
  <si>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</si>
  <si>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</si>
  <si>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</si>
  <si>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</si>
  <si>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</si>
  <si>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</si>
  <si>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</si>
  <si>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</si>
  <si>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</si>
  <si>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</si>
  <si>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</si>
  <si>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</si>
  <si>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</si>
  <si>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</si>
  <si>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</si>
  <si>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</si>
  <si>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</si>
  <si>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</si>
  <si>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</si>
  <si>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</si>
  <si>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</si>
  <si>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</si>
  <si>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</si>
  <si>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</si>
  <si>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</si>
  <si>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</si>
  <si>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</si>
  <si>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</si>
  <si>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</si>
  <si>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</si>
  <si>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</si>
  <si>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</si>
  <si>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</si>
  <si>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</si>
  <si>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</si>
  <si>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</si>
  <si>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</si>
  <si>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</si>
  <si>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</si>
  <si>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</si>
  <si>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</si>
  <si>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</si>
  <si>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</si>
  <si>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</si>
  <si>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</si>
  <si>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</si>
  <si>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</si>
  <si>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</si>
  <si>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</si>
  <si>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</si>
  <si>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</si>
  <si>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</si>
  <si>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</si>
  <si>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</si>
  <si>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</si>
  <si>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</si>
  <si>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</si>
  <si>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</si>
  <si>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</si>
  <si>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</si>
  <si>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</si>
  <si>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</si>
  <si>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</si>
  <si>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</si>
  <si>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</si>
  <si>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</si>
  <si>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</si>
  <si>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</si>
  <si>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</si>
  <si>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</si>
  <si>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</si>
  <si>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</si>
  <si>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</si>
  <si>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</si>
  <si>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</si>
  <si>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</si>
  <si>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</si>
  <si>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</si>
  <si>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</si>
  <si>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</si>
  <si>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</si>
  <si>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</si>
  <si>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</si>
  <si>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</si>
  <si>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</si>
  <si>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</si>
  <si>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</si>
  <si>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</si>
  <si>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</si>
  <si>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</si>
  <si>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</si>
  <si>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</si>
  <si>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</si>
  <si>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</si>
  <si>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</si>
  <si>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</si>
  <si>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</si>
  <si>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</si>
  <si>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</si>
  <si>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</si>
  <si>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</si>
  <si>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</si>
  <si>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</si>
  <si>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</si>
  <si>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</si>
  <si>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</si>
  <si>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</si>
  <si>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</si>
  <si>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</si>
  <si>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</si>
  <si>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</si>
  <si>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</si>
  <si>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</si>
  <si>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</si>
  <si>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</si>
  <si>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</si>
  <si>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</si>
  <si>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</si>
  <si>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</si>
  <si>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</si>
  <si>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</si>
  <si>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</si>
  <si>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</si>
  <si>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</si>
  <si>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</si>
  <si>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</si>
  <si>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</si>
  <si>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</si>
  <si>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</si>
  <si>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</si>
  <si>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</si>
  <si>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</si>
  <si>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</si>
  <si>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</si>
  <si>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</si>
  <si>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</si>
  <si>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</si>
  <si>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</si>
  <si>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</si>
  <si>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</si>
  <si>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Hamilton Hydro Inc.</t>
  </si>
  <si>
    <t>Y</t>
  </si>
  <si>
    <t>N</t>
  </si>
  <si>
    <t xml:space="preserve">PILs TAXES </t>
  </si>
  <si>
    <t>Capitalized Fleet Depreciation disallowed for UCC Purposes</t>
  </si>
  <si>
    <t>No actual surtax per filing</t>
  </si>
  <si>
    <t>Employee Expenses Accrual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</si>
</sst>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57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3" fontId="0" fillId="44" borderId="0" xfId="0" applyNumberFormat="1" applyFill="1" applyAlignment="1">
      <alignment/>
    </xf>
    <xf numFmtId="3" fontId="0" fillId="44" borderId="56" xfId="0" applyNumberFormat="1" applyFill="1" applyBorder="1" applyAlignment="1" applyProtection="1">
      <alignment/>
      <protection/>
    </xf>
    <xf numFmtId="3" fontId="0" fillId="44" borderId="0" xfId="0" applyNumberFormat="1" applyFill="1" applyAlignment="1" applyProtection="1">
      <alignment/>
      <protection/>
    </xf>
    <xf numFmtId="3" fontId="0" fillId="44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view="pageLayout" workbookViewId="0" topLeftCell="A43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501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498</v>
      </c>
      <c r="C3" s="8"/>
      <c r="D3" s="454" t="s">
        <v>451</v>
      </c>
      <c r="E3" s="8"/>
      <c r="F3" s="8"/>
      <c r="G3" s="8"/>
      <c r="H3" s="8"/>
    </row>
    <row r="4" spans="1:8" ht="12.75">
      <c r="A4" s="2" t="s">
        <v>479</v>
      </c>
      <c r="C4" s="8"/>
      <c r="D4" s="453" t="s">
        <v>446</v>
      </c>
      <c r="E4" s="428"/>
      <c r="H4" s="8"/>
    </row>
    <row r="5" spans="1:8" ht="12.75">
      <c r="A5" s="52"/>
      <c r="C5" s="8"/>
      <c r="D5" s="452" t="s">
        <v>447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6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6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6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487" t="s">
        <v>500</v>
      </c>
    </row>
    <row r="20" spans="1:4" ht="13.5" thickBot="1">
      <c r="A20" s="498"/>
      <c r="B20" s="8" t="s">
        <v>314</v>
      </c>
      <c r="C20" s="8" t="s">
        <v>64</v>
      </c>
      <c r="D20" s="486" t="s">
        <v>500</v>
      </c>
    </row>
    <row r="21" spans="1:4" ht="12.75">
      <c r="A21" s="497" t="s">
        <v>312</v>
      </c>
      <c r="B21" s="8" t="s">
        <v>313</v>
      </c>
      <c r="C21" s="8"/>
      <c r="D21" s="423">
        <v>1</v>
      </c>
    </row>
    <row r="22" spans="1:4" ht="12.75">
      <c r="A22" s="49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247324048</v>
      </c>
      <c r="H31" s="5"/>
    </row>
    <row r="32" ht="6" customHeight="1"/>
    <row r="33" spans="1:8" ht="12.75">
      <c r="A33" t="s">
        <v>71</v>
      </c>
      <c r="D33" s="42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4776987</v>
      </c>
      <c r="E43" s="387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5247005</v>
      </c>
      <c r="E47" s="387">
        <f aca="true" t="shared" si="0" ref="E47:E53">D47</f>
        <v>5247005</v>
      </c>
      <c r="H47" s="40"/>
      <c r="J47" s="5"/>
      <c r="K47" s="5"/>
    </row>
    <row r="48" spans="1:11" ht="12.75">
      <c r="A48" t="s">
        <v>290</v>
      </c>
      <c r="D48" s="426">
        <v>5247005</v>
      </c>
      <c r="E48" s="387">
        <f>D48</f>
        <v>5247005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443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466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15270997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4651924.9276759885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7086950.150675025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7086950.150675025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">
      <selection activeCell="G44" sqref="G44:H44"/>
    </sheetView>
  </sheetViews>
  <sheetFormatPr defaultColWidth="9.140625" defaultRowHeight="12.75"/>
  <cols>
    <col min="1" max="1" width="62.57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Hamilton Hydro Inc.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15270998</v>
      </c>
      <c r="D16" s="17"/>
      <c r="E16" s="267">
        <f>G16-C16</f>
        <v>3411336</v>
      </c>
      <c r="F16" s="3"/>
      <c r="G16" s="267">
        <f>TAXREC!E50</f>
        <v>18682334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11570187</v>
      </c>
      <c r="D20" s="18"/>
      <c r="E20" s="267">
        <f>G20-C20</f>
        <v>1847303</v>
      </c>
      <c r="F20" s="6"/>
      <c r="G20" s="267">
        <f>TAXREC!E61</f>
        <v>13417490</v>
      </c>
      <c r="H20" s="151"/>
    </row>
    <row r="21" spans="1:8" ht="12.75">
      <c r="A21" s="158" t="s">
        <v>56</v>
      </c>
      <c r="B21" s="127">
        <v>3</v>
      </c>
      <c r="C21" s="261">
        <v>1565000</v>
      </c>
      <c r="D21" s="18"/>
      <c r="E21" s="267">
        <f>G21-C21</f>
        <v>-580761</v>
      </c>
      <c r="F21" s="6"/>
      <c r="G21" s="267">
        <f>TAXREC!E62</f>
        <v>984239</v>
      </c>
      <c r="H21" s="151"/>
    </row>
    <row r="22" spans="1:8" ht="12.75">
      <c r="A22" s="158" t="s">
        <v>264</v>
      </c>
      <c r="B22" s="127">
        <v>4</v>
      </c>
      <c r="C22" s="261">
        <v>665000</v>
      </c>
      <c r="D22" s="18"/>
      <c r="E22" s="267">
        <f>G22-C22</f>
        <v>0</v>
      </c>
      <c r="F22" s="6"/>
      <c r="G22" s="267">
        <f>TAXREC!E63</f>
        <v>665000</v>
      </c>
      <c r="H22" s="151"/>
    </row>
    <row r="23" spans="1:8" ht="12.75">
      <c r="A23" s="158" t="s">
        <v>263</v>
      </c>
      <c r="B23" s="127">
        <v>4</v>
      </c>
      <c r="C23" s="261">
        <v>0</v>
      </c>
      <c r="D23" s="18"/>
      <c r="E23" s="267">
        <f>G23-C23</f>
        <v>1856584</v>
      </c>
      <c r="F23" s="6"/>
      <c r="G23" s="267">
        <f>TAXREC!E64</f>
        <v>1856584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>
        <v>593088</v>
      </c>
      <c r="D28" s="18"/>
      <c r="E28" s="267">
        <f>G28-C28</f>
        <v>-167823</v>
      </c>
      <c r="F28" s="6"/>
      <c r="G28" s="267">
        <f>TAXREC!E67</f>
        <v>425265</v>
      </c>
      <c r="H28" s="151"/>
    </row>
    <row r="29" spans="1:8" ht="12.75">
      <c r="A29" s="158" t="s">
        <v>157</v>
      </c>
      <c r="B29" s="127">
        <v>6</v>
      </c>
      <c r="C29" s="261">
        <v>528</v>
      </c>
      <c r="D29" s="18"/>
      <c r="E29" s="267">
        <f>G29-C29</f>
        <v>-528</v>
      </c>
      <c r="F29" s="6"/>
      <c r="G29" s="267">
        <f>TAXREC!E68</f>
        <v>0</v>
      </c>
      <c r="H29" s="151"/>
    </row>
    <row r="30" spans="1:8" ht="15.75">
      <c r="A30" s="482" t="s">
        <v>399</v>
      </c>
      <c r="B30" s="127"/>
      <c r="C30" s="259"/>
      <c r="D30" s="18"/>
      <c r="E30" s="267">
        <f>G30-C30</f>
        <v>26951</v>
      </c>
      <c r="F30" s="6"/>
      <c r="G30" s="267">
        <f>TAXREC!E66</f>
        <v>26951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8779450</v>
      </c>
      <c r="D33" s="132"/>
      <c r="E33" s="267">
        <f aca="true" t="shared" si="0" ref="E33:E42">G33-C33</f>
        <v>8482110</v>
      </c>
      <c r="F33" s="6"/>
      <c r="G33" s="267">
        <f>TAXREC!E97+TAXREC!E98</f>
        <v>17261560</v>
      </c>
      <c r="H33" s="151"/>
    </row>
    <row r="34" spans="1:8" ht="12.75">
      <c r="A34" s="158" t="s">
        <v>57</v>
      </c>
      <c r="B34" s="127">
        <v>8</v>
      </c>
      <c r="C34" s="261">
        <v>1145000</v>
      </c>
      <c r="D34" s="132"/>
      <c r="E34" s="267">
        <f t="shared" si="0"/>
        <v>-644576</v>
      </c>
      <c r="F34" s="6"/>
      <c r="G34" s="267">
        <f>TAXREC!E99</f>
        <v>500424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7086950</v>
      </c>
      <c r="D37" s="132"/>
      <c r="E37" s="267">
        <f t="shared" si="0"/>
        <v>1998204</v>
      </c>
      <c r="F37" s="6"/>
      <c r="G37" s="267">
        <f>TAXREC!E51</f>
        <v>9085154</v>
      </c>
      <c r="H37" s="151"/>
    </row>
    <row r="38" spans="1:8" ht="12.75">
      <c r="A38" s="155" t="s">
        <v>262</v>
      </c>
      <c r="B38" s="125">
        <v>4</v>
      </c>
      <c r="C38" s="261">
        <v>665000</v>
      </c>
      <c r="D38" s="132"/>
      <c r="E38" s="267">
        <f t="shared" si="0"/>
        <v>24584</v>
      </c>
      <c r="F38" s="6"/>
      <c r="G38" s="267">
        <f>TAXREC!E104</f>
        <v>689584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1465700</v>
      </c>
      <c r="F39" s="6"/>
      <c r="G39" s="267">
        <f>TAXREC!E105</f>
        <v>1465700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399</v>
      </c>
      <c r="B48" s="127"/>
      <c r="C48" s="259"/>
      <c r="D48" s="132"/>
      <c r="E48" s="267">
        <f>G48-C48</f>
        <v>66831</v>
      </c>
      <c r="F48" s="6"/>
      <c r="G48" s="251">
        <f>TAXREC!E108</f>
        <v>66831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11988401</v>
      </c>
      <c r="D50" s="102"/>
      <c r="E50" s="263">
        <f>E16+SUM(E20:E30)-SUM(E33:E48)</f>
        <v>-4999791</v>
      </c>
      <c r="F50" s="431" t="s">
        <v>371</v>
      </c>
      <c r="G50" s="263">
        <f>G16+SUM(G20:G30)-SUM(G33:G48)</f>
        <v>6988610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2">
        <f>TAXREC!E151</f>
        <v>0.3862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4629920.4662</v>
      </c>
      <c r="D55" s="102"/>
      <c r="E55" s="267">
        <f>G55-C55</f>
        <v>-4471167.4662</v>
      </c>
      <c r="F55" s="431" t="s">
        <v>372</v>
      </c>
      <c r="G55" s="264">
        <f>TAXREC!E144</f>
        <v>158753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372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4629920.4662</v>
      </c>
      <c r="D60" s="133"/>
      <c r="E60" s="269">
        <f>+E55-E58</f>
        <v>-4471167.4662</v>
      </c>
      <c r="F60" s="431" t="s">
        <v>372</v>
      </c>
      <c r="G60" s="269">
        <f>+G55-G58</f>
        <v>158753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247324048</v>
      </c>
      <c r="D66" s="102"/>
      <c r="E66" s="267">
        <f>G66-C66</f>
        <v>-1283531</v>
      </c>
      <c r="F66" s="6"/>
      <c r="G66" s="474">
        <v>246040517</v>
      </c>
      <c r="H66" s="151"/>
      <c r="I66" s="475" t="s">
        <v>478</v>
      </c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-628824</v>
      </c>
      <c r="F67" s="6"/>
      <c r="G67" s="474">
        <v>4371176</v>
      </c>
      <c r="H67" s="151"/>
      <c r="I67" s="475" t="s">
        <v>478</v>
      </c>
      <c r="J67" s="491"/>
    </row>
    <row r="68" spans="1:8" ht="12.75">
      <c r="A68" s="152" t="s">
        <v>42</v>
      </c>
      <c r="B68" s="125"/>
      <c r="C68" s="264">
        <f>IF((C66-C67)&gt;0,C66-C67,0)</f>
        <v>242324048</v>
      </c>
      <c r="D68" s="102"/>
      <c r="E68" s="267">
        <f>SUM(E66:E67)</f>
        <v>-1912355</v>
      </c>
      <c r="F68" s="114"/>
      <c r="G68" s="264">
        <f>G66-G67</f>
        <v>241669341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726972.144</v>
      </c>
      <c r="D72" s="101"/>
      <c r="E72" s="267">
        <f>+G72-C72</f>
        <v>-1964.1209999999264</v>
      </c>
      <c r="F72" s="476"/>
      <c r="G72" s="264">
        <f>IF(G68&gt;0,G68*G70,0)*REGINFO!$B$6/REGINFO!$B$7</f>
        <v>725008.023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247324048</v>
      </c>
      <c r="D75" s="102"/>
      <c r="E75" s="267">
        <f>+G75-C75</f>
        <v>1822651</v>
      </c>
      <c r="F75" s="6"/>
      <c r="G75" s="474">
        <v>249146699</v>
      </c>
      <c r="H75" s="151"/>
      <c r="I75" s="475" t="s">
        <v>478</v>
      </c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4">
        <f>'Tax Rates'!C58</f>
        <v>10000000</v>
      </c>
      <c r="H76" s="151"/>
      <c r="I76" s="475" t="s">
        <v>478</v>
      </c>
    </row>
    <row r="77" spans="1:8" ht="12.75">
      <c r="A77" s="152" t="s">
        <v>42</v>
      </c>
      <c r="B77" s="125"/>
      <c r="C77" s="264">
        <f>IF((C75-C76)&gt;0,C75-C76,0)</f>
        <v>237324048</v>
      </c>
      <c r="D77" s="19"/>
      <c r="E77" s="267">
        <f>SUM(E75:E76)</f>
        <v>1822651</v>
      </c>
      <c r="F77" s="114"/>
      <c r="G77" s="264">
        <f>G75-G76</f>
        <v>239146699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533979.108</v>
      </c>
      <c r="D81" s="102"/>
      <c r="E81" s="267">
        <f>+G81-C81</f>
        <v>4100.964749999926</v>
      </c>
      <c r="F81" s="6"/>
      <c r="G81" s="264">
        <f>G77*G79*B9/B10</f>
        <v>538080.0727499999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134270.0912</v>
      </c>
      <c r="D82" s="102"/>
      <c r="E82" s="267">
        <f>+G82-C82</f>
        <v>-134270.0912</v>
      </c>
      <c r="F82" s="6"/>
      <c r="G82" s="300">
        <v>0</v>
      </c>
      <c r="H82" s="151"/>
      <c r="I82" s="490" t="s">
        <v>503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399709.0168</v>
      </c>
      <c r="D84" s="16"/>
      <c r="E84" s="267">
        <f>E81-E82</f>
        <v>138371.05594999992</v>
      </c>
      <c r="F84" s="103"/>
      <c r="G84" s="264">
        <f>G81-G82</f>
        <v>538080.0727499999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f>C60/(1-C88)</f>
        <v>7407872.74592</v>
      </c>
      <c r="D90" s="20"/>
      <c r="E90" s="139"/>
      <c r="F90" s="430" t="s">
        <v>489</v>
      </c>
      <c r="G90" s="270">
        <f>TAXREC!E156</f>
        <v>158753</v>
      </c>
      <c r="H90" s="151"/>
    </row>
    <row r="91" spans="1:8" ht="12.75">
      <c r="A91" s="158" t="s">
        <v>374</v>
      </c>
      <c r="B91" s="127">
        <v>23</v>
      </c>
      <c r="C91" s="264">
        <f>C84/(1-C88)</f>
        <v>639534.4268799999</v>
      </c>
      <c r="D91" s="20"/>
      <c r="E91" s="139"/>
      <c r="F91" s="430" t="s">
        <v>489</v>
      </c>
      <c r="G91" s="270">
        <f>TAXREC!E157</f>
        <v>720075</v>
      </c>
      <c r="H91" s="151"/>
    </row>
    <row r="92" spans="1:8" ht="12.75">
      <c r="A92" s="158" t="s">
        <v>352</v>
      </c>
      <c r="B92" s="127">
        <v>24</v>
      </c>
      <c r="C92" s="264">
        <f>C72</f>
        <v>726972.144</v>
      </c>
      <c r="D92" s="20"/>
      <c r="E92" s="139"/>
      <c r="F92" s="430" t="s">
        <v>489</v>
      </c>
      <c r="G92" s="270">
        <f>TAXREC!E158</f>
        <v>538080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490</v>
      </c>
      <c r="B95" s="125">
        <v>25</v>
      </c>
      <c r="C95" s="269">
        <f>SUM(C90:C93)</f>
        <v>8774379.3168</v>
      </c>
      <c r="D95" s="6"/>
      <c r="E95" s="139"/>
      <c r="F95" s="430" t="s">
        <v>489</v>
      </c>
      <c r="G95" s="413">
        <f>SUM(G90:G94)</f>
        <v>1416908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-580761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1856584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-167823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-644576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24584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1465700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262292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492</v>
      </c>
      <c r="B122" s="127"/>
      <c r="C122" s="112"/>
      <c r="D122" s="3" t="s">
        <v>231</v>
      </c>
      <c r="E122" s="468">
        <f>+'Tax Rates'!F52</f>
        <v>0.3862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101297.1704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101297.1704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3">
        <f>E128/(1-E130)</f>
        <v>162075.47264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11988401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4629920.4662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4629920.4662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4629920.4662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247324048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726972.144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726972.144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247324048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237324048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533979.108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134270.0912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399709.0168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399709.0168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162075.47264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162075.47264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9521975.848000001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7086950.150675025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2435025.6973249763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9085154</v>
      </c>
      <c r="F201" s="3"/>
      <c r="G201" s="484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9521975.848000001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0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2435025.6973249763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97">
      <selection activeCell="C116" sqref="C11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8" t="s">
        <v>500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488" t="s">
        <v>499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8" t="s">
        <v>499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55315947</v>
      </c>
      <c r="D32" s="286"/>
      <c r="E32" s="284">
        <f>C32-D32</f>
        <v>55315947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5016020</v>
      </c>
      <c r="D33" s="286">
        <v>2695000</v>
      </c>
      <c r="E33" s="284">
        <f>C33-D33</f>
        <v>2321020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26304823</v>
      </c>
      <c r="D42" s="286">
        <v>1174000</v>
      </c>
      <c r="E42" s="284">
        <f t="shared" si="0"/>
        <v>25130823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13372544</v>
      </c>
      <c r="D43" s="286">
        <v>236000</v>
      </c>
      <c r="E43" s="284">
        <f t="shared" si="0"/>
        <v>13136544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687266</v>
      </c>
      <c r="D44" s="286"/>
      <c r="E44" s="284">
        <f t="shared" si="0"/>
        <v>687266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19967334</v>
      </c>
      <c r="D50" s="281">
        <f>SUM(D31:D36)-SUM(D39:D49)</f>
        <v>1285000</v>
      </c>
      <c r="E50" s="281">
        <f>SUM(E31:E35)-SUM(E39:E48)</f>
        <v>18682334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9085154</v>
      </c>
      <c r="D51" s="285"/>
      <c r="E51" s="282">
        <f>+C51-D51</f>
        <v>9085154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3592198</v>
      </c>
      <c r="D52" s="285">
        <v>497000</v>
      </c>
      <c r="E52" s="283">
        <f>+C52-D52</f>
        <v>3095198</v>
      </c>
      <c r="F52" s="8"/>
    </row>
    <row r="53" spans="1:6" ht="12.75">
      <c r="A53" s="2" t="s">
        <v>131</v>
      </c>
      <c r="B53" s="8" t="s">
        <v>189</v>
      </c>
      <c r="C53" s="281">
        <f>C50-C51-C52</f>
        <v>7289982</v>
      </c>
      <c r="D53" s="281">
        <f>D50-D51-D52</f>
        <v>788000</v>
      </c>
      <c r="E53" s="281">
        <f>E50-E51-E52</f>
        <v>6501982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3592198</v>
      </c>
      <c r="D59" s="287">
        <f>D52</f>
        <v>497000</v>
      </c>
      <c r="E59" s="272">
        <f>+C59-D59</f>
        <v>3095198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7">
        <f>13653490</f>
        <v>13653490</v>
      </c>
      <c r="D61" s="287">
        <f>D43</f>
        <v>236000</v>
      </c>
      <c r="E61" s="272">
        <f>+C61-D61</f>
        <v>13417490</v>
      </c>
      <c r="F61" s="8"/>
      <c r="G61" s="415"/>
    </row>
    <row r="62" spans="1:6" ht="12.75">
      <c r="A62" t="s">
        <v>6</v>
      </c>
      <c r="B62" s="8" t="s">
        <v>187</v>
      </c>
      <c r="C62" s="317">
        <v>984239</v>
      </c>
      <c r="D62" s="287">
        <v>0</v>
      </c>
      <c r="E62" s="272">
        <f>+C62-D62</f>
        <v>984239</v>
      </c>
      <c r="F62" s="8"/>
    </row>
    <row r="63" spans="1:6" ht="12.75">
      <c r="A63" s="31" t="s">
        <v>279</v>
      </c>
      <c r="B63" s="8" t="s">
        <v>187</v>
      </c>
      <c r="C63" s="315">
        <v>665000</v>
      </c>
      <c r="D63" s="316">
        <f>'Tax Reserves'!D22</f>
        <v>0</v>
      </c>
      <c r="E63" s="272">
        <f>C63-D63</f>
        <v>665000</v>
      </c>
      <c r="F63" s="8"/>
    </row>
    <row r="64" spans="1:6" ht="12.75">
      <c r="A64" s="4" t="s">
        <v>52</v>
      </c>
      <c r="B64" s="8" t="s">
        <v>187</v>
      </c>
      <c r="C64" s="315">
        <f>'Tax Reserves'!E63</f>
        <v>1856584</v>
      </c>
      <c r="D64" s="316">
        <f>'Tax Reserves'!D63</f>
        <v>0</v>
      </c>
      <c r="E64" s="272">
        <f>+C64-D64</f>
        <v>1856584</v>
      </c>
      <c r="F64" s="8"/>
    </row>
    <row r="65" spans="1:6" ht="12.75">
      <c r="A65" t="s">
        <v>448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399</v>
      </c>
      <c r="B66" s="8"/>
      <c r="C66" s="446">
        <f>'TAXREC 3 No True-up'!C47</f>
        <v>26951</v>
      </c>
      <c r="D66" s="446">
        <f>'TAXREC 3 No True-up'!D47</f>
        <v>0</v>
      </c>
      <c r="E66" s="272">
        <f>+C66-D66</f>
        <v>26951</v>
      </c>
      <c r="F66" s="8"/>
    </row>
    <row r="67" spans="1:6" ht="12.75">
      <c r="A67" t="s">
        <v>160</v>
      </c>
      <c r="B67" s="8" t="s">
        <v>187</v>
      </c>
      <c r="C67" s="251">
        <f>'TAXREC 2'!C77</f>
        <v>425265</v>
      </c>
      <c r="D67" s="251">
        <f>'TAXREC 2'!D77</f>
        <v>0</v>
      </c>
      <c r="E67" s="272">
        <f>+C67-D67</f>
        <v>425265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21203727</v>
      </c>
      <c r="D70" s="272">
        <f>SUM(D59:D68)</f>
        <v>733000</v>
      </c>
      <c r="E70" s="272">
        <f>SUM(E59:E68)</f>
        <v>20470727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483</v>
      </c>
      <c r="B76" s="8" t="s">
        <v>187</v>
      </c>
      <c r="C76" s="478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21203727</v>
      </c>
      <c r="D82" s="251">
        <f>D70+D80</f>
        <v>733000</v>
      </c>
      <c r="E82" s="251">
        <f>E70+E80</f>
        <v>20470727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436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16090873</v>
      </c>
      <c r="D97" s="294">
        <v>236000</v>
      </c>
      <c r="E97" s="272">
        <f>+C97-D97</f>
        <v>15854873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1406687</v>
      </c>
      <c r="D98" s="294"/>
      <c r="E98" s="272">
        <f>+C98-D98</f>
        <v>1406687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500424</v>
      </c>
      <c r="D99" s="294"/>
      <c r="E99" s="272">
        <f>+C99-D99</f>
        <v>500424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689584</v>
      </c>
      <c r="D104" s="318">
        <f>'Tax Reserves'!D35</f>
        <v>0</v>
      </c>
      <c r="E104" s="272">
        <f t="shared" si="5"/>
        <v>689584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Reserves'!E50</f>
        <v>1465700</v>
      </c>
      <c r="D105" s="318">
        <f>'Tax Reserves'!D50</f>
        <v>0</v>
      </c>
      <c r="E105" s="282">
        <f t="shared" si="5"/>
        <v>1465700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399</v>
      </c>
      <c r="B108" s="8"/>
      <c r="C108" s="254">
        <f>'TAXREC 3 No True-up'!C73</f>
        <v>66831</v>
      </c>
      <c r="D108" s="254">
        <f>'TAXREC 3 No True-up'!D73</f>
        <v>0</v>
      </c>
      <c r="E108" s="272">
        <f t="shared" si="5"/>
        <v>66831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20220099</v>
      </c>
      <c r="D113" s="251">
        <f>SUM(D97:D111)</f>
        <v>236000</v>
      </c>
      <c r="E113" s="251">
        <f>SUM(E97:E111)</f>
        <v>19984099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>
        <v>0</v>
      </c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20220099</v>
      </c>
      <c r="D122" s="251">
        <f>D113+D120</f>
        <v>236000</v>
      </c>
      <c r="E122" s="251">
        <f>+E113+E120</f>
        <v>19984099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8273610</v>
      </c>
      <c r="D134" s="251">
        <f>D53+D82-D122</f>
        <v>1285000</v>
      </c>
      <c r="E134" s="251">
        <f>E53+E82-E122</f>
        <v>6988610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4">
        <v>8273610</v>
      </c>
      <c r="D136" s="294"/>
      <c r="E136" s="264">
        <f>C136-D136</f>
        <v>8273610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1285000</v>
      </c>
      <c r="E139" s="252">
        <f>E134-E136-E137-E138</f>
        <v>-1285000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 t="s">
        <v>497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158753</v>
      </c>
      <c r="D143" s="298"/>
      <c r="E143" s="292">
        <f>C143-D143</f>
        <v>158753</v>
      </c>
      <c r="F143" s="8"/>
      <c r="G143" s="45" t="s">
        <v>497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158753</v>
      </c>
      <c r="D144" s="252">
        <f>D142+D143</f>
        <v>0</v>
      </c>
      <c r="E144" s="252">
        <f>E142+E143</f>
        <v>158753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158753</v>
      </c>
      <c r="D146" s="252">
        <f>D144-D145</f>
        <v>0</v>
      </c>
      <c r="E146" s="252">
        <f>E144-E145</f>
        <v>158753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0.3862</v>
      </c>
      <c r="D151" s="483" t="s">
        <v>491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488</v>
      </c>
      <c r="B155" s="8"/>
    </row>
    <row r="156" spans="1:5" ht="12.75">
      <c r="A156" t="s">
        <v>219</v>
      </c>
      <c r="B156" s="86" t="s">
        <v>187</v>
      </c>
      <c r="C156" s="251">
        <f>C146</f>
        <v>158753</v>
      </c>
      <c r="D156" s="251">
        <f>D146</f>
        <v>0</v>
      </c>
      <c r="E156" s="251">
        <f>E146</f>
        <v>158753</v>
      </c>
    </row>
    <row r="157" spans="1:5" ht="12.75">
      <c r="A157" t="s">
        <v>20</v>
      </c>
      <c r="B157" s="86" t="s">
        <v>187</v>
      </c>
      <c r="C157" s="480">
        <v>720075</v>
      </c>
      <c r="D157" s="251"/>
      <c r="E157" s="251">
        <f>C157+D157</f>
        <v>720075</v>
      </c>
    </row>
    <row r="158" spans="1:5" ht="12.75">
      <c r="A158" t="s">
        <v>218</v>
      </c>
      <c r="B158" s="86" t="s">
        <v>187</v>
      </c>
      <c r="C158" s="480">
        <v>538080</v>
      </c>
      <c r="D158" s="251"/>
      <c r="E158" s="251">
        <f>C158+D158</f>
        <v>538080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1416908</v>
      </c>
      <c r="D160" s="251">
        <f>D156+D157+D158</f>
        <v>0</v>
      </c>
      <c r="E160" s="251">
        <f>E156+E157+E158</f>
        <v>1416908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28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>
        <v>450000</v>
      </c>
      <c r="D14" s="294"/>
      <c r="E14" s="251">
        <f aca="true" t="shared" si="0" ref="E14:E21">C14-D14</f>
        <v>450000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>
        <v>215000</v>
      </c>
      <c r="D16" s="294"/>
      <c r="E16" s="251">
        <f t="shared" si="0"/>
        <v>215000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453</v>
      </c>
      <c r="B18" s="61"/>
      <c r="C18" s="294"/>
      <c r="D18" s="294"/>
      <c r="E18" s="251">
        <f t="shared" si="0"/>
        <v>0</v>
      </c>
    </row>
    <row r="19" spans="1:5" ht="12.75">
      <c r="A19" s="61" t="s">
        <v>453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665000</v>
      </c>
      <c r="D22" s="251">
        <f>SUM(D13:D21)</f>
        <v>0</v>
      </c>
      <c r="E22" s="251">
        <f>SUM(E13:E21)</f>
        <v>665000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>
        <v>600000</v>
      </c>
      <c r="D26" s="294"/>
      <c r="E26" s="251">
        <f aca="true" t="shared" si="1" ref="E26:E33">C26-D26</f>
        <v>600000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>
        <v>89584</v>
      </c>
      <c r="D28" s="294"/>
      <c r="E28" s="251">
        <f t="shared" si="1"/>
        <v>89584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453</v>
      </c>
      <c r="B30" s="61"/>
      <c r="C30" s="294"/>
      <c r="D30" s="294"/>
      <c r="E30" s="251">
        <f t="shared" si="1"/>
        <v>0</v>
      </c>
    </row>
    <row r="31" spans="1:5" ht="12.75">
      <c r="A31" s="61" t="s">
        <v>453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689584</v>
      </c>
      <c r="D35" s="251">
        <f>SUM(D25:D33)</f>
        <v>0</v>
      </c>
      <c r="E35" s="251">
        <f>SUM(E25:E33)</f>
        <v>689584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1000000</v>
      </c>
      <c r="D44" s="294"/>
      <c r="E44" s="251">
        <f t="shared" si="2"/>
        <v>1000000</v>
      </c>
    </row>
    <row r="45" spans="1:5" ht="12.75">
      <c r="A45" s="61" t="s">
        <v>269</v>
      </c>
      <c r="B45" s="61"/>
      <c r="C45" s="294">
        <v>50000</v>
      </c>
      <c r="D45" s="294"/>
      <c r="E45" s="251">
        <f t="shared" si="2"/>
        <v>50000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92" t="s">
        <v>504</v>
      </c>
      <c r="B47" s="61"/>
      <c r="C47" s="294">
        <f>215000+200700</f>
        <v>415700</v>
      </c>
      <c r="D47" s="294"/>
      <c r="E47" s="251">
        <f t="shared" si="2"/>
        <v>415700</v>
      </c>
    </row>
    <row r="48" spans="1:5" ht="12.75">
      <c r="A48" s="61" t="s">
        <v>453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1465700</v>
      </c>
      <c r="D50" s="251">
        <f>SUM(D41:D49)</f>
        <v>0</v>
      </c>
      <c r="E50" s="251">
        <f>SUM(E41:E49)</f>
        <v>1465700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1500000</v>
      </c>
      <c r="D56" s="294"/>
      <c r="E56" s="251">
        <f t="shared" si="3"/>
        <v>1500000</v>
      </c>
    </row>
    <row r="57" spans="1:5" ht="12.75">
      <c r="A57" s="246" t="s">
        <v>269</v>
      </c>
      <c r="B57" s="61"/>
      <c r="C57" s="294">
        <v>200000</v>
      </c>
      <c r="D57" s="294"/>
      <c r="E57" s="251">
        <f t="shared" si="3"/>
        <v>200000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492" t="s">
        <v>504</v>
      </c>
      <c r="B59" s="61"/>
      <c r="C59" s="294">
        <f>67000+89584</f>
        <v>156584</v>
      </c>
      <c r="D59" s="294"/>
      <c r="E59" s="251">
        <f t="shared" si="3"/>
        <v>156584</v>
      </c>
    </row>
    <row r="60" spans="1:5" ht="12.75">
      <c r="A60" s="61" t="s">
        <v>453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1856584</v>
      </c>
      <c r="D63" s="251">
        <f>SUM(D53:D61)</f>
        <v>0</v>
      </c>
      <c r="E63" s="251">
        <f>SUM(E53:E61)</f>
        <v>1856584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470</v>
      </c>
      <c r="B5" s="8"/>
      <c r="C5" s="8" t="s">
        <v>2</v>
      </c>
      <c r="D5" s="8"/>
      <c r="E5" s="8"/>
      <c r="F5" s="8"/>
    </row>
    <row r="6" spans="1:6" ht="12.75">
      <c r="A6" s="415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>
        <v>14141</v>
      </c>
      <c r="D21" s="295"/>
      <c r="E21" s="312">
        <f t="shared" si="0"/>
        <v>14141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481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9" t="s">
        <v>502</v>
      </c>
      <c r="B41" t="s">
        <v>187</v>
      </c>
      <c r="C41" s="294">
        <v>411124</v>
      </c>
      <c r="D41" s="294"/>
      <c r="E41" s="251">
        <f t="shared" si="0"/>
        <v>411124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425265</v>
      </c>
      <c r="D46" s="251">
        <f>SUM(D17:D45)</f>
        <v>0</v>
      </c>
      <c r="E46" s="251">
        <f>SUM(E17:E45)</f>
        <v>425265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14141</v>
      </c>
      <c r="D53" s="251">
        <f t="shared" si="1"/>
        <v>0</v>
      </c>
      <c r="E53" s="251">
        <f t="shared" si="1"/>
        <v>14141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Capitalized Fleet Depreciation disallowed for UCC Purposes</v>
      </c>
      <c r="B72" s="273"/>
      <c r="C72" s="251">
        <f t="shared" si="3"/>
        <v>411124</v>
      </c>
      <c r="D72" s="251">
        <f t="shared" si="3"/>
        <v>0</v>
      </c>
      <c r="E72" s="251">
        <f t="shared" si="3"/>
        <v>411124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425265</v>
      </c>
      <c r="D77" s="251">
        <f>SUM(D49:D75)</f>
        <v>0</v>
      </c>
      <c r="E77" s="251">
        <f>SUM(E49:E75)</f>
        <v>425265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425265</v>
      </c>
      <c r="D79" s="314">
        <f>D77+D78</f>
        <v>0</v>
      </c>
      <c r="E79" s="314">
        <f>E77+E78</f>
        <v>425265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482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9">
      <selection activeCell="C54" sqref="C5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389</v>
      </c>
      <c r="E3" s="92"/>
    </row>
    <row r="4" spans="1:6" ht="15.75">
      <c r="A4" s="463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459</v>
      </c>
      <c r="B24" t="s">
        <v>187</v>
      </c>
      <c r="C24" s="295">
        <v>11830</v>
      </c>
      <c r="D24" s="295"/>
      <c r="E24" s="312">
        <f t="shared" si="0"/>
        <v>11830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437</v>
      </c>
      <c r="B32" t="s">
        <v>187</v>
      </c>
      <c r="C32" s="295">
        <v>15121</v>
      </c>
      <c r="D32" s="295"/>
      <c r="E32" s="312">
        <f t="shared" si="0"/>
        <v>15121</v>
      </c>
    </row>
    <row r="33" spans="1:5" ht="12.75">
      <c r="A33" s="67" t="s">
        <v>438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456</v>
      </c>
      <c r="C35" s="295"/>
      <c r="D35" s="295"/>
      <c r="E35" s="312">
        <f t="shared" si="0"/>
        <v>0</v>
      </c>
    </row>
    <row r="36" spans="1:5" ht="12.75">
      <c r="A36" s="67" t="s">
        <v>439</v>
      </c>
      <c r="C36" s="295"/>
      <c r="D36" s="295"/>
      <c r="E36" s="312">
        <f t="shared" si="0"/>
        <v>0</v>
      </c>
    </row>
    <row r="37" spans="1:5" ht="12.75">
      <c r="A37" s="67" t="s">
        <v>440</v>
      </c>
      <c r="C37" s="295"/>
      <c r="D37" s="295"/>
      <c r="E37" s="312">
        <f t="shared" si="0"/>
        <v>0</v>
      </c>
    </row>
    <row r="38" spans="1:5" ht="12.75">
      <c r="A38" s="67" t="s">
        <v>462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397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391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401</v>
      </c>
      <c r="B47" t="s">
        <v>189</v>
      </c>
      <c r="C47" s="251">
        <f>SUM(C19:C46)</f>
        <v>26951</v>
      </c>
      <c r="D47" s="251">
        <f>SUM(D19:D46)</f>
        <v>0</v>
      </c>
      <c r="E47" s="251">
        <f>SUM(E19:E46)</f>
        <v>26951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441</v>
      </c>
      <c r="B54" s="8" t="s">
        <v>188</v>
      </c>
      <c r="C54" s="294">
        <v>66831</v>
      </c>
      <c r="D54" s="294"/>
      <c r="E54" s="251">
        <f t="shared" si="1"/>
        <v>66831</v>
      </c>
    </row>
    <row r="55" spans="1:5" ht="12.75">
      <c r="A55" s="67" t="s">
        <v>449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461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460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7" t="s">
        <v>398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7" t="s">
        <v>391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400</v>
      </c>
      <c r="B73" s="8" t="s">
        <v>189</v>
      </c>
      <c r="C73" s="251">
        <f>SUM(C51:C72)</f>
        <v>66831</v>
      </c>
      <c r="D73" s="251">
        <f>SUM(D51:D72)</f>
        <v>0</v>
      </c>
      <c r="E73" s="251">
        <f>SUM(E51:E72)</f>
        <v>66831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Hamilton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493</v>
      </c>
      <c r="B8" s="506"/>
      <c r="C8" s="506"/>
      <c r="D8" s="50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472</v>
      </c>
      <c r="B10" s="326"/>
      <c r="C10" s="375" t="s">
        <v>111</v>
      </c>
      <c r="D10" s="375"/>
      <c r="E10" s="375" t="s">
        <v>111</v>
      </c>
      <c r="F10" s="376" t="s">
        <v>494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476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477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495</v>
      </c>
      <c r="B23" s="500"/>
      <c r="C23" s="500"/>
      <c r="D23" s="500"/>
      <c r="E23" s="500"/>
      <c r="F23" s="50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487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445</v>
      </c>
      <c r="B28" s="326"/>
      <c r="C28" s="369" t="s">
        <v>111</v>
      </c>
      <c r="D28" s="369"/>
      <c r="E28" s="369" t="s">
        <v>111</v>
      </c>
      <c r="F28" s="370" t="s">
        <v>494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476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477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337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5">
        <v>0.2612</v>
      </c>
      <c r="I50" s="485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5">
        <v>0.125</v>
      </c>
      <c r="I51" s="485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5">
        <f>+H51+H50</f>
        <v>0.3862</v>
      </c>
      <c r="I52" s="485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476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477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355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Layout" zoomScaleNormal="90" workbookViewId="0" topLeftCell="A1">
      <selection activeCell="E19" sqref="E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Hamilton Hydro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2485720</v>
      </c>
      <c r="F11" s="419"/>
      <c r="G11" s="396">
        <f>E22</f>
        <v>2655581</v>
      </c>
      <c r="H11" s="419"/>
      <c r="I11" s="495">
        <f>G22</f>
        <v>14062705.47264</v>
      </c>
      <c r="J11" s="390"/>
      <c r="K11" s="495">
        <f>I22</f>
        <v>23454751.97264</v>
      </c>
      <c r="L11" s="390"/>
      <c r="M11" s="495">
        <f>K22</f>
        <v>25648346.72264</v>
      </c>
      <c r="N11" s="390"/>
      <c r="O11" s="495">
        <f>C11</f>
        <v>0</v>
      </c>
    </row>
    <row r="12" spans="1:15" ht="27" customHeight="1">
      <c r="A12" s="81" t="s">
        <v>402</v>
      </c>
      <c r="B12" s="66" t="s">
        <v>190</v>
      </c>
      <c r="C12" s="395">
        <v>2470670</v>
      </c>
      <c r="D12" s="391"/>
      <c r="E12" s="395">
        <v>8774379</v>
      </c>
      <c r="F12" s="95"/>
      <c r="G12" s="418">
        <f>C12+E12</f>
        <v>11245049</v>
      </c>
      <c r="H12" s="95"/>
      <c r="I12" s="493">
        <f>(E12/12*9)+(G12/12*3)</f>
        <v>9392046.5</v>
      </c>
      <c r="J12" s="391"/>
      <c r="K12" s="493">
        <f>E12/12*3</f>
        <v>2193594.75</v>
      </c>
      <c r="L12" s="391"/>
      <c r="M12" s="493">
        <f>K13/9*12/4</f>
        <v>0</v>
      </c>
      <c r="N12" s="391"/>
      <c r="O12" s="495">
        <f aca="true" t="shared" si="0" ref="O12:O20">SUM(C12:N12)</f>
        <v>34075739.25</v>
      </c>
    </row>
    <row r="13" spans="1:15" ht="27" customHeight="1">
      <c r="A13" s="81" t="s">
        <v>444</v>
      </c>
      <c r="B13" s="66"/>
      <c r="C13" s="418"/>
      <c r="D13" s="391"/>
      <c r="E13" s="418"/>
      <c r="F13" s="95"/>
      <c r="G13" s="418"/>
      <c r="H13" s="95"/>
      <c r="I13" s="493"/>
      <c r="J13" s="391"/>
      <c r="K13" s="493"/>
      <c r="L13" s="391"/>
      <c r="M13" s="493"/>
      <c r="N13" s="391"/>
      <c r="O13" s="495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458394</v>
      </c>
      <c r="F14" s="95"/>
      <c r="G14" s="395"/>
      <c r="H14" s="95"/>
      <c r="I14" s="493"/>
      <c r="J14" s="391"/>
      <c r="K14" s="493"/>
      <c r="L14" s="391"/>
      <c r="M14" s="493"/>
      <c r="N14" s="391"/>
      <c r="O14" s="495">
        <f t="shared" si="0"/>
        <v>458394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f>TAXCALC!E132</f>
        <v>162075.47264</v>
      </c>
      <c r="H15" s="95"/>
      <c r="I15" s="493"/>
      <c r="J15" s="391"/>
      <c r="K15" s="493"/>
      <c r="L15" s="391"/>
      <c r="M15" s="493">
        <f>TAXCALC!E132</f>
        <v>162075.47264</v>
      </c>
      <c r="N15" s="391"/>
      <c r="O15" s="495">
        <f t="shared" si="0"/>
        <v>324150.94528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493"/>
      <c r="J16" s="391"/>
      <c r="K16" s="493"/>
      <c r="L16" s="391"/>
      <c r="M16" s="493"/>
      <c r="N16" s="391"/>
      <c r="O16" s="495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f>TAXCALC!E181</f>
        <v>0</v>
      </c>
      <c r="H17" s="95"/>
      <c r="I17" s="493"/>
      <c r="J17" s="391"/>
      <c r="K17" s="493"/>
      <c r="L17" s="391"/>
      <c r="M17" s="493">
        <v>33</v>
      </c>
      <c r="N17" s="391"/>
      <c r="O17" s="495">
        <f t="shared" si="0"/>
        <v>33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493"/>
      <c r="H18" s="95"/>
      <c r="I18" s="493"/>
      <c r="J18" s="391"/>
      <c r="K18" s="493"/>
      <c r="L18" s="391"/>
      <c r="M18" s="493"/>
      <c r="N18" s="391"/>
      <c r="O18" s="495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15050</v>
      </c>
      <c r="D19" s="391"/>
      <c r="E19" s="395">
        <v>237418</v>
      </c>
      <c r="F19" s="95"/>
      <c r="G19" s="493"/>
      <c r="H19" s="95"/>
      <c r="I19" s="493"/>
      <c r="J19" s="391"/>
      <c r="K19" s="493"/>
      <c r="L19" s="391"/>
      <c r="M19" s="493"/>
      <c r="N19" s="391"/>
      <c r="O19" s="495">
        <f t="shared" si="0"/>
        <v>252468</v>
      </c>
    </row>
    <row r="20" spans="1:15" ht="24.75" customHeight="1">
      <c r="A20" s="81" t="s">
        <v>475</v>
      </c>
      <c r="B20" s="66" t="s">
        <v>188</v>
      </c>
      <c r="C20" s="418">
        <v>0</v>
      </c>
      <c r="D20" s="391"/>
      <c r="E20" s="395">
        <v>-9300330</v>
      </c>
      <c r="F20" s="95"/>
      <c r="G20" s="493"/>
      <c r="H20" s="95"/>
      <c r="I20" s="493"/>
      <c r="J20" s="391"/>
      <c r="K20" s="493"/>
      <c r="L20" s="391"/>
      <c r="M20" s="493"/>
      <c r="N20" s="391"/>
      <c r="O20" s="495">
        <f t="shared" si="0"/>
        <v>-9300330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2485720</v>
      </c>
      <c r="D22" s="419"/>
      <c r="E22" s="397">
        <f>SUM(E11:E20)</f>
        <v>2655581</v>
      </c>
      <c r="F22" s="419"/>
      <c r="G22" s="494">
        <f>SUM(G11:G20)</f>
        <v>14062705.47264</v>
      </c>
      <c r="H22" s="419"/>
      <c r="I22" s="494">
        <f>SUM(I11:I20)</f>
        <v>23454751.97264</v>
      </c>
      <c r="J22" s="390"/>
      <c r="K22" s="494">
        <f>SUM(K11:K20)</f>
        <v>25648346.72264</v>
      </c>
      <c r="L22" s="390"/>
      <c r="M22" s="494">
        <f>SUM(M11:M21)</f>
        <v>25810455.19528</v>
      </c>
      <c r="N22" s="390"/>
      <c r="O22" s="496">
        <f>SUM(O11:O20)</f>
        <v>25810455.19528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409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412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0" t="s">
        <v>413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414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435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415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416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417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418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419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424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430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434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9" t="s">
        <v>464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C-2-2
Filed: March 28, 2012&amp;10
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Basilio, John G</cp:lastModifiedBy>
  <cp:lastPrinted>2011-09-13T12:02:52Z</cp:lastPrinted>
  <dcterms:created xsi:type="dcterms:W3CDTF">2001-11-07T16:15:53Z</dcterms:created>
  <dcterms:modified xsi:type="dcterms:W3CDTF">2012-07-05T15:05:27Z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