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<sst xmlns="http://schemas.openxmlformats.org/spreadsheetml/2006/main" count="874" uniqueCount="501">
  <si>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</si>
  <si>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</si>
  <si>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</si>
  <si>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</si>
  <si>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</si>
  <si>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</si>
  <si>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</si>
  <si>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</si>
  <si>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</si>
  <si>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</si>
  <si>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</si>
  <si>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</si>
  <si>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</si>
  <si>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</si>
  <si>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</si>
  <si>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</si>
  <si>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</si>
  <si>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</si>
  <si>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</si>
  <si>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</si>
  <si>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</si>
  <si>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</si>
  <si>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</si>
  <si>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</si>
  <si>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</si>
  <si>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</si>
  <si>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</si>
  <si>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</si>
  <si>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</si>
  <si>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</si>
  <si>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</si>
  <si>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</si>
  <si>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</si>
  <si>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</si>
  <si>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</si>
  <si>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</si>
  <si>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</si>
  <si>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</si>
  <si>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</si>
  <si>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</si>
  <si>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</si>
  <si>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</si>
  <si>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</si>
  <si>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</si>
  <si>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</si>
  <si>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</si>
  <si>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</si>
  <si>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</si>
  <si>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</si>
  <si>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</si>
  <si>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</si>
  <si>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</si>
  <si>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</si>
  <si>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</si>
  <si>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</si>
  <si>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</si>
  <si>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</si>
  <si>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</si>
  <si>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</si>
  <si>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</si>
  <si>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</si>
  <si>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</si>
  <si>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</si>
  <si>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</si>
  <si>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</si>
  <si>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</si>
  <si>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</si>
  <si>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</si>
  <si>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</si>
  <si>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</si>
  <si>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</si>
  <si>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</si>
  <si>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</si>
  <si>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</si>
  <si>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</si>
  <si>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</si>
  <si>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</si>
  <si>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</si>
  <si>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</si>
  <si>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</si>
  <si>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</si>
  <si>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</si>
  <si>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</si>
  <si>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</si>
  <si>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</si>
  <si>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</si>
  <si>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</si>
  <si>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</si>
  <si>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</si>
  <si>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</si>
  <si>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</si>
  <si>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</si>
  <si>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</si>
  <si>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</si>
  <si>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</si>
  <si>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</si>
  <si>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</si>
  <si>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</si>
  <si>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</si>
  <si>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</si>
  <si>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</si>
  <si>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</si>
  <si>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</si>
  <si>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</si>
  <si>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</si>
  <si>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</si>
  <si>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</si>
  <si>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</si>
  <si>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</si>
  <si>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</si>
  <si>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</si>
  <si>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</si>
  <si>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</si>
  <si>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</si>
  <si>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</si>
  <si>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</si>
  <si>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</si>
  <si>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</si>
  <si>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</si>
  <si>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</si>
  <si>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</si>
  <si>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</si>
  <si>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</si>
  <si>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</si>
  <si>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</si>
  <si>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</si>
  <si>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</si>
  <si>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</si>
  <si>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</si>
  <si>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</si>
  <si>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</si>
  <si>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</si>
  <si>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</si>
  <si>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</si>
  <si>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</si>
  <si>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</si>
  <si>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</si>
  <si>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</si>
  <si>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</si>
  <si>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</si>
  <si>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</si>
  <si>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</si>
  <si>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</si>
  <si>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</si>
  <si>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</si>
  <si>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</si>
  <si>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</si>
  <si>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</si>
  <si>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</si>
  <si>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</si>
  <si>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</si>
  <si>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</si>
  <si>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</si>
  <si>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</si>
  <si>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</si>
  <si>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</si>
  <si>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</si>
  <si>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</si>
  <si>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</si>
  <si>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</si>
  <si>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</si>
  <si>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</si>
  <si>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</si>
  <si>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</si>
  <si>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</si>
  <si>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</si>
  <si>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</si>
  <si>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</si>
  <si>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</si>
  <si>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</si>
  <si>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</si>
  <si>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</si>
  <si>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</si>
  <si>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</si>
  <si>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</si>
  <si>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</si>
  <si>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</si>
  <si>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</si>
  <si>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</si>
  <si>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</si>
  <si>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</si>
  <si>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</si>
  <si>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</si>
  <si>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</si>
  <si>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</si>
  <si>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</si>
  <si>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</si>
  <si>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</si>
  <si>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</si>
  <si>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</si>
  <si>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</si>
  <si>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</si>
  <si>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</si>
  <si>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</si>
  <si>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</si>
  <si>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</si>
  <si>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</si>
  <si>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</si>
  <si>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</si>
  <si>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</si>
  <si>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</si>
  <si>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</si>
  <si>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</si>
  <si>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</si>
  <si>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</si>
  <si>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</si>
  <si>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</si>
  <si>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</si>
  <si>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</si>
  <si>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</si>
  <si>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</si>
  <si>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</si>
  <si>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</si>
  <si>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</si>
  <si>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</si>
  <si>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</si>
  <si>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</si>
  <si>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</si>
  <si>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</si>
  <si>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</si>
  <si>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</si>
  <si>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</si>
  <si>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</si>
  <si>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</si>
  <si>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</si>
  <si>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</si>
  <si>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</si>
  <si>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</si>
  <si>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</si>
  <si>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</si>
  <si>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</si>
  <si>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</si>
  <si>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</si>
  <si>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</si>
  <si>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</si>
  <si>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</si>
  <si>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</si>
  <si>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</si>
  <si>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</si>
  <si>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</si>
  <si>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</si>
  <si>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</si>
  <si>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</si>
  <si>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</si>
  <si>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</si>
  <si>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</si>
  <si>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</si>
  <si>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</si>
  <si>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</si>
  <si>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</si>
  <si>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</si>
  <si>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</si>
  <si>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</si>
  <si>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</si>
  <si>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</si>
  <si>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</si>
  <si>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</si>
  <si>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</si>
  <si>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</si>
  <si>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</si>
  <si>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</si>
  <si>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</si>
  <si>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</si>
  <si>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</si>
  <si>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</si>
  <si>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</si>
  <si>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</si>
  <si>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</si>
  <si>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</si>
  <si>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</si>
  <si>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</si>
  <si>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</si>
  <si>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</si>
  <si>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</si>
  <si>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</si>
  <si>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</si>
  <si>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</si>
  <si>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</si>
  <si>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</si>
  <si>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</si>
  <si>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</si>
  <si>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</si>
  <si>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</si>
  <si>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</si>
  <si>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</si>
  <si>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</si>
  <si>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</si>
  <si>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</si>
  <si>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</si>
  <si>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</si>
  <si>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</si>
  <si>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</si>
  <si>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</si>
  <si>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</si>
  <si>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</si>
  <si>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</si>
  <si>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</si>
  <si>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</si>
  <si>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</si>
  <si>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</si>
  <si>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</si>
  <si>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</si>
  <si>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</si>
  <si>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</si>
  <si>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</si>
  <si>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</si>
  <si>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</si>
  <si>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</si>
  <si>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</si>
  <si>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</si>
  <si>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</si>
  <si>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</si>
  <si>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</si>
  <si>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</si>
  <si>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</si>
  <si>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</si>
  <si>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</si>
  <si>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</si>
  <si>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</si>
  <si>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</si>
  <si>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</si>
  <si>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</si>
  <si>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</si>
  <si>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</si>
  <si>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</si>
  <si>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</si>
  <si>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</si>
  <si>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</si>
  <si>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</si>
  <si>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</si>
  <si>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</si>
  <si>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</si>
  <si>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</si>
  <si>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</si>
  <si>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</si>
  <si>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</si>
  <si>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</si>
  <si>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</si>
  <si>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</si>
  <si>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</si>
  <si>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</si>
  <si>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</si>
  <si>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</si>
  <si>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</si>
  <si>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</si>
  <si>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</si>
  <si>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</si>
  <si>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</si>
  <si>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</si>
  <si>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</si>
  <si>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</si>
  <si>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</si>
  <si>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</si>
  <si>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</si>
  <si>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</si>
  <si>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</si>
  <si>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</si>
  <si>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</si>
  <si>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</si>
  <si>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</si>
  <si>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</si>
  <si>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</si>
  <si>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</si>
  <si>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</si>
  <si>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</si>
  <si>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</si>
  <si>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</si>
  <si>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</si>
  <si>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</si>
  <si>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</si>
  <si>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</si>
  <si>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</si>
  <si>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</si>
  <si>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</si>
  <si>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</si>
  <si>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</si>
  <si>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</si>
  <si>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</si>
  <si>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</si>
  <si>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</si>
  <si>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</si>
  <si>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</si>
  <si>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</si>
  <si>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</si>
  <si>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</si>
  <si>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</si>
  <si>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</si>
  <si>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</si>
  <si>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</si>
  <si>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</si>
  <si>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</si>
  <si>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</si>
  <si>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</si>
  <si>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</si>
  <si>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</si>
  <si>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</si>
  <si>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</si>
  <si>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</si>
  <si>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</si>
  <si>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</si>
  <si>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</si>
  <si>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</si>
  <si>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</si>
  <si>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</si>
  <si>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</si>
  <si>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</si>
  <si>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</si>
  <si>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</si>
  <si>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</si>
  <si>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</si>
  <si>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</si>
  <si>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</si>
  <si>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</si>
  <si>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</si>
  <si>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</si>
  <si>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</si>
  <si>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</si>
  <si>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</si>
  <si>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</si>
  <si>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</si>
  <si>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</si>
  <si>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</si>
  <si>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</si>
  <si>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</si>
  <si>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</si>
  <si>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</si>
  <si>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</si>
  <si>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</si>
  <si>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</si>
  <si>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</si>
  <si>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</si>
  <si>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</si>
  <si>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</si>
  <si>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</si>
  <si>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</si>
  <si>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</si>
  <si>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</si>
  <si>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</si>
  <si>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</si>
  <si>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</si>
  <si>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</si>
  <si>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</si>
  <si>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</si>
  <si>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</si>
  <si>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</si>
  <si>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</si>
  <si>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</si>
  <si>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</si>
  <si>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</si>
  <si>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</si>
  <si>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</si>
  <si>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</si>
  <si>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</si>
  <si>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</si>
  <si>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</si>
  <si>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</si>
  <si>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</si>
  <si>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</si>
  <si>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</si>
  <si>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</si>
  <si>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</si>
  <si>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</si>
  <si>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</si>
  <si>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</si>
  <si>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</si>
  <si>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</si>
  <si>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</si>
  <si>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</si>
  <si>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</si>
  <si>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</si>
  <si>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</si>
  <si>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</si>
  <si>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</si>
  <si>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</si>
  <si>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</si>
  <si>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</si>
  <si>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</si>
  <si>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</si>
  <si>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</si>
  <si>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</si>
  <si>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</si>
  <si>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</si>
  <si>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</si>
  <si>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</si>
  <si>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</si>
  <si>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</si>
  <si>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</si>
  <si>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</si>
  <si>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</si>
  <si>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Utility Name: Hamilton Hydro Inc.</t>
  </si>
  <si>
    <t>Y</t>
  </si>
  <si>
    <t>N</t>
  </si>
  <si>
    <t>Employee expenses accrual</t>
  </si>
  <si>
    <t>Pre Sept 30/01 interest</t>
  </si>
  <si>
    <t>Capitalized Fleet Depreciation disallowed for UCC Purposes</t>
  </si>
  <si>
    <t>Reporting period: 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</si>
  <si>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</si>
  <si>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Actual 2001</t>
  </si>
  <si>
    <t>In Deductions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</si>
  <si>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</si>
  <si>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Total deemed interest  (REGINFO CELL D62)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</si>
</sst>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9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vertical="top"/>
    </xf>
    <xf numFmtId="3" fontId="0" fillId="44" borderId="0" xfId="0" applyNumberFormat="1" applyFill="1" applyAlignment="1" applyProtection="1">
      <alignment/>
      <protection/>
    </xf>
    <xf numFmtId="3" fontId="0" fillId="44" borderId="0" xfId="0" applyNumberFormat="1" applyFill="1" applyAlignment="1">
      <alignment/>
    </xf>
    <xf numFmtId="3" fontId="0" fillId="44" borderId="56" xfId="0" applyNumberFormat="1" applyFill="1" applyBorder="1" applyAlignment="1" applyProtection="1">
      <alignment/>
      <protection/>
    </xf>
    <xf numFmtId="3" fontId="0" fillId="44" borderId="59" xfId="0" applyNumberForma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460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489</v>
      </c>
      <c r="C3" s="8"/>
      <c r="D3" s="455" t="s">
        <v>446</v>
      </c>
      <c r="E3" s="8"/>
      <c r="F3" s="8"/>
      <c r="G3" s="8"/>
      <c r="H3" s="8"/>
    </row>
    <row r="4" spans="1:8" ht="12.75">
      <c r="A4" s="2" t="s">
        <v>495</v>
      </c>
      <c r="C4" s="8"/>
      <c r="D4" s="454" t="s">
        <v>441</v>
      </c>
      <c r="E4" s="429"/>
      <c r="H4" s="8"/>
    </row>
    <row r="5" spans="1:8" ht="12.75">
      <c r="A5" s="52"/>
      <c r="C5" s="8"/>
      <c r="D5" s="453" t="s">
        <v>442</v>
      </c>
      <c r="E5" s="399"/>
      <c r="H5" s="8"/>
    </row>
    <row r="6" spans="1:8" ht="12.75">
      <c r="A6" s="2" t="s">
        <v>126</v>
      </c>
      <c r="B6" s="389">
        <v>92</v>
      </c>
      <c r="C6" s="8" t="s">
        <v>127</v>
      </c>
      <c r="D6" s="21"/>
      <c r="H6" s="8"/>
    </row>
    <row r="7" spans="1:8" ht="13.5" thickBot="1">
      <c r="A7" s="52" t="s">
        <v>255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491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491</v>
      </c>
    </row>
    <row r="18" spans="1:4" ht="15" customHeight="1">
      <c r="A18" s="390" t="s">
        <v>314</v>
      </c>
      <c r="C18" s="8"/>
      <c r="D18" s="8"/>
    </row>
    <row r="19" spans="1:4" ht="15" customHeight="1">
      <c r="A19" s="496" t="s">
        <v>315</v>
      </c>
      <c r="B19" s="8" t="s">
        <v>312</v>
      </c>
      <c r="C19" s="8" t="s">
        <v>64</v>
      </c>
      <c r="D19" s="389" t="s">
        <v>490</v>
      </c>
    </row>
    <row r="20" spans="1:4" ht="13.5" thickBot="1">
      <c r="A20" s="497"/>
      <c r="B20" s="8" t="s">
        <v>313</v>
      </c>
      <c r="C20" s="8" t="s">
        <v>64</v>
      </c>
      <c r="D20" s="258" t="s">
        <v>491</v>
      </c>
    </row>
    <row r="21" spans="1:4" ht="12.75">
      <c r="A21" s="496" t="s">
        <v>311</v>
      </c>
      <c r="B21" s="8" t="s">
        <v>312</v>
      </c>
      <c r="C21" s="8"/>
      <c r="D21" s="424">
        <v>0.87</v>
      </c>
    </row>
    <row r="22" spans="1:4" ht="12.75">
      <c r="A22" s="496"/>
      <c r="B22" s="8" t="s">
        <v>313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211</v>
      </c>
      <c r="C24" s="8" t="s">
        <v>212</v>
      </c>
      <c r="D24" s="425">
        <v>37256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296</v>
      </c>
    </row>
    <row r="27" spans="1:5" ht="12.75">
      <c r="A27" s="256" t="s">
        <v>68</v>
      </c>
      <c r="C27" s="8"/>
      <c r="E27" s="445" t="s">
        <v>297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286</v>
      </c>
      <c r="D31" s="422">
        <v>247324048</v>
      </c>
      <c r="H31" s="5"/>
    </row>
    <row r="32" ht="6" customHeight="1"/>
    <row r="33" spans="1:8" ht="12.75">
      <c r="A33" t="s">
        <v>71</v>
      </c>
      <c r="D33" s="423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20518003.02208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4776987</v>
      </c>
      <c r="E43" s="388">
        <f>D43</f>
        <v>4776987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15741016.02208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7">
        <v>874501</v>
      </c>
      <c r="E47" s="388">
        <f aca="true" t="shared" si="0" ref="E47:E53">D47</f>
        <v>874501</v>
      </c>
      <c r="H47" s="40"/>
      <c r="J47" s="5"/>
      <c r="K47" s="5"/>
    </row>
    <row r="48" spans="1:11" ht="12.75">
      <c r="A48" t="s">
        <v>289</v>
      </c>
      <c r="D48" s="427">
        <v>9619510</v>
      </c>
      <c r="E48" s="388">
        <f>D48</f>
        <v>9619510</v>
      </c>
      <c r="F48" s="22"/>
      <c r="H48" s="40"/>
      <c r="J48" s="5"/>
      <c r="K48" s="5"/>
    </row>
    <row r="49" spans="1:11" ht="12.75">
      <c r="A49" t="s">
        <v>290</v>
      </c>
      <c r="D49" s="428">
        <v>5247005</v>
      </c>
      <c r="E49" s="388">
        <v>0</v>
      </c>
      <c r="F49" s="22"/>
      <c r="H49" s="40"/>
      <c r="J49" s="5"/>
      <c r="K49" s="5"/>
    </row>
    <row r="50" spans="1:11" ht="12.75">
      <c r="A50" t="s">
        <v>291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438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462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292</v>
      </c>
      <c r="E54" s="254">
        <f>SUM(E43:E53)</f>
        <v>15270998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111295821.60000001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10996027.174080001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136028226.4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9521975.848000001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2622737.319189971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7086950.6147540985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7086950.6147540985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3">
        <f>D62</f>
        <v>9521975.848000001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C-2-1
Filed: March 28, 2012</oddHeader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Layout" zoomScaleNormal="90" workbookViewId="0" topLeftCell="A1">
      <selection activeCell="G46" sqref="G46:H4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Hamilton Hydro Inc.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92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255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342</v>
      </c>
      <c r="B16" s="125">
        <v>1</v>
      </c>
      <c r="C16" s="260">
        <v>2068748</v>
      </c>
      <c r="D16" s="17"/>
      <c r="E16" s="268">
        <f>G16-C16</f>
        <v>-6726041</v>
      </c>
      <c r="F16" s="3"/>
      <c r="G16" s="268">
        <f>TAXREC!E50</f>
        <v>-4657293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2892547</v>
      </c>
      <c r="D20" s="18"/>
      <c r="E20" s="268">
        <f>G20-C20</f>
        <v>440439</v>
      </c>
      <c r="F20" s="6"/>
      <c r="G20" s="268">
        <f>TAXREC!E61</f>
        <v>3332986</v>
      </c>
      <c r="H20" s="151"/>
    </row>
    <row r="21" spans="1:8" ht="12.75">
      <c r="A21" s="158" t="s">
        <v>56</v>
      </c>
      <c r="B21" s="127">
        <v>3</v>
      </c>
      <c r="C21" s="262">
        <v>377492</v>
      </c>
      <c r="D21" s="18"/>
      <c r="E21" s="268">
        <f>G21-C21</f>
        <v>-175000</v>
      </c>
      <c r="F21" s="6"/>
      <c r="G21" s="268">
        <f>TAXREC!E62</f>
        <v>202492</v>
      </c>
      <c r="H21" s="151"/>
    </row>
    <row r="22" spans="1:8" ht="12.75">
      <c r="A22" s="158" t="s">
        <v>263</v>
      </c>
      <c r="B22" s="127">
        <v>4</v>
      </c>
      <c r="C22" s="262"/>
      <c r="D22" s="18"/>
      <c r="E22" s="268">
        <f>G22-C22</f>
        <v>450000</v>
      </c>
      <c r="F22" s="6"/>
      <c r="G22" s="268">
        <f>TAXREC!E63</f>
        <v>450000</v>
      </c>
      <c r="H22" s="151"/>
    </row>
    <row r="23" spans="1:8" ht="12.75">
      <c r="A23" s="158" t="s">
        <v>262</v>
      </c>
      <c r="B23" s="127">
        <v>4</v>
      </c>
      <c r="C23" s="262"/>
      <c r="D23" s="18"/>
      <c r="E23" s="268">
        <f>G23-C23</f>
        <v>1465700</v>
      </c>
      <c r="F23" s="6"/>
      <c r="G23" s="268">
        <f>TAXREC!E64</f>
        <v>1465700</v>
      </c>
      <c r="H23" s="151"/>
    </row>
    <row r="24" spans="1:8" ht="12.75">
      <c r="A24" s="158" t="s">
        <v>264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186033</v>
      </c>
      <c r="F28" s="6"/>
      <c r="G28" s="268">
        <f>TAXREC!E67</f>
        <v>186033</v>
      </c>
      <c r="H28" s="151"/>
    </row>
    <row r="29" spans="1:8" ht="12.75">
      <c r="A29" s="158" t="s">
        <v>157</v>
      </c>
      <c r="B29" s="127">
        <v>6</v>
      </c>
      <c r="C29" s="262">
        <f>528+186033</f>
        <v>186561</v>
      </c>
      <c r="D29" s="18"/>
      <c r="E29" s="268">
        <f>G29-C29</f>
        <v>-186561</v>
      </c>
      <c r="F29" s="6"/>
      <c r="G29" s="268">
        <f>TAXREC!E68</f>
        <v>0</v>
      </c>
      <c r="H29" s="151"/>
    </row>
    <row r="30" spans="1:8" ht="15.75">
      <c r="A30" s="484" t="s">
        <v>394</v>
      </c>
      <c r="B30" s="127"/>
      <c r="C30" s="260"/>
      <c r="D30" s="18"/>
      <c r="E30" s="268">
        <f>G30-C30</f>
        <v>158869</v>
      </c>
      <c r="F30" s="6"/>
      <c r="G30" s="268">
        <f>TAXREC!E66</f>
        <v>158869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343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1118595</v>
      </c>
      <c r="D33" s="132"/>
      <c r="E33" s="268">
        <f aca="true" t="shared" si="0" ref="E33:E42">G33-C33</f>
        <v>3140173</v>
      </c>
      <c r="F33" s="6"/>
      <c r="G33" s="268">
        <f>TAXREC!E97+TAXREC!E98</f>
        <v>4258768</v>
      </c>
      <c r="H33" s="151"/>
    </row>
    <row r="34" spans="1:8" ht="12.75">
      <c r="A34" s="158" t="s">
        <v>57</v>
      </c>
      <c r="B34" s="127">
        <v>8</v>
      </c>
      <c r="C34" s="262">
        <v>278827</v>
      </c>
      <c r="D34" s="132"/>
      <c r="E34" s="268">
        <f t="shared" si="0"/>
        <v>-96005</v>
      </c>
      <c r="F34" s="6"/>
      <c r="G34" s="268">
        <f>TAXREC!E99</f>
        <v>182822</v>
      </c>
      <c r="H34" s="151"/>
    </row>
    <row r="35" spans="1:8" ht="12.75">
      <c r="A35" s="158" t="s">
        <v>45</v>
      </c>
      <c r="B35" s="127">
        <v>9</v>
      </c>
      <c r="C35" s="262"/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265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v>960062</v>
      </c>
      <c r="D37" s="132"/>
      <c r="E37" s="268">
        <f t="shared" si="0"/>
        <v>1296002</v>
      </c>
      <c r="F37" s="6"/>
      <c r="G37" s="268">
        <f>TAXREC!E51</f>
        <v>2256064</v>
      </c>
      <c r="H37" s="151"/>
    </row>
    <row r="38" spans="1:8" ht="12.75">
      <c r="A38" s="155" t="s">
        <v>261</v>
      </c>
      <c r="B38" s="125">
        <v>4</v>
      </c>
      <c r="C38" s="262"/>
      <c r="D38" s="132"/>
      <c r="E38" s="268">
        <f t="shared" si="0"/>
        <v>665000</v>
      </c>
      <c r="F38" s="6"/>
      <c r="G38" s="268">
        <f>TAXREC!E104</f>
        <v>665000</v>
      </c>
      <c r="H38" s="151"/>
    </row>
    <row r="39" spans="1:8" ht="12.75">
      <c r="A39" s="155" t="s">
        <v>260</v>
      </c>
      <c r="B39" s="125">
        <v>4</v>
      </c>
      <c r="C39" s="262"/>
      <c r="D39" s="132"/>
      <c r="E39" s="268">
        <f t="shared" si="0"/>
        <v>675000</v>
      </c>
      <c r="F39" s="6"/>
      <c r="G39" s="268">
        <f>TAXREC!E105</f>
        <v>675000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84" t="s">
        <v>394</v>
      </c>
      <c r="B48" s="127"/>
      <c r="C48" s="260"/>
      <c r="D48" s="132"/>
      <c r="E48" s="268">
        <f>G48-C48</f>
        <v>8250835</v>
      </c>
      <c r="F48" s="6"/>
      <c r="G48" s="251">
        <f>TAXREC!E108</f>
        <v>8250835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329</v>
      </c>
      <c r="B50" s="125"/>
      <c r="C50" s="264">
        <f>C16+SUM(C20:C30)-SUM(C33:C48)</f>
        <v>3167864</v>
      </c>
      <c r="D50" s="102"/>
      <c r="E50" s="264">
        <f>E16+SUM(E20:E30)-SUM(E33:E48)</f>
        <v>-18317566</v>
      </c>
      <c r="F50" s="432"/>
      <c r="G50" s="264">
        <f>G16+SUM(G20:G30)-SUM(G33:G48)</f>
        <v>-15149702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337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341</v>
      </c>
      <c r="B53" s="127">
        <v>13</v>
      </c>
      <c r="C53" s="263">
        <v>0.4062</v>
      </c>
      <c r="D53" s="102"/>
      <c r="E53" s="269">
        <f>+G53-C53</f>
        <v>-0.020000000000000018</v>
      </c>
      <c r="F53" s="114"/>
      <c r="G53" s="473">
        <f>TAXREC!E151</f>
        <v>0.3862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1286786.3568</v>
      </c>
      <c r="D55" s="102"/>
      <c r="E55" s="268">
        <f>G55-C55</f>
        <v>-1286786.3568</v>
      </c>
      <c r="F55" s="432"/>
      <c r="G55" s="265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2"/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1286786.3568</v>
      </c>
      <c r="D60" s="133"/>
      <c r="E60" s="270">
        <f>+E55-E58</f>
        <v>-1286786.3568</v>
      </c>
      <c r="F60" s="432"/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247324048</v>
      </c>
      <c r="D66" s="102"/>
      <c r="E66" s="268">
        <f>G66-C66</f>
        <v>80412178</v>
      </c>
      <c r="F66" s="6"/>
      <c r="G66" s="475">
        <v>327736226</v>
      </c>
      <c r="H66" s="151"/>
      <c r="I66" s="476" t="s">
        <v>474</v>
      </c>
    </row>
    <row r="67" spans="1:10" ht="12.75">
      <c r="A67" s="152" t="s">
        <v>362</v>
      </c>
      <c r="B67" s="125">
        <v>16</v>
      </c>
      <c r="C67" s="261">
        <f>IF(C66&gt;0,'Tax Rates'!C21,0)</f>
        <v>5000000</v>
      </c>
      <c r="D67" s="102"/>
      <c r="E67" s="268">
        <f>G67-C67</f>
        <v>-582271</v>
      </c>
      <c r="F67" s="6"/>
      <c r="G67" s="475">
        <v>4417729</v>
      </c>
      <c r="H67" s="151"/>
      <c r="I67" s="476" t="s">
        <v>474</v>
      </c>
      <c r="J67" s="477"/>
    </row>
    <row r="68" spans="1:8" ht="12.75">
      <c r="A68" s="152" t="s">
        <v>42</v>
      </c>
      <c r="B68" s="125"/>
      <c r="C68" s="265">
        <f>IF((C66-C67)&gt;0,C66-C67,0)</f>
        <v>242324048</v>
      </c>
      <c r="D68" s="102"/>
      <c r="E68" s="268">
        <f>SUM(E66:E67)</f>
        <v>79829907</v>
      </c>
      <c r="F68" s="114"/>
      <c r="G68" s="265">
        <f>G66-G67</f>
        <v>323318497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363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316</v>
      </c>
      <c r="B72" s="125"/>
      <c r="C72" s="265">
        <f>IF(C68&gt;0,C68*C70,0)*0.25</f>
        <v>181743.036</v>
      </c>
      <c r="D72" s="101"/>
      <c r="E72" s="268">
        <f>+G72-C72</f>
        <v>62738.895978082204</v>
      </c>
      <c r="F72" s="478"/>
      <c r="G72" s="265">
        <f>IF(G68&gt;0,G68*G70,0)*REGINFO!$B$6/REGINFO!$B$7</f>
        <v>244481.9319780822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247324048</v>
      </c>
      <c r="D75" s="102"/>
      <c r="E75" s="268">
        <f>+G75-C75</f>
        <v>81040318</v>
      </c>
      <c r="F75" s="6"/>
      <c r="G75" s="475">
        <v>328364366</v>
      </c>
      <c r="H75" s="151"/>
      <c r="I75" s="476" t="s">
        <v>474</v>
      </c>
    </row>
    <row r="76" spans="1:9" ht="12.75">
      <c r="A76" s="152" t="s">
        <v>362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475">
        <f>'Tax Rates'!C58</f>
        <v>10000000</v>
      </c>
      <c r="H76" s="151"/>
      <c r="I76" s="476" t="s">
        <v>474</v>
      </c>
    </row>
    <row r="77" spans="1:8" ht="12.75">
      <c r="A77" s="152" t="s">
        <v>42</v>
      </c>
      <c r="B77" s="125"/>
      <c r="C77" s="265">
        <f>IF((C75-C76)&gt;0,C75-C76,0)</f>
        <v>237324048</v>
      </c>
      <c r="D77" s="19"/>
      <c r="E77" s="268">
        <f>SUM(E75:E76)</f>
        <v>81040318</v>
      </c>
      <c r="F77" s="114"/>
      <c r="G77" s="265">
        <f>G75-G76</f>
        <v>318364366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363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5">
        <f>IF(C77&gt;0,C77*C79,0)*0.25</f>
        <v>133494.777</v>
      </c>
      <c r="D81" s="102"/>
      <c r="E81" s="268">
        <f>+G81-C81</f>
        <v>47057.06892328765</v>
      </c>
      <c r="F81" s="6"/>
      <c r="G81" s="265">
        <f>G77*G79*B9/B10</f>
        <v>180551.84592328765</v>
      </c>
      <c r="H81" s="151"/>
    </row>
    <row r="82" spans="1:8" ht="12.75">
      <c r="A82" s="152" t="s">
        <v>318</v>
      </c>
      <c r="B82" s="125">
        <v>21</v>
      </c>
      <c r="C82" s="301">
        <f>IF(C77&gt;0,IF(C60&gt;0,C50*'Tax Rates'!C20,0),0)</f>
        <v>35480.0768</v>
      </c>
      <c r="D82" s="102"/>
      <c r="E82" s="268">
        <f>+G82-C82</f>
        <v>-35480.0768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98014.70019999999</v>
      </c>
      <c r="D84" s="16"/>
      <c r="E84" s="268">
        <f>E81-E82</f>
        <v>82537.14572328766</v>
      </c>
      <c r="F84" s="103"/>
      <c r="G84" s="265">
        <f>G81-G82</f>
        <v>180551.84592328765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3">
        <v>0.395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368</v>
      </c>
      <c r="B90" s="127">
        <v>22</v>
      </c>
      <c r="C90" s="265">
        <v>2126919</v>
      </c>
      <c r="D90" s="20"/>
      <c r="E90" s="139"/>
      <c r="F90" s="431" t="s">
        <v>497</v>
      </c>
      <c r="G90" s="271">
        <f>+TAXREC!C156</f>
        <v>0</v>
      </c>
      <c r="H90" s="151"/>
    </row>
    <row r="91" spans="1:8" ht="12.75">
      <c r="A91" s="158" t="s">
        <v>369</v>
      </c>
      <c r="B91" s="127">
        <v>23</v>
      </c>
      <c r="C91" s="265">
        <f>C84/(1-C88)</f>
        <v>162007.76892561984</v>
      </c>
      <c r="D91" s="20"/>
      <c r="E91" s="139"/>
      <c r="F91" s="431" t="s">
        <v>497</v>
      </c>
      <c r="G91" s="271">
        <f>+TAXREC!C157</f>
        <v>244482</v>
      </c>
      <c r="H91" s="151"/>
    </row>
    <row r="92" spans="1:8" ht="12.75">
      <c r="A92" s="158" t="s">
        <v>350</v>
      </c>
      <c r="B92" s="127">
        <v>24</v>
      </c>
      <c r="C92" s="265">
        <f>C72</f>
        <v>181743.036</v>
      </c>
      <c r="D92" s="20"/>
      <c r="E92" s="139"/>
      <c r="F92" s="431" t="s">
        <v>497</v>
      </c>
      <c r="G92" s="271">
        <f>+TAXREC!C158</f>
        <v>180552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496</v>
      </c>
      <c r="B95" s="125">
        <v>25</v>
      </c>
      <c r="C95" s="270">
        <f>SUM(C90:C93)</f>
        <v>2470669.8049256196</v>
      </c>
      <c r="D95" s="6"/>
      <c r="E95" s="139"/>
      <c r="F95" s="431" t="s">
        <v>497</v>
      </c>
      <c r="G95" s="414">
        <f>SUM(G90:G94)</f>
        <v>425034</v>
      </c>
      <c r="H95" s="164"/>
    </row>
    <row r="96" spans="1:8" ht="12.75">
      <c r="A96" s="404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348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-175000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450000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1465700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364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365</v>
      </c>
      <c r="B107" s="127">
        <v>6</v>
      </c>
      <c r="C107" s="112"/>
      <c r="D107" s="3"/>
      <c r="E107" s="251">
        <f>E28</f>
        <v>186033</v>
      </c>
      <c r="F107" s="37"/>
      <c r="G107" s="201"/>
      <c r="H107" s="164"/>
    </row>
    <row r="108" spans="1:8" ht="12.75">
      <c r="A108" s="156" t="s">
        <v>498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-96005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321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665000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675000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366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367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219</v>
      </c>
      <c r="B120" s="127">
        <v>26</v>
      </c>
      <c r="C120" s="112"/>
      <c r="D120" s="117" t="s">
        <v>189</v>
      </c>
      <c r="E120" s="265">
        <f>SUM(E102:E107)-SUM(E109:E118)</f>
        <v>682738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499</v>
      </c>
      <c r="B122" s="127"/>
      <c r="C122" s="112"/>
      <c r="D122" s="3" t="s">
        <v>230</v>
      </c>
      <c r="E122" s="469">
        <v>0.4062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277328.1756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277328.1756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9">
        <v>0.395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354</v>
      </c>
      <c r="B132" s="130"/>
      <c r="C132" s="112"/>
      <c r="D132" s="3"/>
      <c r="E132" s="264">
        <f>E128/(1-E130)</f>
        <v>458393.67867768597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357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234</v>
      </c>
      <c r="B136" s="130"/>
      <c r="C136" s="112"/>
      <c r="D136" s="118" t="s">
        <v>189</v>
      </c>
      <c r="E136" s="303">
        <f>C50</f>
        <v>3167864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469">
        <v>0.4062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4">
        <f>IF(E136&gt;0,E136*E138,0)</f>
        <v>1286786.3568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3">
        <f>E140-E142</f>
        <v>1286786.3568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238</v>
      </c>
      <c r="B146" s="130"/>
      <c r="C146" s="112"/>
      <c r="D146" s="118" t="s">
        <v>188</v>
      </c>
      <c r="E146" s="303">
        <f>C60</f>
        <v>1286786.3568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3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3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247324048</v>
      </c>
      <c r="F151" s="37"/>
      <c r="G151" s="201"/>
      <c r="H151" s="164"/>
    </row>
    <row r="152" spans="1:8" ht="12.75">
      <c r="A152" s="171" t="s">
        <v>360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3">
        <f>E151-E152</f>
        <v>242324048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361</v>
      </c>
      <c r="B155" s="130"/>
      <c r="C155" s="112"/>
      <c r="D155" s="119" t="s">
        <v>230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3">
        <f>IF(E153&gt;0,E153*E155*0.25,0)</f>
        <v>181743.036</v>
      </c>
      <c r="F157" s="37"/>
      <c r="G157" s="201"/>
      <c r="H157" s="164"/>
    </row>
    <row r="158" spans="1:8" ht="25.5">
      <c r="A158" s="171" t="s">
        <v>308</v>
      </c>
      <c r="B158" s="130"/>
      <c r="C158" s="112"/>
      <c r="D158" s="118" t="s">
        <v>188</v>
      </c>
      <c r="E158" s="306">
        <f>C72</f>
        <v>181743.036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235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247324048</v>
      </c>
      <c r="F162" s="37"/>
      <c r="G162" s="201"/>
      <c r="H162" s="164"/>
    </row>
    <row r="163" spans="1:8" ht="12.75">
      <c r="A163" s="171" t="s">
        <v>359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3">
        <f>E162-E163</f>
        <v>237324048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3">
        <f>IF(E164&gt;0,E164*E166*0.25,0)</f>
        <v>133494.777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188</v>
      </c>
      <c r="E169" s="308">
        <f>IF(E164&gt;0,IF(E144&gt;0,E136*'Tax Rates'!C56,0),0)</f>
        <v>35480.0768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3">
        <f>E168-E169</f>
        <v>98014.70019999999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349</v>
      </c>
      <c r="B172" s="130"/>
      <c r="C172" s="112"/>
      <c r="D172" s="118" t="s">
        <v>188</v>
      </c>
      <c r="E172" s="306">
        <f>C84</f>
        <v>98014.70019999999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346</v>
      </c>
      <c r="B175" s="130"/>
      <c r="C175" s="112"/>
      <c r="D175" s="119"/>
      <c r="E175" s="469">
        <v>0.395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3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355</v>
      </c>
      <c r="B181" s="130"/>
      <c r="C181" s="112"/>
      <c r="D181" s="119" t="s">
        <v>189</v>
      </c>
      <c r="E181" s="303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347</v>
      </c>
      <c r="B183" s="130"/>
      <c r="C183" s="112"/>
      <c r="D183" s="119" t="s">
        <v>187</v>
      </c>
      <c r="E183" s="303">
        <f>E132</f>
        <v>458393.67867768597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356</v>
      </c>
      <c r="B185" s="130"/>
      <c r="C185" s="112"/>
      <c r="D185" s="119" t="s">
        <v>189</v>
      </c>
      <c r="E185" s="303">
        <f>E181+E183</f>
        <v>458393.67867768597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9">
        <f>REGINFO!D62</f>
        <v>9521975.848000001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9">
        <f>+REGINFO!D64</f>
        <v>2622737.319189971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344</v>
      </c>
      <c r="B196" s="127"/>
      <c r="C196" s="112"/>
      <c r="D196" s="120"/>
      <c r="E196" s="309">
        <f>E193-E194</f>
        <v>6899238.52881003</v>
      </c>
      <c r="F196" s="3"/>
      <c r="G196" s="123"/>
      <c r="H196" s="164"/>
    </row>
    <row r="197" spans="1:8" ht="12.75">
      <c r="A197" s="155" t="s">
        <v>345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87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7"/>
      <c r="H200" s="164"/>
    </row>
    <row r="201" spans="1:8" ht="12.75">
      <c r="A201" s="155" t="s">
        <v>251</v>
      </c>
      <c r="B201" s="127"/>
      <c r="C201" s="112"/>
      <c r="D201" s="120"/>
      <c r="E201" s="309">
        <f>G37+G42</f>
        <v>2256064</v>
      </c>
      <c r="F201" s="3"/>
      <c r="G201" s="487"/>
      <c r="H201" s="164"/>
    </row>
    <row r="202" spans="1:8" ht="12.75">
      <c r="A202" s="495" t="s">
        <v>500</v>
      </c>
      <c r="B202" s="127"/>
      <c r="C202" s="112"/>
      <c r="D202" s="120"/>
      <c r="E202" s="309">
        <f>REGINFO!D62</f>
        <v>9521975.848000001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320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10">
        <f>+E196-E204</f>
        <v>6899238.52881003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C-2-1
Filed: March 28, 2012</oddHeader>
    <oddFooter>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Layout" workbookViewId="0" topLeftCell="A106">
      <selection activeCell="C110" sqref="C11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Hamilton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92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9" t="s">
        <v>491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9" t="s">
        <v>491</v>
      </c>
      <c r="D15" s="25"/>
      <c r="E15" s="25"/>
      <c r="F15" s="20"/>
      <c r="G15" s="3"/>
      <c r="H15" s="3"/>
      <c r="I15" s="3"/>
    </row>
    <row r="16" spans="1:9" ht="12.75">
      <c r="A16" s="300" t="s">
        <v>227</v>
      </c>
      <c r="B16" s="20" t="s">
        <v>64</v>
      </c>
      <c r="C16" s="489" t="s">
        <v>490</v>
      </c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489" t="s">
        <v>490</v>
      </c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327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258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222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325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326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273</v>
      </c>
      <c r="B31" s="23" t="s">
        <v>187</v>
      </c>
      <c r="C31" s="286"/>
      <c r="D31" s="287"/>
      <c r="E31" s="285">
        <f>C31-D31</f>
        <v>0</v>
      </c>
      <c r="F31" s="11"/>
      <c r="G31" s="11"/>
      <c r="H31" s="6"/>
      <c r="I31" s="6"/>
    </row>
    <row r="32" spans="1:9" ht="12.75">
      <c r="A32" s="4" t="s">
        <v>220</v>
      </c>
      <c r="B32" s="23" t="s">
        <v>187</v>
      </c>
      <c r="C32" s="286">
        <v>6310377</v>
      </c>
      <c r="D32" s="287"/>
      <c r="E32" s="285">
        <f>C32-D32</f>
        <v>6310377</v>
      </c>
      <c r="F32" s="11"/>
      <c r="G32" s="11"/>
      <c r="H32" s="6"/>
      <c r="I32" s="6"/>
    </row>
    <row r="33" spans="1:9" ht="12.75">
      <c r="A33" s="4" t="s">
        <v>210</v>
      </c>
      <c r="B33" s="23" t="s">
        <v>187</v>
      </c>
      <c r="C33" s="286">
        <v>799673</v>
      </c>
      <c r="D33" s="287"/>
      <c r="E33" s="285">
        <f>C33-D33</f>
        <v>799673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188</v>
      </c>
      <c r="C39" s="286"/>
      <c r="D39" s="287"/>
      <c r="E39" s="285">
        <f>C39-D39</f>
        <v>0</v>
      </c>
      <c r="F39" s="11"/>
      <c r="G39" s="11"/>
      <c r="H39" s="6"/>
      <c r="I39" s="6"/>
    </row>
    <row r="40" spans="1:9" ht="12.75">
      <c r="A40" s="46" t="s">
        <v>209</v>
      </c>
      <c r="B40" s="23" t="s">
        <v>188</v>
      </c>
      <c r="C40" s="286">
        <v>5700692</v>
      </c>
      <c r="D40" s="287"/>
      <c r="E40" s="285">
        <f aca="true" t="shared" si="0" ref="E40:E48">C40-D40</f>
        <v>5700692</v>
      </c>
      <c r="F40" s="11"/>
      <c r="G40" s="11"/>
      <c r="H40" s="6"/>
      <c r="I40" s="6"/>
    </row>
    <row r="41" spans="1:9" ht="12.75">
      <c r="A41" s="4" t="s">
        <v>274</v>
      </c>
      <c r="B41" s="23" t="s">
        <v>188</v>
      </c>
      <c r="C41" s="286"/>
      <c r="D41" s="287"/>
      <c r="E41" s="285">
        <f t="shared" si="0"/>
        <v>0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6">
        <f>2357215+116978</f>
        <v>2474193</v>
      </c>
      <c r="D42" s="287"/>
      <c r="E42" s="285">
        <f t="shared" si="0"/>
        <v>2474193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6">
        <v>3332458</v>
      </c>
      <c r="D43" s="287"/>
      <c r="E43" s="285">
        <f t="shared" si="0"/>
        <v>3332458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6">
        <v>260000</v>
      </c>
      <c r="D44" s="287"/>
      <c r="E44" s="285">
        <f t="shared" si="0"/>
        <v>260000</v>
      </c>
      <c r="F44" s="11"/>
      <c r="G44" s="11"/>
      <c r="H44" s="6"/>
      <c r="I44" s="6"/>
    </row>
    <row r="45" spans="1:11" ht="12.75">
      <c r="A45" s="4" t="s">
        <v>487</v>
      </c>
      <c r="B45" s="23" t="s">
        <v>188</v>
      </c>
      <c r="C45" s="286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-4657293</v>
      </c>
      <c r="D50" s="282">
        <f>SUM(D31:D36)-SUM(D39:D49)</f>
        <v>0</v>
      </c>
      <c r="E50" s="282">
        <f>SUM(E31:E35)-SUM(E39:E48)</f>
        <v>-4657293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2256064</v>
      </c>
      <c r="D51" s="286"/>
      <c r="E51" s="283">
        <f>+C51-D51</f>
        <v>2256064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6">
        <f>-5781414+2916978</f>
        <v>-2864436</v>
      </c>
      <c r="D52" s="286"/>
      <c r="E52" s="284">
        <f>+C52-D52</f>
        <v>-2864436</v>
      </c>
      <c r="F52" s="8"/>
    </row>
    <row r="53" spans="1:6" ht="12.75">
      <c r="A53" s="2" t="s">
        <v>131</v>
      </c>
      <c r="B53" s="8" t="s">
        <v>189</v>
      </c>
      <c r="C53" s="282">
        <f>C50-C51-C52</f>
        <v>-4048921</v>
      </c>
      <c r="D53" s="282">
        <f>D50-D51-D52</f>
        <v>0</v>
      </c>
      <c r="E53" s="282">
        <f>E50-E51-E52</f>
        <v>-4048921</v>
      </c>
      <c r="F53" s="8"/>
    </row>
    <row r="54" spans="1:6" ht="24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-2864436</v>
      </c>
      <c r="D59" s="288">
        <f>D52</f>
        <v>0</v>
      </c>
      <c r="E59" s="273">
        <f>+C59-D59</f>
        <v>-2864436</v>
      </c>
      <c r="F59" s="8"/>
    </row>
    <row r="60" spans="1:6" ht="12.75">
      <c r="A60" s="4" t="s">
        <v>328</v>
      </c>
      <c r="B60" s="8" t="s">
        <v>187</v>
      </c>
      <c r="C60" s="318"/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479">
        <f>C43+528</f>
        <v>3332986</v>
      </c>
      <c r="D61" s="288">
        <f>D43</f>
        <v>0</v>
      </c>
      <c r="E61" s="273">
        <f>+C61-D61</f>
        <v>3332986</v>
      </c>
      <c r="F61" s="8"/>
      <c r="G61" s="416"/>
    </row>
    <row r="62" spans="1:6" ht="12.75">
      <c r="A62" t="s">
        <v>6</v>
      </c>
      <c r="B62" s="8" t="s">
        <v>187</v>
      </c>
      <c r="C62" s="318">
        <v>202492</v>
      </c>
      <c r="D62" s="288">
        <v>0</v>
      </c>
      <c r="E62" s="273">
        <f>+C62-D62</f>
        <v>202492</v>
      </c>
      <c r="F62" s="8"/>
    </row>
    <row r="63" spans="1:6" ht="12.75">
      <c r="A63" s="31" t="s">
        <v>278</v>
      </c>
      <c r="B63" s="8" t="s">
        <v>187</v>
      </c>
      <c r="C63" s="316">
        <f>'Tax Reserves'!C22</f>
        <v>450000</v>
      </c>
      <c r="D63" s="317">
        <f>'Tax Reserves'!D22</f>
        <v>0</v>
      </c>
      <c r="E63" s="273">
        <f>C63-D63</f>
        <v>450000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1465700</v>
      </c>
      <c r="D64" s="317">
        <f>'Tax Reserves'!D63</f>
        <v>0</v>
      </c>
      <c r="E64" s="273">
        <f>+C64-D64</f>
        <v>1465700</v>
      </c>
      <c r="F64" s="8"/>
    </row>
    <row r="65" spans="1:6" ht="12.75">
      <c r="A65" t="s">
        <v>443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7" t="s">
        <v>394</v>
      </c>
      <c r="B66" s="8"/>
      <c r="C66" s="447">
        <f>'TAXREC 3 No True-up'!C47</f>
        <v>158869</v>
      </c>
      <c r="D66" s="447">
        <f>'TAXREC 3 No True-up'!D47</f>
        <v>0</v>
      </c>
      <c r="E66" s="273">
        <f>+C66-D66</f>
        <v>158869</v>
      </c>
      <c r="F66" s="8"/>
    </row>
    <row r="67" spans="1:6" ht="12.75">
      <c r="A67" t="s">
        <v>160</v>
      </c>
      <c r="B67" s="8" t="s">
        <v>187</v>
      </c>
      <c r="C67" s="251">
        <f>'TAXREC 2'!C77</f>
        <v>186033</v>
      </c>
      <c r="D67" s="251">
        <f>'TAXREC 2'!D77</f>
        <v>0</v>
      </c>
      <c r="E67" s="273">
        <f>+C67-D67</f>
        <v>186033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2931644</v>
      </c>
      <c r="D70" s="273">
        <f>SUM(D59:D68)</f>
        <v>0</v>
      </c>
      <c r="E70" s="273">
        <f>SUM(E59:E68)</f>
        <v>2931644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477</v>
      </c>
      <c r="B76" s="8" t="s">
        <v>187</v>
      </c>
      <c r="C76" s="480"/>
      <c r="D76" s="295"/>
      <c r="E76" s="48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2931644</v>
      </c>
      <c r="D82" s="251">
        <f>D70+D80</f>
        <v>0</v>
      </c>
      <c r="E82" s="251">
        <f>E70+E80</f>
        <v>2931644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431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3897934</v>
      </c>
      <c r="D97" s="295"/>
      <c r="E97" s="273">
        <f>+C97-D97</f>
        <v>3897934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360834</v>
      </c>
      <c r="D98" s="295"/>
      <c r="E98" s="273">
        <f>+C98-D98</f>
        <v>360834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>
        <v>182822</v>
      </c>
      <c r="D99" s="295"/>
      <c r="E99" s="273">
        <f>+C99-D99</f>
        <v>182822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9">
        <f>'Tax Reserves'!C35</f>
        <v>665000</v>
      </c>
      <c r="D104" s="319">
        <f>'Tax Reserves'!D35</f>
        <v>0</v>
      </c>
      <c r="E104" s="273">
        <f t="shared" si="5"/>
        <v>665000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9">
        <f>'Tax Reserves'!C50</f>
        <v>675000</v>
      </c>
      <c r="D105" s="319">
        <f>'Tax Reserves'!D50</f>
        <v>0</v>
      </c>
      <c r="E105" s="283">
        <f t="shared" si="5"/>
        <v>675000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394</v>
      </c>
      <c r="B108" s="8"/>
      <c r="C108" s="254">
        <f>'TAXREC 3 No True-up'!C73</f>
        <v>8250835</v>
      </c>
      <c r="D108" s="254">
        <f>'TAXREC 3 No True-up'!D73</f>
        <v>0</v>
      </c>
      <c r="E108" s="273">
        <f t="shared" si="5"/>
        <v>8250835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14032425</v>
      </c>
      <c r="D113" s="251">
        <f>SUM(D97:D111)</f>
        <v>0</v>
      </c>
      <c r="E113" s="251">
        <f>SUM(E97:E111)</f>
        <v>14032425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14032425</v>
      </c>
      <c r="D122" s="251">
        <f>D113+D120</f>
        <v>0</v>
      </c>
      <c r="E122" s="251">
        <f>+E113+E120</f>
        <v>14032425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-15149702</v>
      </c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-15149702</v>
      </c>
      <c r="D134" s="251">
        <f>D53+D82-D122</f>
        <v>0</v>
      </c>
      <c r="E134" s="251">
        <f>E53+E82-E122</f>
        <v>-15149702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86">
        <f>I133-I134</f>
        <v>-16696496</v>
      </c>
      <c r="J135" s="45" t="s">
        <v>313</v>
      </c>
      <c r="K135" s="45"/>
    </row>
    <row r="136" spans="1:11" ht="12.75">
      <c r="A136" s="12" t="s">
        <v>374</v>
      </c>
      <c r="B136" s="8" t="s">
        <v>188</v>
      </c>
      <c r="C136" s="295"/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375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-15149702</v>
      </c>
      <c r="D139" s="252">
        <f>D134-D136-D137-D138</f>
        <v>0</v>
      </c>
      <c r="E139" s="252">
        <f>E134-E136-E137-E138</f>
        <v>-15149702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324</v>
      </c>
      <c r="B142" s="8" t="s">
        <v>187</v>
      </c>
      <c r="C142" s="299"/>
      <c r="D142" s="299"/>
      <c r="E142" s="252">
        <f>C142-D142</f>
        <v>0</v>
      </c>
      <c r="F142" s="8"/>
      <c r="G142" s="45" t="s">
        <v>488</v>
      </c>
      <c r="H142" s="45"/>
      <c r="I142" s="45"/>
      <c r="J142" s="45"/>
      <c r="K142" s="45"/>
    </row>
    <row r="143" spans="1:11" ht="12.75">
      <c r="A143" s="46" t="s">
        <v>323</v>
      </c>
      <c r="B143" s="8" t="s">
        <v>187</v>
      </c>
      <c r="C143" s="299"/>
      <c r="D143" s="299"/>
      <c r="E143" s="293">
        <f>C143-D143</f>
        <v>0</v>
      </c>
      <c r="F143" s="8"/>
      <c r="G143" s="45" t="s">
        <v>488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335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330</v>
      </c>
      <c r="B149" s="8"/>
      <c r="C149" s="405">
        <f>+'Tax Rates'!F50</f>
        <v>0.2612</v>
      </c>
      <c r="D149" s="5"/>
      <c r="E149" s="406">
        <f>C149</f>
        <v>0.2612</v>
      </c>
      <c r="F149" s="8"/>
      <c r="G149" s="45" t="s">
        <v>469</v>
      </c>
      <c r="H149" s="45"/>
      <c r="I149" s="45"/>
      <c r="J149" s="45"/>
      <c r="K149" s="45"/>
    </row>
    <row r="150" spans="1:11" ht="12.75">
      <c r="A150" s="46" t="s">
        <v>331</v>
      </c>
      <c r="B150" s="8"/>
      <c r="C150" s="405">
        <f>+'Tax Rates'!F51</f>
        <v>0.125</v>
      </c>
      <c r="D150" s="5"/>
      <c r="E150" s="406">
        <f>C150</f>
        <v>0.125</v>
      </c>
      <c r="F150" s="8"/>
      <c r="G150" s="45" t="s">
        <v>470</v>
      </c>
      <c r="H150" s="45"/>
      <c r="I150" s="45"/>
      <c r="J150" s="45"/>
      <c r="K150" s="45"/>
    </row>
    <row r="151" spans="1:11" ht="12.75">
      <c r="A151" t="s">
        <v>332</v>
      </c>
      <c r="B151" s="8"/>
      <c r="C151" s="406">
        <f>SUM(C149:C150)</f>
        <v>0.3862</v>
      </c>
      <c r="D151" s="485" t="s">
        <v>483</v>
      </c>
      <c r="E151" s="406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358</v>
      </c>
      <c r="B153" s="8"/>
    </row>
    <row r="154" spans="1:2" ht="12.75">
      <c r="A154" s="14"/>
      <c r="B154" s="8"/>
    </row>
    <row r="155" spans="1:2" ht="12.75">
      <c r="A155" s="2" t="s">
        <v>482</v>
      </c>
      <c r="B155" s="8"/>
    </row>
    <row r="156" spans="1:5" ht="12.75">
      <c r="A156" t="s">
        <v>218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82">
        <v>244482</v>
      </c>
      <c r="D157" s="251"/>
      <c r="E157" s="251">
        <f>C157+D157</f>
        <v>244482</v>
      </c>
    </row>
    <row r="158" spans="1:5" ht="12.75">
      <c r="A158" t="s">
        <v>217</v>
      </c>
      <c r="B158" s="86" t="s">
        <v>187</v>
      </c>
      <c r="C158" s="482">
        <v>180552</v>
      </c>
      <c r="D158" s="251"/>
      <c r="E158" s="251">
        <f>C158+D158</f>
        <v>180552</v>
      </c>
    </row>
    <row r="159" ht="12.75">
      <c r="B159" s="8"/>
    </row>
    <row r="160" spans="1:5" ht="12.75">
      <c r="A160" s="2" t="s">
        <v>302</v>
      </c>
      <c r="B160" s="66" t="s">
        <v>189</v>
      </c>
      <c r="C160" s="251">
        <f>C156+C157+C158</f>
        <v>425034</v>
      </c>
      <c r="D160" s="251">
        <f>D156+D157+D158</f>
        <v>0</v>
      </c>
      <c r="E160" s="251">
        <f>E156+E157+E158</f>
        <v>425034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&amp;R&amp;8Horizon Utilities Corporation
Disposition of Account 1562 Deferred PILS
EB-2012-0005
Appendix C-2-1
Filed: March 28, 2012</oddHeader>
    <oddFooter>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Hamilton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272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280</v>
      </c>
      <c r="B14" s="61"/>
      <c r="C14" s="295">
        <v>450000</v>
      </c>
      <c r="D14" s="295"/>
      <c r="E14" s="251">
        <f aca="true" t="shared" si="0" ref="E14:E21">C14-D14</f>
        <v>450000</v>
      </c>
    </row>
    <row r="15" spans="1:5" ht="12.75">
      <c r="A15" s="61" t="s">
        <v>281</v>
      </c>
      <c r="B15" s="61"/>
      <c r="C15" s="295"/>
      <c r="D15" s="295"/>
      <c r="E15" s="251">
        <f t="shared" si="0"/>
        <v>0</v>
      </c>
    </row>
    <row r="16" spans="1:5" ht="12.75">
      <c r="A16" s="61" t="s">
        <v>282</v>
      </c>
      <c r="B16" s="61"/>
      <c r="C16" s="295"/>
      <c r="D16" s="295"/>
      <c r="E16" s="251">
        <f t="shared" si="0"/>
        <v>0</v>
      </c>
    </row>
    <row r="17" spans="1:5" ht="12.75">
      <c r="A17" s="61" t="s">
        <v>283</v>
      </c>
      <c r="B17" s="61"/>
      <c r="C17" s="295"/>
      <c r="D17" s="295"/>
      <c r="E17" s="251">
        <f t="shared" si="0"/>
        <v>0</v>
      </c>
    </row>
    <row r="18" spans="1:5" ht="12.75">
      <c r="A18" s="61" t="s">
        <v>448</v>
      </c>
      <c r="B18" s="61"/>
      <c r="C18" s="295"/>
      <c r="D18" s="295"/>
      <c r="E18" s="251">
        <f t="shared" si="0"/>
        <v>0</v>
      </c>
    </row>
    <row r="19" spans="1:5" ht="12.75">
      <c r="A19" s="61" t="s">
        <v>448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450000</v>
      </c>
      <c r="D22" s="251">
        <f>SUM(D13:D21)</f>
        <v>0</v>
      </c>
      <c r="E22" s="251">
        <f>SUM(E13:E21)</f>
        <v>450000</v>
      </c>
    </row>
    <row r="23" spans="1:5" ht="12.75">
      <c r="A23" s="2"/>
      <c r="C23" s="22"/>
      <c r="D23" s="22"/>
      <c r="E23" s="22"/>
    </row>
    <row r="24" spans="1:5" ht="12.75">
      <c r="A24" s="247" t="s">
        <v>271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280</v>
      </c>
      <c r="B26" s="61"/>
      <c r="C26" s="295">
        <v>450000</v>
      </c>
      <c r="D26" s="295"/>
      <c r="E26" s="251">
        <f aca="true" t="shared" si="1" ref="E26:E33">C26-D26</f>
        <v>450000</v>
      </c>
    </row>
    <row r="27" spans="1:5" ht="12.75">
      <c r="A27" s="61" t="s">
        <v>281</v>
      </c>
      <c r="B27" s="61"/>
      <c r="C27" s="295"/>
      <c r="D27" s="295"/>
      <c r="E27" s="251">
        <f t="shared" si="1"/>
        <v>0</v>
      </c>
    </row>
    <row r="28" spans="1:5" ht="12.75">
      <c r="A28" s="61" t="s">
        <v>282</v>
      </c>
      <c r="B28" s="61"/>
      <c r="C28" s="295"/>
      <c r="D28" s="295"/>
      <c r="E28" s="251">
        <f t="shared" si="1"/>
        <v>0</v>
      </c>
    </row>
    <row r="29" spans="1:5" ht="12.75">
      <c r="A29" s="61" t="s">
        <v>283</v>
      </c>
      <c r="B29" s="61"/>
      <c r="C29" s="295"/>
      <c r="D29" s="295"/>
      <c r="E29" s="251">
        <f t="shared" si="1"/>
        <v>0</v>
      </c>
    </row>
    <row r="30" spans="1:5" ht="12.75">
      <c r="A30" s="490" t="s">
        <v>492</v>
      </c>
      <c r="B30" s="61"/>
      <c r="C30" s="295">
        <v>215000</v>
      </c>
      <c r="D30" s="295"/>
      <c r="E30" s="251">
        <f t="shared" si="1"/>
        <v>215000</v>
      </c>
    </row>
    <row r="31" spans="1:5" ht="12.75">
      <c r="A31" s="61" t="s">
        <v>448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665000</v>
      </c>
      <c r="D35" s="251">
        <f>SUM(D25:D33)</f>
        <v>0</v>
      </c>
      <c r="E35" s="251">
        <f>SUM(E25:E33)</f>
        <v>665000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272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266</v>
      </c>
      <c r="B43" s="61"/>
      <c r="C43" s="295"/>
      <c r="D43" s="295"/>
      <c r="E43" s="251">
        <f t="shared" si="2"/>
        <v>0</v>
      </c>
    </row>
    <row r="44" spans="1:5" ht="12.75">
      <c r="A44" s="61" t="s">
        <v>267</v>
      </c>
      <c r="B44" s="61"/>
      <c r="C44" s="295">
        <f>175000+450000</f>
        <v>625000</v>
      </c>
      <c r="D44" s="295"/>
      <c r="E44" s="251">
        <f t="shared" si="2"/>
        <v>625000</v>
      </c>
    </row>
    <row r="45" spans="1:5" ht="12.75">
      <c r="A45" s="61" t="s">
        <v>268</v>
      </c>
      <c r="B45" s="61"/>
      <c r="C45" s="295">
        <v>50000</v>
      </c>
      <c r="D45" s="295"/>
      <c r="E45" s="251">
        <f t="shared" si="2"/>
        <v>50000</v>
      </c>
    </row>
    <row r="46" spans="1:5" ht="12.75">
      <c r="A46" s="61" t="s">
        <v>269</v>
      </c>
      <c r="B46" s="61"/>
      <c r="C46" s="295"/>
      <c r="D46" s="295"/>
      <c r="E46" s="251">
        <f t="shared" si="2"/>
        <v>0</v>
      </c>
    </row>
    <row r="47" spans="1:5" ht="12.75">
      <c r="A47" s="61" t="s">
        <v>448</v>
      </c>
      <c r="B47" s="61"/>
      <c r="C47" s="295"/>
      <c r="D47" s="295"/>
      <c r="E47" s="251">
        <f t="shared" si="2"/>
        <v>0</v>
      </c>
    </row>
    <row r="48" spans="1:5" ht="12.75">
      <c r="A48" s="61" t="s">
        <v>448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675000</v>
      </c>
      <c r="D50" s="251">
        <f>SUM(D41:D49)</f>
        <v>0</v>
      </c>
      <c r="E50" s="251">
        <f>SUM(E41:E49)</f>
        <v>675000</v>
      </c>
    </row>
    <row r="51" spans="3:5" ht="12.75">
      <c r="C51" s="22"/>
      <c r="D51" s="22"/>
      <c r="E51" s="22"/>
    </row>
    <row r="52" spans="1:5" ht="12.75">
      <c r="A52" s="247" t="s">
        <v>271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266</v>
      </c>
      <c r="B55" s="61"/>
      <c r="C55" s="295"/>
      <c r="D55" s="295"/>
      <c r="E55" s="251">
        <f t="shared" si="3"/>
        <v>0</v>
      </c>
    </row>
    <row r="56" spans="1:5" ht="12.75">
      <c r="A56" s="246" t="s">
        <v>267</v>
      </c>
      <c r="B56" s="61"/>
      <c r="C56" s="295">
        <f>550000+450000</f>
        <v>1000000</v>
      </c>
      <c r="D56" s="295"/>
      <c r="E56" s="251">
        <f t="shared" si="3"/>
        <v>1000000</v>
      </c>
    </row>
    <row r="57" spans="1:5" ht="12.75">
      <c r="A57" s="246" t="s">
        <v>268</v>
      </c>
      <c r="B57" s="61"/>
      <c r="C57" s="295">
        <v>50000</v>
      </c>
      <c r="D57" s="295"/>
      <c r="E57" s="251">
        <f t="shared" si="3"/>
        <v>50000</v>
      </c>
    </row>
    <row r="58" spans="1:5" ht="12.75">
      <c r="A58" s="246" t="s">
        <v>269</v>
      </c>
      <c r="B58" s="61"/>
      <c r="C58" s="295"/>
      <c r="D58" s="295"/>
      <c r="E58" s="251">
        <f t="shared" si="3"/>
        <v>0</v>
      </c>
    </row>
    <row r="59" spans="1:5" ht="12.75">
      <c r="A59" s="490" t="s">
        <v>492</v>
      </c>
      <c r="B59" s="61"/>
      <c r="C59" s="295">
        <f>200700+215000</f>
        <v>415700</v>
      </c>
      <c r="D59" s="295"/>
      <c r="E59" s="251">
        <f t="shared" si="3"/>
        <v>415700</v>
      </c>
    </row>
    <row r="60" spans="1:5" ht="12.75">
      <c r="A60" s="61" t="s">
        <v>448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1465700</v>
      </c>
      <c r="D63" s="251">
        <f>SUM(D53:D61)</f>
        <v>0</v>
      </c>
      <c r="E63" s="251">
        <f>SUM(E53:E61)</f>
        <v>1465700</v>
      </c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C-2-1
Filed: March 28, 2012</oddHeader>
    <oddFooter>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Layout" workbookViewId="0" topLeftCell="A82">
      <selection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466</v>
      </c>
      <c r="B5" s="8"/>
      <c r="C5" s="8" t="s">
        <v>2</v>
      </c>
      <c r="D5" s="8"/>
      <c r="E5" s="8"/>
      <c r="F5" s="8"/>
    </row>
    <row r="6" spans="1:6" ht="12.75">
      <c r="A6" s="416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Hamilton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92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252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449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253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475</v>
      </c>
      <c r="B36" t="s">
        <v>187</v>
      </c>
      <c r="C36" s="296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494</v>
      </c>
      <c r="B40" t="s">
        <v>187</v>
      </c>
      <c r="C40" s="295">
        <v>186033</v>
      </c>
      <c r="D40" s="295"/>
      <c r="E40" s="251">
        <f t="shared" si="0"/>
        <v>186033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186033</v>
      </c>
      <c r="D46" s="251">
        <f>SUM(D17:D45)</f>
        <v>0</v>
      </c>
      <c r="E46" s="251">
        <f>SUM(E17:E45)</f>
        <v>186033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Capitalized Fleet Depreciation disallowed for UCC Purposes</v>
      </c>
      <c r="B71" s="274"/>
      <c r="C71" s="251">
        <f t="shared" si="3"/>
        <v>186033</v>
      </c>
      <c r="D71" s="251">
        <f t="shared" si="3"/>
        <v>0</v>
      </c>
      <c r="E71" s="251">
        <f t="shared" si="3"/>
        <v>186033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186033</v>
      </c>
      <c r="D77" s="251">
        <f>SUM(D49:D75)</f>
        <v>0</v>
      </c>
      <c r="E77" s="251">
        <f>SUM(E49:E75)</f>
        <v>186033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186033</v>
      </c>
      <c r="D79" s="315">
        <f>D77+D78</f>
        <v>0</v>
      </c>
      <c r="E79" s="315">
        <f>E77+E78</f>
        <v>186033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>
        <v>0</v>
      </c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254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376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204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5"/>
      <c r="D96" s="295"/>
      <c r="E96" s="251">
        <f t="shared" si="5"/>
        <v>0</v>
      </c>
    </row>
    <row r="97" spans="1:5" ht="12.75">
      <c r="A97" s="67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&amp;R&amp;8Horizon Utilities Corporation
Disposition of Account 1562 Deferred PILS
EB-2012-0005
Appendix C-2-1
Filed: March 28, 2012</oddHeader>
    <oddFooter>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view="pageLayout" workbookViewId="0" topLeftCell="A37">
      <selection activeCell="C54" sqref="C5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384</v>
      </c>
      <c r="E3" s="92"/>
    </row>
    <row r="4" spans="1:6" ht="15.75">
      <c r="A4" s="464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Hamilton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92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387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453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390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391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454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437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389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388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432</v>
      </c>
      <c r="B32" t="s">
        <v>187</v>
      </c>
      <c r="C32" s="296">
        <v>4284</v>
      </c>
      <c r="D32" s="296"/>
      <c r="E32" s="313">
        <f t="shared" si="0"/>
        <v>4284</v>
      </c>
    </row>
    <row r="33" spans="1:5" ht="12.75">
      <c r="A33" s="67" t="s">
        <v>433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450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451</v>
      </c>
      <c r="C35" s="296"/>
      <c r="D35" s="296"/>
      <c r="E35" s="313">
        <f t="shared" si="0"/>
        <v>0</v>
      </c>
    </row>
    <row r="36" spans="1:5" ht="12.75">
      <c r="A36" s="67" t="s">
        <v>434</v>
      </c>
      <c r="C36" s="296"/>
      <c r="D36" s="296"/>
      <c r="E36" s="313">
        <f t="shared" si="0"/>
        <v>0</v>
      </c>
    </row>
    <row r="37" spans="1:5" ht="12.75">
      <c r="A37" s="67" t="s">
        <v>435</v>
      </c>
      <c r="C37" s="296"/>
      <c r="D37" s="296"/>
      <c r="E37" s="313">
        <f t="shared" si="0"/>
        <v>0</v>
      </c>
    </row>
    <row r="38" spans="1:5" ht="12.75">
      <c r="A38" s="67" t="s">
        <v>457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392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386</v>
      </c>
      <c r="B41" t="s">
        <v>187</v>
      </c>
      <c r="C41" s="296"/>
      <c r="D41" s="296"/>
      <c r="E41" s="313">
        <f t="shared" si="0"/>
        <v>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493</v>
      </c>
      <c r="B43" t="s">
        <v>187</v>
      </c>
      <c r="C43" s="296">
        <v>154585</v>
      </c>
      <c r="D43" s="296"/>
      <c r="E43" s="313">
        <f t="shared" si="0"/>
        <v>154585</v>
      </c>
    </row>
    <row r="44" spans="2:5" ht="12.75"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0" t="s">
        <v>396</v>
      </c>
      <c r="B47" t="s">
        <v>189</v>
      </c>
      <c r="C47" s="251">
        <f>SUM(C19:C46)</f>
        <v>158869</v>
      </c>
      <c r="D47" s="251">
        <f>SUM(D19:D46)</f>
        <v>0</v>
      </c>
      <c r="E47" s="251">
        <f>SUM(E19:E46)</f>
        <v>158869</v>
      </c>
    </row>
    <row r="48" ht="12.75">
      <c r="A48" s="67"/>
    </row>
    <row r="49" ht="12.75">
      <c r="A49" s="81" t="s">
        <v>145</v>
      </c>
    </row>
    <row r="51" spans="1:5" ht="12.75">
      <c r="A51" s="71" t="s">
        <v>387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453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388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436</v>
      </c>
      <c r="B54" s="8" t="s">
        <v>188</v>
      </c>
      <c r="C54" s="295">
        <v>62665</v>
      </c>
      <c r="D54" s="295"/>
      <c r="E54" s="251">
        <f t="shared" si="1"/>
        <v>62665</v>
      </c>
    </row>
    <row r="55" spans="1:5" ht="12.75">
      <c r="A55" s="67" t="s">
        <v>444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456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452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455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8" t="s">
        <v>393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8" t="s">
        <v>386</v>
      </c>
      <c r="B66" s="8" t="s">
        <v>188</v>
      </c>
      <c r="C66" s="295">
        <v>8188170</v>
      </c>
      <c r="D66" s="295"/>
      <c r="E66" s="251">
        <f t="shared" si="2"/>
        <v>8188170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204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49" t="s">
        <v>395</v>
      </c>
      <c r="B73" s="8" t="s">
        <v>189</v>
      </c>
      <c r="C73" s="251">
        <f>SUM(C51:C72)</f>
        <v>8250835</v>
      </c>
      <c r="D73" s="251">
        <f>SUM(D51:D72)</f>
        <v>0</v>
      </c>
      <c r="E73" s="251">
        <f>SUM(E51:E72)</f>
        <v>8250835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C-2-1
Filed: March 28, 2012</oddHeader>
    <oddFooter>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306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Hamilton Hydro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338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4" t="s">
        <v>484</v>
      </c>
      <c r="B8" s="505"/>
      <c r="C8" s="505"/>
      <c r="D8" s="505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468</v>
      </c>
      <c r="B10" s="327"/>
      <c r="C10" s="376" t="s">
        <v>111</v>
      </c>
      <c r="D10" s="376"/>
      <c r="E10" s="376" t="s">
        <v>111</v>
      </c>
      <c r="F10" s="377" t="s">
        <v>485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299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298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303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259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333</v>
      </c>
      <c r="B21" s="407" t="s">
        <v>472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334</v>
      </c>
      <c r="B22" s="408" t="s">
        <v>473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8" t="s">
        <v>486</v>
      </c>
      <c r="B23" s="499"/>
      <c r="C23" s="499"/>
      <c r="D23" s="499"/>
      <c r="E23" s="499"/>
      <c r="F23" s="499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339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6" t="s">
        <v>481</v>
      </c>
      <c r="B26" s="507"/>
      <c r="C26" s="507"/>
      <c r="D26" s="507"/>
      <c r="E26" s="507"/>
      <c r="F26" s="50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440</v>
      </c>
      <c r="B28" s="327"/>
      <c r="C28" s="370" t="s">
        <v>111</v>
      </c>
      <c r="D28" s="370"/>
      <c r="E28" s="370" t="s">
        <v>111</v>
      </c>
      <c r="F28" s="371" t="s">
        <v>485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298</v>
      </c>
      <c r="B32" s="410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259</v>
      </c>
      <c r="B34" s="410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478</v>
      </c>
      <c r="B39" s="407" t="s">
        <v>472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479</v>
      </c>
      <c r="B40" s="408" t="s">
        <v>473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0" t="s">
        <v>336</v>
      </c>
      <c r="B41" s="499"/>
      <c r="C41" s="499"/>
      <c r="D41" s="499"/>
      <c r="E41" s="499"/>
      <c r="F41" s="49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1"/>
      <c r="B42" s="501"/>
      <c r="C42" s="501"/>
      <c r="D42" s="501"/>
      <c r="E42" s="501"/>
      <c r="F42" s="50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340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480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485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298</v>
      </c>
      <c r="B50" s="245"/>
      <c r="C50" s="352">
        <v>0.1312</v>
      </c>
      <c r="D50" s="352"/>
      <c r="E50" s="353">
        <v>0.2212</v>
      </c>
      <c r="F50" s="353">
        <v>0.2612</v>
      </c>
      <c r="G50" s="194"/>
      <c r="H50" s="488">
        <v>0.2612</v>
      </c>
      <c r="I50" s="488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v>0.125</v>
      </c>
      <c r="G51" s="194"/>
      <c r="H51" s="488">
        <v>0.125</v>
      </c>
      <c r="I51" s="488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259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0.3862</v>
      </c>
      <c r="G52" s="194"/>
      <c r="H52" s="488">
        <f>+H51+H50</f>
        <v>0.3862</v>
      </c>
      <c r="I52" s="488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351</v>
      </c>
      <c r="B57" s="407" t="s">
        <v>472</v>
      </c>
      <c r="C57" s="362">
        <v>4668892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352</v>
      </c>
      <c r="B58" s="408" t="s">
        <v>473</v>
      </c>
      <c r="C58" s="363">
        <v>10000000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8" t="s">
        <v>353</v>
      </c>
      <c r="B59" s="502"/>
      <c r="C59" s="502"/>
      <c r="D59" s="502"/>
      <c r="E59" s="502"/>
      <c r="F59" s="50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3"/>
      <c r="B60" s="503"/>
      <c r="C60" s="503"/>
      <c r="D60" s="503"/>
      <c r="E60" s="503"/>
      <c r="F60" s="50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C-2-1
Filed: March 28, 2012</oddHeader>
    <oddFooter>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view="pageLayout" workbookViewId="0" topLeftCell="A7">
      <selection activeCell="A1" sqref="A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Hamilton Hydro Inc.</v>
      </c>
      <c r="O3" s="417" t="str">
        <f>REGINFO!E1</f>
        <v>Version 2009.1</v>
      </c>
    </row>
    <row r="4" spans="1:15" ht="12.75">
      <c r="A4" s="2" t="str">
        <f>REGINFO!A4</f>
        <v>Reporting period:  2001</v>
      </c>
      <c r="E4" s="418" t="s">
        <v>322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2485719.8049256196</v>
      </c>
      <c r="F11" s="420"/>
      <c r="G11" s="491">
        <f>E22</f>
        <v>2944113.4836033056</v>
      </c>
      <c r="H11" s="420"/>
      <c r="I11" s="491">
        <f>G22</f>
        <v>5414783.288528925</v>
      </c>
      <c r="J11" s="391"/>
      <c r="K11" s="491">
        <f>I22</f>
        <v>6032450.73976033</v>
      </c>
      <c r="L11" s="391"/>
      <c r="M11" s="491">
        <f>K22</f>
        <v>6032450.73976033</v>
      </c>
      <c r="N11" s="391"/>
      <c r="O11" s="491">
        <f>C11</f>
        <v>0</v>
      </c>
    </row>
    <row r="12" spans="1:15" ht="27" customHeight="1">
      <c r="A12" s="81" t="s">
        <v>397</v>
      </c>
      <c r="B12" s="66" t="s">
        <v>190</v>
      </c>
      <c r="C12" s="396">
        <f>+TAXCALC!C95</f>
        <v>2470669.8049256196</v>
      </c>
      <c r="D12" s="392"/>
      <c r="E12" s="396"/>
      <c r="F12" s="95"/>
      <c r="G12" s="492">
        <f>C12+E12</f>
        <v>2470669.8049256196</v>
      </c>
      <c r="H12" s="95"/>
      <c r="I12" s="492">
        <f>(E12/12*9)+(G12/12*3)</f>
        <v>617667.4512314049</v>
      </c>
      <c r="J12" s="392"/>
      <c r="K12" s="492">
        <f>E12/12*3</f>
        <v>0</v>
      </c>
      <c r="L12" s="392"/>
      <c r="M12" s="492">
        <f>K13/9*12/4</f>
        <v>0</v>
      </c>
      <c r="N12" s="392"/>
      <c r="O12" s="491">
        <f aca="true" t="shared" si="0" ref="O12:O20">SUM(C12:N12)</f>
        <v>5559007.061082644</v>
      </c>
    </row>
    <row r="13" spans="1:15" ht="27" customHeight="1">
      <c r="A13" s="81" t="s">
        <v>439</v>
      </c>
      <c r="B13" s="66"/>
      <c r="C13" s="419"/>
      <c r="D13" s="392"/>
      <c r="E13" s="419"/>
      <c r="F13" s="95"/>
      <c r="G13" s="492"/>
      <c r="H13" s="95"/>
      <c r="I13" s="492"/>
      <c r="J13" s="392"/>
      <c r="K13" s="492"/>
      <c r="L13" s="392"/>
      <c r="M13" s="492"/>
      <c r="N13" s="392"/>
      <c r="O13" s="491">
        <f t="shared" si="0"/>
        <v>0</v>
      </c>
    </row>
    <row r="14" spans="1:15" ht="25.5">
      <c r="A14" s="81" t="s">
        <v>398</v>
      </c>
      <c r="B14" s="66" t="s">
        <v>190</v>
      </c>
      <c r="C14" s="396"/>
      <c r="D14" s="392"/>
      <c r="E14" s="396">
        <f>+TAXCALC!E183</f>
        <v>458393.67867768597</v>
      </c>
      <c r="F14" s="95"/>
      <c r="G14" s="492"/>
      <c r="H14" s="95"/>
      <c r="I14" s="492"/>
      <c r="J14" s="392"/>
      <c r="K14" s="492"/>
      <c r="L14" s="392"/>
      <c r="M14" s="492"/>
      <c r="N14" s="392"/>
      <c r="O14" s="491">
        <f t="shared" si="0"/>
        <v>458393.67867768597</v>
      </c>
    </row>
    <row r="15" spans="1:15" ht="27" customHeight="1">
      <c r="A15" s="81" t="s">
        <v>399</v>
      </c>
      <c r="B15" s="66" t="s">
        <v>190</v>
      </c>
      <c r="C15" s="396"/>
      <c r="D15" s="392"/>
      <c r="E15" s="396"/>
      <c r="F15" s="95"/>
      <c r="G15" s="492"/>
      <c r="H15" s="95"/>
      <c r="I15" s="492"/>
      <c r="J15" s="392"/>
      <c r="K15" s="492"/>
      <c r="L15" s="392"/>
      <c r="M15" s="492">
        <v>0</v>
      </c>
      <c r="N15" s="392"/>
      <c r="O15" s="491">
        <f t="shared" si="0"/>
        <v>0</v>
      </c>
    </row>
    <row r="16" spans="1:15" ht="27" customHeight="1">
      <c r="A16" s="81" t="s">
        <v>400</v>
      </c>
      <c r="B16" s="66"/>
      <c r="C16" s="396"/>
      <c r="D16" s="392"/>
      <c r="E16" s="396">
        <f>+TAXCALC!E181</f>
        <v>0</v>
      </c>
      <c r="F16" s="95"/>
      <c r="G16" s="492"/>
      <c r="H16" s="95"/>
      <c r="I16" s="492"/>
      <c r="J16" s="392"/>
      <c r="K16" s="492"/>
      <c r="L16" s="392"/>
      <c r="M16" s="492"/>
      <c r="N16" s="392"/>
      <c r="O16" s="491">
        <f t="shared" si="0"/>
        <v>0</v>
      </c>
    </row>
    <row r="17" spans="1:15" ht="27.75" customHeight="1">
      <c r="A17" s="81" t="s">
        <v>401</v>
      </c>
      <c r="B17" s="66" t="s">
        <v>190</v>
      </c>
      <c r="C17" s="396"/>
      <c r="D17" s="392"/>
      <c r="E17" s="492"/>
      <c r="F17" s="95"/>
      <c r="G17" s="492"/>
      <c r="H17" s="95"/>
      <c r="I17" s="492"/>
      <c r="J17" s="392"/>
      <c r="K17" s="492"/>
      <c r="L17" s="392"/>
      <c r="M17" s="492">
        <f>TAXCALC!E181</f>
        <v>0</v>
      </c>
      <c r="N17" s="392"/>
      <c r="O17" s="491">
        <f t="shared" si="0"/>
        <v>0</v>
      </c>
    </row>
    <row r="18" spans="1:15" ht="25.5">
      <c r="A18" s="81" t="s">
        <v>402</v>
      </c>
      <c r="B18" s="66" t="s">
        <v>190</v>
      </c>
      <c r="C18" s="396"/>
      <c r="D18" s="392"/>
      <c r="E18" s="492"/>
      <c r="F18" s="95"/>
      <c r="G18" s="492"/>
      <c r="H18" s="95"/>
      <c r="I18" s="492"/>
      <c r="J18" s="392"/>
      <c r="K18" s="492"/>
      <c r="L18" s="392"/>
      <c r="M18" s="492"/>
      <c r="N18" s="392"/>
      <c r="O18" s="491">
        <f t="shared" si="0"/>
        <v>0</v>
      </c>
    </row>
    <row r="19" spans="1:15" ht="24" customHeight="1">
      <c r="A19" s="433" t="s">
        <v>403</v>
      </c>
      <c r="B19" s="66" t="s">
        <v>190</v>
      </c>
      <c r="C19" s="396">
        <v>15050</v>
      </c>
      <c r="D19" s="392"/>
      <c r="E19" s="492"/>
      <c r="F19" s="95"/>
      <c r="G19" s="492"/>
      <c r="H19" s="95"/>
      <c r="I19" s="492"/>
      <c r="J19" s="392"/>
      <c r="K19" s="492"/>
      <c r="L19" s="392"/>
      <c r="M19" s="492"/>
      <c r="N19" s="392"/>
      <c r="O19" s="491">
        <f t="shared" si="0"/>
        <v>15050</v>
      </c>
    </row>
    <row r="20" spans="1:15" ht="24.75" customHeight="1">
      <c r="A20" s="81" t="s">
        <v>471</v>
      </c>
      <c r="B20" s="66" t="s">
        <v>188</v>
      </c>
      <c r="C20" s="419">
        <v>0</v>
      </c>
      <c r="D20" s="392"/>
      <c r="E20" s="492"/>
      <c r="F20" s="95"/>
      <c r="G20" s="492"/>
      <c r="H20" s="95"/>
      <c r="I20" s="492"/>
      <c r="J20" s="392"/>
      <c r="K20" s="492"/>
      <c r="L20" s="392"/>
      <c r="M20" s="492"/>
      <c r="N20" s="392"/>
      <c r="O20" s="491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373</v>
      </c>
      <c r="B22" s="34"/>
      <c r="C22" s="398">
        <f>SUM(C11:C20)</f>
        <v>2485719.8049256196</v>
      </c>
      <c r="D22" s="420"/>
      <c r="E22" s="493">
        <f>SUM(E11:E20)</f>
        <v>2944113.4836033056</v>
      </c>
      <c r="F22" s="420"/>
      <c r="G22" s="493">
        <f>SUM(G11:G20)</f>
        <v>5414783.288528925</v>
      </c>
      <c r="H22" s="420"/>
      <c r="I22" s="493">
        <f>SUM(I11:I20)</f>
        <v>6032450.73976033</v>
      </c>
      <c r="J22" s="391"/>
      <c r="K22" s="493">
        <f>SUM(K11:K20)</f>
        <v>6032450.73976033</v>
      </c>
      <c r="L22" s="391"/>
      <c r="M22" s="493">
        <f>SUM(M11:M21)</f>
        <v>6032450.73976033</v>
      </c>
      <c r="N22" s="391"/>
      <c r="O22" s="494">
        <f>SUM(O11:O20)</f>
        <v>6032450.73976033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4"/>
      <c r="B25" s="435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4" t="s">
        <v>404</v>
      </c>
      <c r="B26" s="435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405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406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1" t="s">
        <v>407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9" t="s">
        <v>408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421"/>
      <c r="Q33" s="421"/>
      <c r="R33" s="421"/>
      <c r="S33" s="421"/>
    </row>
    <row r="34" spans="1:19" ht="12.75">
      <c r="A34" s="508" t="s">
        <v>409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421"/>
      <c r="Q34" s="421"/>
      <c r="R34" s="421"/>
      <c r="S34" s="421"/>
    </row>
    <row r="35" spans="1:19" ht="12.75">
      <c r="A35" s="508" t="s">
        <v>430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21"/>
      <c r="Q35" s="421"/>
      <c r="R35" s="421"/>
      <c r="S35" s="421"/>
    </row>
    <row r="36" spans="1:19" ht="12.75">
      <c r="A36" s="508" t="s">
        <v>410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421"/>
      <c r="Q36" s="421"/>
      <c r="R36" s="421"/>
      <c r="S36" s="421"/>
    </row>
    <row r="37" spans="1:19" ht="12.75">
      <c r="A37" s="438" t="s">
        <v>370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371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411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412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413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414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415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416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417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418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419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416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420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421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422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423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424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380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425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426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382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381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383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427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428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429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8" t="s">
        <v>459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</row>
    <row r="75" spans="1:15" ht="12.75">
      <c r="A75" s="435" t="s">
        <v>372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&amp;R&amp;8Horizon Utilities Corporation
Disposition of Account 1562 Deferred PILS
EB-2012-0005
Appendix C-2-1
Filed: March 28, 2012</oddHeader>
    <oddFooter>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Basilio, John G</cp:lastModifiedBy>
  <cp:lastPrinted>2011-09-13T11:51:36Z</cp:lastPrinted>
  <dcterms:created xsi:type="dcterms:W3CDTF">2001-11-07T16:15:53Z</dcterms:created>
  <dcterms:modified xsi:type="dcterms:W3CDTF">2012-07-05T15:05:16Z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