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2315" windowHeight="3060" tabRatio="790" activeTab="0"/>
  </bookViews>
  <sheets>
    <sheet name="Notes" sheetId="1" r:id="rId1"/>
    <sheet name="FA Continuity 2008" sheetId="2" r:id="rId2"/>
    <sheet name="FA Continuity 2009" sheetId="3" r:id="rId3"/>
    <sheet name="FA Continuity 2010" sheetId="4" r:id="rId4"/>
    <sheet name="FA Continuity MIFRS 2011" sheetId="5" r:id="rId5"/>
    <sheet name="MIFRS 2012" sheetId="6" r:id="rId6"/>
    <sheet name="FA Continuity 2012" sheetId="7" r:id="rId7"/>
    <sheet name="Trial Balance" sheetId="8" r:id="rId8"/>
    <sheet name="2008 Balance Sheet" sheetId="9" r:id="rId9"/>
    <sheet name="2008 Income Statement" sheetId="10" r:id="rId10"/>
    <sheet name="2009 Balance Sheet" sheetId="11" r:id="rId11"/>
    <sheet name="2009 Income Statement" sheetId="12" r:id="rId12"/>
    <sheet name="2010 Balance Sheet" sheetId="13" r:id="rId13"/>
    <sheet name="2010 Income Statement" sheetId="14" r:id="rId14"/>
    <sheet name="2011 Balance Sheet" sheetId="15" r:id="rId15"/>
    <sheet name="2011 Income Statement" sheetId="16" r:id="rId16"/>
    <sheet name="2012 Balance Shee" sheetId="17" r:id="rId17"/>
    <sheet name="2012 Income Statement" sheetId="18" r:id="rId18"/>
    <sheet name="Return on Capital" sheetId="19" r:id="rId19"/>
    <sheet name="Debt &amp; Capital Structure" sheetId="20" r:id="rId20"/>
    <sheet name="Tax rates" sheetId="21" r:id="rId21"/>
    <sheet name="CCA Continuity 2011" sheetId="22" r:id="rId22"/>
    <sheet name="CCA Continuity 2012" sheetId="23" r:id="rId23"/>
    <sheet name="Reserves Continuity" sheetId="24" r:id="rId24"/>
    <sheet name="Corporation Loss Continuity" sheetId="25" r:id="rId25"/>
    <sheet name="Tax Adjustments 2011" sheetId="26" r:id="rId26"/>
    <sheet name="Tax Adjustments 2012" sheetId="27" r:id="rId27"/>
    <sheet name="2012 Rev Deficiency" sheetId="28" r:id="rId28"/>
    <sheet name="Capital Tax &amp; Expense Schedules" sheetId="29" r:id="rId29"/>
    <sheet name="Revenue Requirement" sheetId="30" r:id="rId30"/>
    <sheet name="Ex 8 BRR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DaysInPreviousYear" localSheetId="6">'[1]Distribution Revenue by Source'!$B$22</definedName>
    <definedName name="DaysInPreviousYear" localSheetId="4">'[1]Distribution Revenue by Source'!$B$22</definedName>
    <definedName name="DaysInPreviousYear">'[2]Distribution Revenue by Source'!$B$22</definedName>
    <definedName name="DaysInYear" localSheetId="6">'[1]Distribution Revenue by Source'!$B$21</definedName>
    <definedName name="DaysInYear" localSheetId="4">'[1]Distribution Revenue by Source'!$B$21</definedName>
    <definedName name="DaysInYear">'[2]Distribution Revenue by Source'!$B$21</definedName>
    <definedName name="MofF">#REF!</definedName>
    <definedName name="_xlnm.Print_Area" localSheetId="8">'2008 Balance Sheet'!$A$1:$B$231</definedName>
    <definedName name="_xlnm.Print_Area" localSheetId="10">'2009 Balance Sheet'!$A$1:$B$231</definedName>
    <definedName name="_xlnm.Print_Area" localSheetId="12">'2010 Balance Sheet'!$A$1:$B$232</definedName>
    <definedName name="_xlnm.Print_Area" localSheetId="14">'2011 Balance Sheet'!$A$1:$B$231</definedName>
    <definedName name="_xlnm.Print_Area" localSheetId="16">'2012 Balance Shee'!$A$1:$B$231</definedName>
    <definedName name="_xlnm.Print_Area" localSheetId="1">'FA Continuity 2008'!$A$1:$N$55</definedName>
    <definedName name="_xlnm.Print_Area" localSheetId="2">'FA Continuity 2009'!$A$1:$M$55</definedName>
    <definedName name="_xlnm.Print_Area" localSheetId="3">'FA Continuity 2010'!$A$1:$M$55</definedName>
    <definedName name="_xlnm.Print_Area" localSheetId="6">'FA Continuity 2012'!$A$1:$M$55</definedName>
    <definedName name="_xlnm.Print_Area" localSheetId="4">'FA Continuity MIFRS 2011'!$A$1:$M$55</definedName>
    <definedName name="_xlnm.Print_Area" localSheetId="18">'Return on Capital'!$A$1:$AD$43</definedName>
    <definedName name="_xlnm.Print_Area" localSheetId="25">'Tax Adjustments 2011'!$A$1:$F$78</definedName>
    <definedName name="_xlnm.Print_Area" localSheetId="26">'Tax Adjustments 2012'!$B$1:$F$78</definedName>
    <definedName name="_xlnm.Print_Area" localSheetId="7">'Trial Balance'!$A$1:$L$398</definedName>
    <definedName name="_xlnm.Print_Titles" localSheetId="8">'2008 Balance Sheet'!$5:$5</definedName>
    <definedName name="_xlnm.Print_Titles" localSheetId="9">'2008 Income Statement'!$5:$5</definedName>
    <definedName name="_xlnm.Print_Titles" localSheetId="10">'2009 Balance Sheet'!$5:$5</definedName>
    <definedName name="_xlnm.Print_Titles" localSheetId="11">'2009 Income Statement'!$5:$5</definedName>
    <definedName name="_xlnm.Print_Titles" localSheetId="12">'2010 Balance Sheet'!$5:$5</definedName>
    <definedName name="_xlnm.Print_Titles" localSheetId="13">'2010 Income Statement'!$5:$5</definedName>
    <definedName name="_xlnm.Print_Titles" localSheetId="14">'2011 Balance Sheet'!$5:$5</definedName>
    <definedName name="_xlnm.Print_Titles" localSheetId="15">'2011 Income Statement'!$5:$5</definedName>
    <definedName name="_xlnm.Print_Titles" localSheetId="16">'2012 Balance Shee'!$5:$5</definedName>
    <definedName name="_xlnm.Print_Titles" localSheetId="17">'2012 Income Statement'!$5:$5</definedName>
    <definedName name="_xlnm.Print_Titles" localSheetId="27">'2012 Rev Deficiency'!$5:$5</definedName>
    <definedName name="_xlnm.Print_Titles" localSheetId="25">'Tax Adjustments 2011'!$4:$4</definedName>
    <definedName name="_xlnm.Print_Titles" localSheetId="26">'Tax Adjustments 2012'!$4:$4</definedName>
    <definedName name="_xlnm.Print_Titles" localSheetId="7">'Trial Balance'!$4:$5</definedName>
    <definedName name="Ratebase" localSheetId="6">'[1]Distribution Revenue by Source'!$C$25</definedName>
    <definedName name="Ratebase" localSheetId="4">'[1]Distribution Revenue by Source'!$C$25</definedName>
    <definedName name="Ratebase">'[2]Distribution Revenue by Source'!$C$25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26" authorId="0">
      <text>
        <r>
          <rPr>
            <b/>
            <sz val="8"/>
            <rFont val="Tahoma"/>
            <family val="2"/>
          </rPr>
          <t>Part of CEC calculation</t>
        </r>
      </text>
    </comment>
  </commentList>
</comments>
</file>

<file path=xl/comments21.xml><?xml version="1.0" encoding="utf-8"?>
<comments xmlns="http://schemas.openxmlformats.org/spreadsheetml/2006/main">
  <authors>
    <author>Jenn Carruthers</author>
  </authors>
  <commentList>
    <comment ref="B11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12% for first 6 months of 2011, then to 11.5% last 6 mos. *sarting july 1, 2011*</t>
        </r>
      </text>
    </comment>
    <comment ref="C11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Jan 1 2012- June 30 2012,  is 11.5% then 11 % for remainder.. Avg. is 11.25%</t>
        </r>
      </text>
    </comment>
  </commentList>
</comments>
</file>

<file path=xl/comments22.xml><?xml version="1.0" encoding="utf-8"?>
<comments xmlns="http://schemas.openxmlformats.org/spreadsheetml/2006/main">
  <authors>
    <author>User</author>
    <author>David Proctor</author>
  </authors>
  <commentLis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H9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E63" authorId="0">
      <text>
        <r>
          <rPr>
            <b/>
            <sz val="8"/>
            <rFont val="Tahoma"/>
            <family val="2"/>
          </rPr>
          <t>Input the CEC deduction rate</t>
        </r>
      </text>
    </comment>
    <comment ref="K23" authorId="1">
      <text>
        <r>
          <rPr>
            <b/>
            <sz val="9"/>
            <rFont val="Tahoma"/>
            <family val="2"/>
          </rPr>
          <t>David Proctor:</t>
        </r>
        <r>
          <rPr>
            <sz val="9"/>
            <rFont val="Tahoma"/>
            <family val="2"/>
          </rPr>
          <t xml:space="preserve">
Formula changed to deduct disposals</t>
        </r>
      </text>
    </comment>
  </commentList>
</comments>
</file>

<file path=xl/comments23.xml><?xml version="1.0" encoding="utf-8"?>
<comments xmlns="http://schemas.openxmlformats.org/spreadsheetml/2006/main">
  <authors>
    <author>User</author>
  </authors>
  <commentLis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H9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E63" authorId="0">
      <text>
        <r>
          <rPr>
            <b/>
            <sz val="8"/>
            <rFont val="Tahoma"/>
            <family val="2"/>
          </rPr>
          <t>Input the CEC deduction rate</t>
        </r>
      </text>
    </comment>
  </commentList>
</comments>
</file>

<file path=xl/comments24.xml><?xml version="1.0" encoding="utf-8"?>
<comments xmlns="http://schemas.openxmlformats.org/spreadsheetml/2006/main">
  <authors>
    <author>BenumMa</author>
  </authors>
  <commentList>
    <comment ref="C13" authorId="0">
      <text>
        <r>
          <rPr>
            <b/>
            <sz val="8"/>
            <rFont val="Tahoma"/>
            <family val="2"/>
          </rPr>
          <t xml:space="preserve">Please Note that if this cell is red then total does not balance to cell C65
 from worksheet "2004 Adjusted Taxable Income"
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>Please Note that if this cell is red then total does not balance to cell D65 from worksheet "2004 Adjusted Taxable Income"</t>
        </r>
      </text>
    </comment>
    <comment ref="E13" authorId="0">
      <text>
        <r>
          <rPr>
            <b/>
            <sz val="8"/>
            <rFont val="Tahoma"/>
            <family val="2"/>
          </rPr>
          <t>Please Note that if this cell is red then total does not balance to cell E65 from worksheet "2004 Adjusted Taxable Income"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Please Note that if this cell is red then total does not balance to cell C32 from worksheet "2004 Adjusted Taxable Income"</t>
        </r>
      </text>
    </comment>
    <comment ref="D32" authorId="0">
      <text>
        <r>
          <rPr>
            <b/>
            <sz val="8"/>
            <rFont val="Tahoma"/>
            <family val="2"/>
          </rPr>
          <t>Please Note that if this cell is red then total does not balance to cell D32 from worksheet "2004 Adjusted Taxable Income"</t>
        </r>
      </text>
    </comment>
    <comment ref="E32" authorId="0">
      <text>
        <r>
          <rPr>
            <b/>
            <sz val="8"/>
            <rFont val="Tahoma"/>
            <family val="2"/>
          </rPr>
          <t>Please Note that if this cell is red then total does not balance to cell E32 from worksheet "2004 Adjusted Taxable Income"</t>
        </r>
      </text>
    </comment>
  </commentList>
</comments>
</file>

<file path=xl/comments26.xml><?xml version="1.0" encoding="utf-8"?>
<comments xmlns="http://schemas.openxmlformats.org/spreadsheetml/2006/main">
  <authors>
    <author>User</author>
  </authors>
  <commentList>
    <comment ref="B78" authorId="0">
      <text>
        <r>
          <rPr>
            <sz val="10"/>
            <rFont val="Tahoma"/>
            <family val="2"/>
          </rPr>
          <t>Used in the determination of PILs</t>
        </r>
      </text>
    </comment>
  </commentList>
</comments>
</file>

<file path=xl/comments27.xml><?xml version="1.0" encoding="utf-8"?>
<comments xmlns="http://schemas.openxmlformats.org/spreadsheetml/2006/main">
  <authors>
    <author>User</author>
  </authors>
  <commentList>
    <comment ref="B78" authorId="0">
      <text>
        <r>
          <rPr>
            <sz val="10"/>
            <rFont val="Tahoma"/>
            <family val="2"/>
          </rPr>
          <t>Used in the determination of PILs</t>
        </r>
      </text>
    </comment>
  </commentList>
</comments>
</file>

<file path=xl/comments29.xml><?xml version="1.0" encoding="utf-8"?>
<comments xmlns="http://schemas.openxmlformats.org/spreadsheetml/2006/main">
  <authors>
    <author>Jenn Carruthers</author>
  </authors>
  <commentList>
    <comment ref="D20" authorId="0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see comment cell D7</t>
        </r>
      </text>
    </comment>
  </commentList>
</comments>
</file>

<file path=xl/comments30.xml><?xml version="1.0" encoding="utf-8"?>
<comments xmlns="http://schemas.openxmlformats.org/spreadsheetml/2006/main">
  <authors>
    <author>User</author>
  </authors>
  <commentList>
    <comment ref="C15" authorId="0">
      <text>
        <r>
          <rPr>
            <sz val="8"/>
            <rFont val="Tahoma"/>
            <family val="2"/>
          </rPr>
          <t>This is the portion of the SSS Admin cost ($0.25 on each invoice) that is calculated as a revenue offset</t>
        </r>
      </text>
    </comment>
  </commentList>
</comments>
</file>

<file path=xl/comments7.xml><?xml version="1.0" encoding="utf-8"?>
<comments xmlns="http://schemas.openxmlformats.org/spreadsheetml/2006/main">
  <authors>
    <author>BAshby</author>
    <author>Jenn Carruthers</author>
  </authors>
  <commentList>
    <comment ref="P9" authorId="0">
      <text>
        <r>
          <rPr>
            <b/>
            <sz val="8"/>
            <rFont val="Tahoma"/>
            <family val="2"/>
          </rPr>
          <t>BAshby:</t>
        </r>
        <r>
          <rPr>
            <sz val="8"/>
            <rFont val="Tahoma"/>
            <family val="2"/>
          </rPr>
          <t xml:space="preserve">
hide this column
</t>
        </r>
      </text>
    </comment>
    <comment ref="Q32" authorId="1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added half year on GP</t>
        </r>
      </text>
    </comment>
    <comment ref="Q45" authorId="1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added 2,k for half year additins
</t>
        </r>
      </text>
    </comment>
    <comment ref="Q35" authorId="1">
      <text>
        <r>
          <rPr>
            <b/>
            <sz val="9"/>
            <rFont val="Tahoma"/>
            <family val="2"/>
          </rPr>
          <t>Jenn Carruthers:</t>
        </r>
        <r>
          <rPr>
            <sz val="9"/>
            <rFont val="Tahoma"/>
            <family val="2"/>
          </rPr>
          <t xml:space="preserve">
includes  5400 haf year, plus py full amort on 75000
</t>
        </r>
      </text>
    </comment>
  </commentList>
</comments>
</file>

<file path=xl/comments8.xml><?xml version="1.0" encoding="utf-8"?>
<comments xmlns="http://schemas.openxmlformats.org/spreadsheetml/2006/main">
  <authors>
    <author>BAshby</author>
    <author>David Proctor</author>
    <author>allan</author>
  </authors>
  <commentList>
    <comment ref="K15" authorId="0">
      <text>
        <r>
          <rPr>
            <b/>
            <sz val="8"/>
            <rFont val="Tahoma"/>
            <family val="2"/>
          </rPr>
          <t>BAshby:</t>
        </r>
        <r>
          <rPr>
            <sz val="8"/>
            <rFont val="Tahoma"/>
            <family val="2"/>
          </rPr>
          <t xml:space="preserve">
Increase by customer </t>
        </r>
      </text>
    </comment>
    <comment ref="H58" authorId="1">
      <text>
        <r>
          <rPr>
            <b/>
            <sz val="9"/>
            <rFont val="Tahoma"/>
            <family val="2"/>
          </rPr>
          <t>David Proctor:</t>
        </r>
        <r>
          <rPr>
            <sz val="9"/>
            <rFont val="Tahoma"/>
            <family val="2"/>
          </rPr>
          <t xml:space="preserve">
1531 Microfit costs
</t>
        </r>
      </text>
    </comment>
    <comment ref="H96" authorId="2">
      <text>
        <r>
          <rPr>
            <b/>
            <sz val="8"/>
            <rFont val="Tahoma"/>
            <family val="2"/>
          </rPr>
          <t>allan:</t>
        </r>
        <r>
          <rPr>
            <sz val="8"/>
            <rFont val="Tahoma"/>
            <family val="2"/>
          </rPr>
          <t xml:space="preserve">
Includes SM from Contin row 17
</t>
        </r>
      </text>
    </comment>
    <comment ref="J96" authorId="2">
      <text>
        <r>
          <rPr>
            <b/>
            <sz val="8"/>
            <rFont val="Tahoma"/>
            <family val="2"/>
          </rPr>
          <t>allan:</t>
        </r>
        <r>
          <rPr>
            <sz val="8"/>
            <rFont val="Tahoma"/>
            <family val="2"/>
          </rPr>
          <t xml:space="preserve">
includes SM from cont row 17</t>
        </r>
      </text>
    </comment>
    <comment ref="L96" authorId="2">
      <text>
        <r>
          <rPr>
            <b/>
            <sz val="8"/>
            <rFont val="Tahoma"/>
            <family val="2"/>
          </rPr>
          <t>allan:</t>
        </r>
        <r>
          <rPr>
            <sz val="8"/>
            <rFont val="Tahoma"/>
            <family val="2"/>
          </rPr>
          <t xml:space="preserve">
includes SM from Contin row 17</t>
        </r>
      </text>
    </comment>
  </commentList>
</comments>
</file>

<file path=xl/sharedStrings.xml><?xml version="1.0" encoding="utf-8"?>
<sst xmlns="http://schemas.openxmlformats.org/spreadsheetml/2006/main" count="2058" uniqueCount="935">
  <si>
    <t>NS</t>
  </si>
  <si>
    <t>CS</t>
  </si>
  <si>
    <t>Mtaint Dist Stn Equip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</si>
  <si>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</si>
  <si>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</si>
  <si>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</si>
  <si>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</si>
  <si>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Street Lighting and Signal Systems</t>
  </si>
  <si>
    <t>Sentinel Lights - Labour</t>
  </si>
  <si>
    <t>Sentinel Lights - Materials and Expenses</t>
  </si>
  <si>
    <t>Maintenance of Meters</t>
  </si>
  <si>
    <t>Customer Installations Expenses - Leased Property</t>
  </si>
  <si>
    <t>Maintenance of Other Installations on Customer Premises</t>
  </si>
  <si>
    <t>Purchase of Transmission and System Services</t>
  </si>
  <si>
    <t>Transmission Charges</t>
  </si>
  <si>
    <t>Transmission Charges Recovered</t>
  </si>
  <si>
    <t>Meter Reading Expense</t>
  </si>
  <si>
    <t>Customer Billing</t>
  </si>
  <si>
    <t>Collecting - Cash Over and Short</t>
  </si>
  <si>
    <t>Collection Charges</t>
  </si>
  <si>
    <t>Bad Debt Expense</t>
  </si>
  <si>
    <t>Miscellaneous Customer Accounts Expenses</t>
  </si>
  <si>
    <t>Community Relations - Sundry</t>
  </si>
  <si>
    <t>Energy Conservation</t>
  </si>
  <si>
    <t>Community Safety Program</t>
  </si>
  <si>
    <t>Miscellaneous Customer Service and Informational Expenses</t>
  </si>
  <si>
    <t>Demonstrating and Selling Expense</t>
  </si>
  <si>
    <t>Advertising Expense</t>
  </si>
  <si>
    <t>Miscellaneous Sales Expense</t>
  </si>
  <si>
    <t>Executive Salaries and Expenses</t>
  </si>
  <si>
    <t>Management Salaries and Expenses</t>
  </si>
  <si>
    <t>General Administrative Salaries and Expenses</t>
  </si>
  <si>
    <t>Office Supplies and Expenses</t>
  </si>
  <si>
    <t>Administrative Expense Transferred-Credit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</si>
  <si>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</si>
  <si>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</si>
  <si>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</si>
  <si>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</si>
  <si>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</si>
  <si>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Expenses</t>
  </si>
  <si>
    <t>General Advertising Expenses</t>
  </si>
  <si>
    <t>Miscellaneous Expenses</t>
  </si>
  <si>
    <t xml:space="preserve">Rent  </t>
  </si>
  <si>
    <t>Maintenance of General Plant</t>
  </si>
  <si>
    <t>Electrical Safety Authority Fees</t>
  </si>
  <si>
    <t>Independent Market Operator Fees and Penalties</t>
  </si>
  <si>
    <t>Amortization Expense - Property, Plant and Equipment</t>
  </si>
  <si>
    <t>Amortization of Limited Term Electric Plant</t>
  </si>
  <si>
    <t>Amortization of Intangibles and Other Electric Plant</t>
  </si>
  <si>
    <t>Amortization of Electric Plant Acquisition Adjustments</t>
  </si>
  <si>
    <t>Miscellaneous Amortization</t>
  </si>
  <si>
    <t>Amortization of Unrecovered Plant and Regulatory Study Costs</t>
  </si>
  <si>
    <t>Amortization of Deferred Development Costs</t>
  </si>
  <si>
    <t>Amortization of Deferred Charges</t>
  </si>
  <si>
    <t>Interest on Long Term Debt</t>
  </si>
  <si>
    <t>Amortization of Debt Discount and Expense</t>
  </si>
  <si>
    <t>Amortization of Premium on Debt-Credit</t>
  </si>
  <si>
    <t>Amortization of Loss on Reacquired Debt</t>
  </si>
  <si>
    <t>Amortization of Gain on Reacquired Debt-Credit</t>
  </si>
  <si>
    <t>Interest on Debt to Associated Companies</t>
  </si>
  <si>
    <t>Other Interest Expense</t>
  </si>
  <si>
    <t>Allowance for Borrowed Funds Used During Construction-Credit</t>
  </si>
  <si>
    <t>Allowance for Other Funds Used During Construction</t>
  </si>
  <si>
    <t>Interest Expense on Capital Lease Obligations</t>
  </si>
  <si>
    <t>Taxes Other Than Income Taxes</t>
  </si>
  <si>
    <t>Income Taxes</t>
  </si>
  <si>
    <t>Provision for Future Income Taxes</t>
  </si>
  <si>
    <t>Life Insurance</t>
  </si>
  <si>
    <t>Penalties</t>
  </si>
  <si>
    <t>Extraordinary Income</t>
  </si>
  <si>
    <t>Extraordinary Deductions</t>
  </si>
  <si>
    <t>Income Taxes, Extraordinary Items</t>
  </si>
  <si>
    <t>TOTALS</t>
  </si>
  <si>
    <t>Other</t>
  </si>
  <si>
    <t>3050-Revenues From Services - Distirbution Total</t>
  </si>
  <si>
    <t>3100-Other Operating Revenues</t>
  </si>
  <si>
    <t>3800-Administrative and General Expenses Total</t>
  </si>
  <si>
    <t>3850-Amortization Expense</t>
  </si>
  <si>
    <t>3850-Amortization Expense Total</t>
  </si>
  <si>
    <t>3900-Interest Expense</t>
  </si>
  <si>
    <t>1450-Distribution Plant Total</t>
  </si>
  <si>
    <t>1500-General Plant</t>
  </si>
  <si>
    <t>3150-Other Income &amp; Deductions Total</t>
  </si>
  <si>
    <t>3200-Investment Income</t>
  </si>
  <si>
    <t>3200-Investment Income Total</t>
  </si>
  <si>
    <t>3350-Power Supply Expenses</t>
  </si>
  <si>
    <t>3100-Other Operating Revenues Total</t>
  </si>
  <si>
    <t>3150-Other Income &amp; Deductions</t>
  </si>
  <si>
    <t>3550-Distribution Expenses - Maintenance Total</t>
  </si>
  <si>
    <t>3650-Billing and Collecting</t>
  </si>
  <si>
    <t>Utility Only Opening Balance</t>
  </si>
  <si>
    <t xml:space="preserve"> Balance for Bridge Year </t>
  </si>
  <si>
    <t xml:space="preserve"> Balance for Test Year </t>
  </si>
  <si>
    <t xml:space="preserve">Amount to be used in Year </t>
  </si>
  <si>
    <t>Application of  Loss Carry Forward to reduce taxable income in Year</t>
  </si>
  <si>
    <t>Balance available  in Year</t>
  </si>
  <si>
    <t>Balance available for use next Year</t>
  </si>
  <si>
    <t>3650-Billing and Collecting Total</t>
  </si>
  <si>
    <t>3700-Community Relations</t>
  </si>
  <si>
    <t>3700-Community Relations Total</t>
  </si>
  <si>
    <t>3800-Administrative and General Expenses</t>
  </si>
  <si>
    <t>1100-Inventory Total</t>
  </si>
  <si>
    <t>1150-Non-Current Assets</t>
  </si>
  <si>
    <t>1150-Non-Current Assets Total</t>
  </si>
  <si>
    <t>1200-Other Assets and Deferred Charges</t>
  </si>
  <si>
    <t>Current Assets</t>
  </si>
  <si>
    <t>Inventory</t>
  </si>
  <si>
    <t>Other Assets and Deferred Charges</t>
  </si>
  <si>
    <t>Non-Current Assets</t>
  </si>
  <si>
    <t>Fixed Assets</t>
  </si>
  <si>
    <t>Other Capital Assets</t>
  </si>
  <si>
    <t>Accumulated Amortization</t>
  </si>
  <si>
    <t>Current Liabilities</t>
  </si>
  <si>
    <t>Non-Current Liabilities</t>
  </si>
  <si>
    <t>Other Liabilities and Deferred Credits</t>
  </si>
  <si>
    <t>Shareholders' Equity</t>
  </si>
  <si>
    <t>Sales of Electricity</t>
  </si>
  <si>
    <t>Revenues From Services - Distribution</t>
  </si>
  <si>
    <t>Other Operating Revenues</t>
  </si>
  <si>
    <t>Other Income/ Deductions</t>
  </si>
  <si>
    <t>Investment Income</t>
  </si>
  <si>
    <t>Other Power Supply Expenses</t>
  </si>
  <si>
    <t>Other Expenses</t>
  </si>
  <si>
    <t>Sales Expenses</t>
  </si>
  <si>
    <t>Interest Expense</t>
  </si>
  <si>
    <t>Amortization Expense</t>
  </si>
  <si>
    <t>Taxes</t>
  </si>
  <si>
    <t>Extraordinary Items</t>
  </si>
  <si>
    <t>Other Accounts</t>
  </si>
  <si>
    <t>Cost of Power Adjustments</t>
  </si>
  <si>
    <t>System Control and Load Dispatching</t>
  </si>
  <si>
    <t>Competition Transition Expense</t>
  </si>
  <si>
    <t>Rural Rate Assistance Expense</t>
  </si>
  <si>
    <t>PILs and Tax Variance for 2006 &amp; Subsequent Years</t>
  </si>
  <si>
    <t>Billed WMS-One Time</t>
  </si>
  <si>
    <t>Maintenance of Transformer Station Equipment</t>
  </si>
  <si>
    <t>OM&amp;A Contra Account</t>
  </si>
  <si>
    <t>4080</t>
  </si>
  <si>
    <t>3000-Sales of Electricity</t>
  </si>
  <si>
    <t>3000-Sales of Electricity Total</t>
  </si>
  <si>
    <t>3050-Revenues From Services - Distirbution</t>
  </si>
  <si>
    <t>1500-General Plant Total</t>
  </si>
  <si>
    <t>1550-Other Capital Assets</t>
  </si>
  <si>
    <t>1550-Other Capital Assets Total</t>
  </si>
  <si>
    <t>1600-Accumulated Amortization</t>
  </si>
  <si>
    <t>1050-Current Assets</t>
  </si>
  <si>
    <t>1050-Current Assets Total</t>
  </si>
  <si>
    <t>1100-Inventory</t>
  </si>
  <si>
    <t>1600-Accumulated Amortization Total</t>
  </si>
  <si>
    <t>1650-Current Liabilities</t>
  </si>
  <si>
    <t>Total</t>
  </si>
  <si>
    <t>1200-Other Assets and Deferred Charges Total</t>
  </si>
  <si>
    <t>1450-Distribution Plant</t>
  </si>
  <si>
    <t>1700-Non-Current Liabilities Total</t>
  </si>
  <si>
    <t>1800-Long-Term Debt</t>
  </si>
  <si>
    <t>1800-Long-Term Debt Total</t>
  </si>
  <si>
    <t>1850-Shareholders' Equity</t>
  </si>
  <si>
    <t>Distribution Expenses - Operation</t>
  </si>
  <si>
    <t>2008</t>
  </si>
  <si>
    <t>2008 STATEMENT OF INCOME AND RETAINED EARNINGS</t>
  </si>
  <si>
    <t>2008 BALANCE SHEET</t>
  </si>
  <si>
    <t>Total Interest Cost for 2009</t>
  </si>
  <si>
    <t>Weighted Debt Cost Rate for 2009</t>
  </si>
  <si>
    <t>Return</t>
  </si>
  <si>
    <t>Rate of Return</t>
  </si>
  <si>
    <t>Rate%</t>
  </si>
  <si>
    <t>Year Applied to</t>
  </si>
  <si>
    <t>Return On Equity</t>
  </si>
  <si>
    <t>Rate</t>
  </si>
  <si>
    <t>Long-Term Debt</t>
  </si>
  <si>
    <t>Short-Tern Debt</t>
  </si>
  <si>
    <t>Regulated Rate of Return</t>
  </si>
  <si>
    <t>Deemed Portion</t>
  </si>
  <si>
    <t>Effective Rate</t>
  </si>
  <si>
    <t>Description</t>
  </si>
  <si>
    <t>Distribution Expenses</t>
  </si>
  <si>
    <t>$</t>
  </si>
  <si>
    <t>Total Eligible Distribution Expenses</t>
  </si>
  <si>
    <t>Working Capital Allowance</t>
  </si>
  <si>
    <t>Total Rate Base</t>
  </si>
  <si>
    <t>Regulated Return On Capital</t>
  </si>
  <si>
    <t>Deemed Interest Expense</t>
  </si>
  <si>
    <t>Deemed Return on Equity</t>
  </si>
  <si>
    <t>Distribution Expenses - Maintenance</t>
  </si>
  <si>
    <t>Billing and Collecting</t>
  </si>
  <si>
    <t>Community Relations</t>
  </si>
  <si>
    <t>Administrative and General Expenses</t>
  </si>
  <si>
    <t>Taxes Other than Income Taxes</t>
  </si>
  <si>
    <t>Power Supply Expenses</t>
  </si>
  <si>
    <t>2009</t>
  </si>
  <si>
    <t>2009 BALANCE SHEET</t>
  </si>
  <si>
    <t>2009 STATEMENT OF INCOME AND RETAINED EARNINGS</t>
  </si>
  <si>
    <t>WORKING CAPITAL ALLOWANCE FOR 2009</t>
  </si>
  <si>
    <t>RATE BASE CALCULATION FOR 2009</t>
  </si>
  <si>
    <t>Fixed Assets Opening Balance 2009</t>
  </si>
  <si>
    <t>Fixed Assets Closing Balance 2009</t>
  </si>
  <si>
    <t>Total Working Capital Expenses</t>
  </si>
  <si>
    <t>Working Capital Allowance rate of 15%</t>
  </si>
  <si>
    <t>Fixed Assets Opening Balance 2008</t>
  </si>
  <si>
    <t xml:space="preserve">Rate Base  </t>
  </si>
  <si>
    <t>Regulated Return on Capital</t>
  </si>
  <si>
    <t>WORKING CAPITAL ALLOWANCE FOR 2008</t>
  </si>
  <si>
    <t>CCA Class</t>
  </si>
  <si>
    <t>N/A</t>
  </si>
  <si>
    <t>WIP</t>
  </si>
  <si>
    <t>Storage Battery Equipment</t>
  </si>
  <si>
    <t>Other Deductions</t>
  </si>
  <si>
    <t>Name of Applicant:</t>
  </si>
  <si>
    <t>File Number</t>
  </si>
  <si>
    <t>Fixed Asset Continuity Schedule (Distribution &amp; Operations)</t>
  </si>
  <si>
    <t>Contact:</t>
  </si>
  <si>
    <t>License Number</t>
  </si>
  <si>
    <t>Date of Application:</t>
  </si>
  <si>
    <t>Debt &amp; Capital Cost Structure</t>
  </si>
  <si>
    <t>Opening Balance</t>
  </si>
  <si>
    <t>Closing Balance</t>
  </si>
  <si>
    <t>Net Book Value</t>
  </si>
  <si>
    <t>Total before Work in Process</t>
  </si>
  <si>
    <t>Total after Work in Process</t>
  </si>
  <si>
    <t>Rates of Return, Working Capital Allowance &amp; Rate Base Calculations</t>
  </si>
  <si>
    <t>Corporate Tax Rates</t>
  </si>
  <si>
    <t xml:space="preserve">    Revenue Deficiency</t>
  </si>
  <si>
    <t xml:space="preserve">    Distribution Revenue </t>
  </si>
  <si>
    <t xml:space="preserve">    Other Operating Revenue (Net) </t>
  </si>
  <si>
    <t xml:space="preserve">    Operation &amp; Maintenance  </t>
  </si>
  <si>
    <t xml:space="preserve">    Depreciation &amp; Amortization  </t>
  </si>
  <si>
    <t xml:space="preserve">    Property Taxes</t>
  </si>
  <si>
    <t xml:space="preserve">    Capital Taxes  </t>
  </si>
  <si>
    <t xml:space="preserve">    Deemed Interest</t>
  </si>
  <si>
    <t xml:space="preserve">    Corporate Income Taxes</t>
  </si>
  <si>
    <t xml:space="preserve">    Total Rate Base</t>
  </si>
  <si>
    <t xml:space="preserve">    Exemption</t>
  </si>
  <si>
    <t xml:space="preserve">    Deemed Taxable Capital</t>
  </si>
  <si>
    <t xml:space="preserve">    Ontario Capital Tax</t>
  </si>
  <si>
    <t xml:space="preserve">    Accounting Income</t>
  </si>
  <si>
    <t xml:space="preserve">    Tax Adjustments to Accounting Income</t>
  </si>
  <si>
    <t xml:space="preserve">    Rate Base</t>
  </si>
  <si>
    <t xml:space="preserve">    Interest Expense</t>
  </si>
  <si>
    <t xml:space="preserve">    Net Income</t>
  </si>
  <si>
    <t xml:space="preserve">    Return on Debt (Weighted)</t>
  </si>
  <si>
    <t xml:space="preserve">    Return on Equity</t>
  </si>
  <si>
    <t xml:space="preserve">    Deemed Interest Expense</t>
  </si>
  <si>
    <t xml:space="preserve">    Return On Equity</t>
  </si>
  <si>
    <t xml:space="preserve">    Less OCT Included Above</t>
  </si>
  <si>
    <t>RATE BASE CALCULATION FOR 2008</t>
  </si>
  <si>
    <t>Fixed Assets Closing Balance 2008</t>
  </si>
  <si>
    <t>Average Fixed Asset Balance for 2008</t>
  </si>
  <si>
    <t>Total Assets</t>
  </si>
  <si>
    <t>Cost</t>
  </si>
  <si>
    <t>Accumulated Depreciation</t>
  </si>
  <si>
    <t>Balance</t>
  </si>
  <si>
    <t>Work in Process</t>
  </si>
  <si>
    <t>Less:  Fully Allocated Depreciation</t>
  </si>
  <si>
    <t>Transportation</t>
  </si>
  <si>
    <t>Net Depreciation</t>
  </si>
  <si>
    <t>Balance Sheet Total</t>
  </si>
  <si>
    <t>Total Liabilities &amp; Shareholder's Equity</t>
  </si>
  <si>
    <t>Weighted Debt Cost Rate for 2008</t>
  </si>
  <si>
    <t>Tax Exhibit</t>
  </si>
  <si>
    <t>Tax Rate</t>
  </si>
  <si>
    <t>Deemed Utility Income</t>
  </si>
  <si>
    <t>Taxable Income prior to adjusting revenue to PILs</t>
  </si>
  <si>
    <t>Grossed up PILs</t>
  </si>
  <si>
    <t>Total PILs before gross up</t>
  </si>
  <si>
    <t>Total Interest Cost for 2008</t>
  </si>
  <si>
    <t>Non-deductible life insurance premiums</t>
  </si>
  <si>
    <t>Non-deductible company pension plans</t>
  </si>
  <si>
    <t>Reserves from financial statements- balance at end of year</t>
  </si>
  <si>
    <t>Soft costs on construction and renovation of buildings</t>
  </si>
  <si>
    <t>Buildings (No footings below ground)</t>
  </si>
  <si>
    <t>Computers &amp; Systems Hardware acq'd post Mar 19/07</t>
  </si>
  <si>
    <t>Computers &amp; Systems Hardware acq'd post Mar 22/04</t>
  </si>
  <si>
    <t>Book loss on joint ventures or partnerships</t>
  </si>
  <si>
    <t>Capital items expensed</t>
  </si>
  <si>
    <t>Debt issue expense</t>
  </si>
  <si>
    <t>Development expenses claimed in current year</t>
  </si>
  <si>
    <t>Financing fees deducted in books</t>
  </si>
  <si>
    <t>Gain on settlement of debt</t>
  </si>
  <si>
    <t>Non-deductible advertising</t>
  </si>
  <si>
    <t>Non-deductible interest</t>
  </si>
  <si>
    <t>Non-deductible legal and accounting fees</t>
  </si>
  <si>
    <t>Recapture of SR&amp;ED expenditures</t>
  </si>
  <si>
    <t>Share issue expense</t>
  </si>
  <si>
    <t>Write down of capital property</t>
  </si>
  <si>
    <t>Amounts received in respect of qualifying environment trust per paragraphs 12(1)(z.1) and 12(1)(z.2)</t>
  </si>
  <si>
    <t>Interest Expensed on Capital Leases</t>
  </si>
  <si>
    <t>Reveneue Requirement Rebasing Model</t>
  </si>
  <si>
    <t>Realized Income from Deferred Credit Accounts</t>
  </si>
  <si>
    <t>Pensions</t>
  </si>
  <si>
    <t>Non-deductible penalties</t>
  </si>
  <si>
    <t>Debt Financing Expenses for Book Purposes</t>
  </si>
  <si>
    <t>Total Additions</t>
  </si>
  <si>
    <t>Deductions:</t>
  </si>
  <si>
    <t>Gain on disposal of assets per financial statements</t>
  </si>
  <si>
    <t>Dividends not taxable under section 83</t>
  </si>
  <si>
    <t>Capital cost allowance from Schedule 8</t>
  </si>
  <si>
    <t>Terminal loss from Schedule 8</t>
  </si>
  <si>
    <t>Cumulative eligible capital deduction from Schedule 10</t>
  </si>
  <si>
    <t>Allowable business investment loss</t>
  </si>
  <si>
    <t>Scientific research expenses claimed in year</t>
  </si>
  <si>
    <t>Reserves from financial statements - balance at beginning of year</t>
  </si>
  <si>
    <t>Contributions to deferred income plans</t>
  </si>
  <si>
    <t>Book income of joint venture or partnership</t>
  </si>
  <si>
    <t>Equity in income from subsidiary or affiliates</t>
  </si>
  <si>
    <t>Interest capitalized for accounting deducted for tax</t>
  </si>
  <si>
    <t>Capital Lease Payments</t>
  </si>
  <si>
    <t xml:space="preserve">Non-taxable imputed interest income on deferral and variance accounts </t>
  </si>
  <si>
    <t>Financing Fees for Tax Under S.20(1)(e)</t>
  </si>
  <si>
    <t>Total Deductions</t>
  </si>
  <si>
    <t>Charitable donations from Schedule 2</t>
  </si>
  <si>
    <t>Limited partnership losses of preceding taxation years from Schedule 4</t>
  </si>
  <si>
    <t>Line Item</t>
  </si>
  <si>
    <t>Additions</t>
  </si>
  <si>
    <t>Disposals</t>
  </si>
  <si>
    <t>Cumulative Eligible Capital</t>
  </si>
  <si>
    <t>Other Adjustments</t>
  </si>
  <si>
    <t>Subtotal</t>
  </si>
  <si>
    <t>x 3/4 =</t>
  </si>
  <si>
    <t>x 1/2 =</t>
  </si>
  <si>
    <t>Amount transferred on amalgamation or wind-up of subsidiary</t>
  </si>
  <si>
    <t>Cumulative Eligible Capital Balance</t>
  </si>
  <si>
    <t>CEC Deduction</t>
  </si>
  <si>
    <t>Eliminate Amounts Not Relevant for Test Year
Sign Convention:
Increase (+) Decrease (-)</t>
  </si>
  <si>
    <t>Disallowed Expenses</t>
  </si>
  <si>
    <t>Capital Gains Reserves ss.40(1)</t>
  </si>
  <si>
    <t>Tax Reserves Not Deducted for accounting purposes</t>
  </si>
  <si>
    <t>Reserve for doubtful accounts ss. 20(1)(l)</t>
  </si>
  <si>
    <t>Reserve for goods and services not delivered ss. 20(1)(m)</t>
  </si>
  <si>
    <t>Reserve for unpaid amounts ss. 20(1)(n)</t>
  </si>
  <si>
    <t>Debt &amp; Share Issue Expenses ss. 20(1)(e)</t>
  </si>
  <si>
    <t>Other tax reserves</t>
  </si>
  <si>
    <t>General Reserve for Inventory Obsolescence (non-specific)</t>
  </si>
  <si>
    <t>General reserve for bad debts</t>
  </si>
  <si>
    <t>Accrued Employee Future Benefits:</t>
  </si>
  <si>
    <t>- Medical and Life Insurance</t>
  </si>
  <si>
    <t>-Short &amp; Long-term Disability</t>
  </si>
  <si>
    <t>- Termination Cost</t>
  </si>
  <si>
    <t>- Other Post-Employment Benefits</t>
  </si>
  <si>
    <t>Provision for Environmental Costs</t>
  </si>
  <si>
    <t>Restructuring Costs</t>
  </si>
  <si>
    <t>Accrued Contingent Litigation Costs</t>
  </si>
  <si>
    <t>Accrued Self-Insurance Costs</t>
  </si>
  <si>
    <t>Other Contingent Liabilities</t>
  </si>
  <si>
    <t>Bonuses Accrued and Not Paid Within 180 Days of Year-End ss. 78(4)</t>
  </si>
  <si>
    <t>Unpaid Amounts to Related Person and Not Paid Within 3 Taxation Years ss. 78(1)</t>
  </si>
  <si>
    <t>Tax reserves beginning of year</t>
  </si>
  <si>
    <t>Tax reserves end of year</t>
  </si>
  <si>
    <t>Non-Capital Loss Carry Forward Deduction</t>
  </si>
  <si>
    <t>Non-capital losses of preceding taxation years from Schedule 7-1</t>
  </si>
  <si>
    <t>Net-capital losses of preceding taxation years from Schedule 7-1</t>
  </si>
  <si>
    <t>OCT</t>
  </si>
  <si>
    <t>LCT</t>
  </si>
  <si>
    <t>Exemption</t>
  </si>
  <si>
    <t>Deemed Taxable Capital</t>
  </si>
  <si>
    <t>Gross Tax Payable</t>
  </si>
  <si>
    <t>Surtax</t>
  </si>
  <si>
    <t>Total Income Taxes</t>
  </si>
  <si>
    <t>Investment Tax Credits</t>
  </si>
  <si>
    <t>Combined Income Tax Rate</t>
  </si>
  <si>
    <t>Tax
Payable</t>
  </si>
  <si>
    <t>Total PILs</t>
  </si>
  <si>
    <t>Source
or Input</t>
  </si>
  <si>
    <t>Cumulative Eligible Capital - Closing Balance</t>
  </si>
  <si>
    <t>Cost of Eligible Capital Property Acquired during the year</t>
  </si>
  <si>
    <t>Utility
Amount</t>
  </si>
  <si>
    <t>Non-taxable portion of a non-arm's length transferor's gain realized on the transfer of an ECP to the Corporation after Friday December 31, 2002</t>
  </si>
  <si>
    <t>Cumulative Eligible Capital Calculation</t>
  </si>
  <si>
    <t>Projected proceeds of sale (less outlays and expenses not otherwise deductible) from the disposition of all ECP during the year</t>
  </si>
  <si>
    <t>Balance at December 31, Acutal Year as per tax returns</t>
  </si>
  <si>
    <t>Non-Distribution Eliminations</t>
  </si>
  <si>
    <t>Adjusted Utility Balance</t>
  </si>
  <si>
    <t>Change During the Year</t>
  </si>
  <si>
    <t>Financial Statement Reserves (not deductible for Tax Purposes)</t>
  </si>
  <si>
    <t xml:space="preserve"> -Accmulated Sick Leave</t>
  </si>
  <si>
    <t xml:space="preserve">Total </t>
  </si>
  <si>
    <r>
      <t xml:space="preserve">Non-Distribution Portion </t>
    </r>
    <r>
      <rPr>
        <b/>
        <vertAlign val="superscript"/>
        <sz val="9"/>
        <color indexed="10"/>
        <rFont val="Arial"/>
        <family val="2"/>
      </rPr>
      <t>1</t>
    </r>
  </si>
  <si>
    <t>Utility Balance</t>
  </si>
  <si>
    <t xml:space="preserve">Actual/Estimated </t>
  </si>
  <si>
    <t>Other Adjustments Add (+) Deduct (-)</t>
  </si>
  <si>
    <t>CORPORATION LOSS CONTINUITY</t>
  </si>
  <si>
    <r>
      <t xml:space="preserve">Taxable dividends deductible under section 112 or 113, from Schedule 3 </t>
    </r>
    <r>
      <rPr>
        <sz val="10"/>
        <color indexed="10"/>
        <rFont val="Arial"/>
        <family val="2"/>
      </rPr>
      <t>(item 82)</t>
    </r>
  </si>
  <si>
    <t>Taxable Income</t>
  </si>
  <si>
    <t>OM&amp;A Expenses</t>
  </si>
  <si>
    <t>Amortization Expenses</t>
  </si>
  <si>
    <t>Total Distribution Expenses</t>
  </si>
  <si>
    <t>ProjAmt</t>
  </si>
  <si>
    <t>OffsetPct</t>
  </si>
  <si>
    <t>OffsetAmt</t>
  </si>
  <si>
    <t>Revenue Offset Schedule</t>
  </si>
  <si>
    <t>Total Revenue Offsets</t>
  </si>
  <si>
    <r>
      <t>Less:</t>
    </r>
    <r>
      <rPr>
        <sz val="10"/>
        <rFont val="Arial"/>
        <family val="2"/>
      </rPr>
      <t xml:space="preserve"> Revenue Offsets</t>
    </r>
  </si>
  <si>
    <r>
      <t>Less:</t>
    </r>
    <r>
      <rPr>
        <sz val="10"/>
        <rFont val="Arial"/>
        <family val="2"/>
      </rPr>
      <t xml:space="preserve"> Capital Taxes within 6105</t>
    </r>
  </si>
  <si>
    <t>Revenue Deficiency Determination</t>
  </si>
  <si>
    <t>Revenue</t>
  </si>
  <si>
    <t xml:space="preserve">Total Revenue </t>
  </si>
  <si>
    <t>Costs and Expenses</t>
  </si>
  <si>
    <t xml:space="preserve">Total Costs and Expenses  </t>
  </si>
  <si>
    <t>Total Costs and Expenses Net of OCT</t>
  </si>
  <si>
    <t xml:space="preserve">Utility Income Before Income Taxes  </t>
  </si>
  <si>
    <t>Income Taxes:</t>
  </si>
  <si>
    <t xml:space="preserve">Utility Net Income  </t>
  </si>
  <si>
    <t>Capital Tax Expense Calculation:</t>
  </si>
  <si>
    <t>Income Tax Expense Calculation:</t>
  </si>
  <si>
    <t>Accounting Income</t>
  </si>
  <si>
    <t>Tax Adjustments to Accounting Income</t>
  </si>
  <si>
    <t>Income Tax Expense</t>
  </si>
  <si>
    <t>Actual Return on Rate Base:</t>
  </si>
  <si>
    <t>Total Actual Return on Rate Base</t>
  </si>
  <si>
    <t>Actual Return on Rate Base</t>
  </si>
  <si>
    <t>Required Return on Rate Base:</t>
  </si>
  <si>
    <t>Return Rates:</t>
  </si>
  <si>
    <t>Total Return</t>
  </si>
  <si>
    <t>Expected Return on Rate Base</t>
  </si>
  <si>
    <t xml:space="preserve">Revenue Deficiency After Tax </t>
  </si>
  <si>
    <t xml:space="preserve">Revenue Deficiency Before Tax </t>
  </si>
  <si>
    <t>Weighted Debt Rate</t>
  </si>
  <si>
    <t>Other Adjustments to Taxable Income</t>
  </si>
  <si>
    <t>Tax Adj to Accounting Income</t>
  </si>
  <si>
    <t>PILs Rates</t>
  </si>
  <si>
    <t>Tax Payable</t>
  </si>
  <si>
    <t>Net Capital Tax Payable</t>
  </si>
  <si>
    <t>PILs</t>
  </si>
  <si>
    <t>PILs including Capital Taxes</t>
  </si>
  <si>
    <t>Common Share Equity</t>
  </si>
  <si>
    <t>Long Term Debt</t>
  </si>
  <si>
    <t>Unfunded Short Term Debt</t>
  </si>
  <si>
    <t>Base Revenue Requirement</t>
  </si>
  <si>
    <t>Service Revenue Requirement</t>
  </si>
  <si>
    <t>Total Adjustments</t>
  </si>
  <si>
    <t>Weighted Debt Cost</t>
  </si>
  <si>
    <t>Debt Holder</t>
  </si>
  <si>
    <t>Affliated with LDC?</t>
  </si>
  <si>
    <t>Date of Issuance</t>
  </si>
  <si>
    <t>Principal</t>
  </si>
  <si>
    <t>Term (Years)</t>
  </si>
  <si>
    <t>Interest Cost</t>
  </si>
  <si>
    <t>% of Rate Base</t>
  </si>
  <si>
    <t>Total equity</t>
  </si>
  <si>
    <t>Federal Income Tax</t>
  </si>
  <si>
    <t>Ontario Income Tax</t>
  </si>
  <si>
    <t>Combined Income Tax</t>
  </si>
  <si>
    <t>Bridge</t>
  </si>
  <si>
    <t>Test</t>
  </si>
  <si>
    <t>Corporate Tax Rates for Tax Year:</t>
  </si>
  <si>
    <t>OCT Exemption</t>
  </si>
  <si>
    <t xml:space="preserve">    Administrative &amp; General, Billing &amp; Collecting</t>
  </si>
  <si>
    <t>Ontario Capital Tax Rate</t>
  </si>
  <si>
    <t>Large Corporation Tax Rate</t>
  </si>
  <si>
    <t>Large Corporation Tax Exemption</t>
  </si>
  <si>
    <t>Class</t>
  </si>
  <si>
    <t>Class Description</t>
  </si>
  <si>
    <t>UCC Prior Year Ending Balance</t>
  </si>
  <si>
    <t>Less: Non-Distribution Portion</t>
  </si>
  <si>
    <t>Less: Disallowed FMV Increment</t>
  </si>
  <si>
    <t>UCC Bridge Year Opening Balance</t>
  </si>
  <si>
    <t>Distribution System - 1988 to 22-Feb-2005</t>
  </si>
  <si>
    <t>Distribution System - pre 1988</t>
  </si>
  <si>
    <t>General Office/Stores Equip</t>
  </si>
  <si>
    <t>Computer Hardware/  Vehicles</t>
  </si>
  <si>
    <t>Certain Automobiles</t>
  </si>
  <si>
    <t>13 3</t>
  </si>
  <si>
    <t>Lease # 3</t>
  </si>
  <si>
    <t>13 4</t>
  </si>
  <si>
    <t>Lease # 4</t>
  </si>
  <si>
    <t>Franchise</t>
  </si>
  <si>
    <t>New Electrical Generating Equipment Acq'd after Feb 27/00 Other Than Bldgs</t>
  </si>
  <si>
    <t>Certain Energy-Efficient Electrical Generating Equipment</t>
  </si>
  <si>
    <t>Data Network Infrastructure Equipment (acq'd post Mar 22/04)</t>
  </si>
  <si>
    <t>Distribution System - post 22-Feb-2005</t>
  </si>
  <si>
    <t>SUB-TOTAL - UCC</t>
  </si>
  <si>
    <t>CEC</t>
  </si>
  <si>
    <t>Goodwill</t>
  </si>
  <si>
    <t>FMV Bump-up</t>
  </si>
  <si>
    <t>SUB-TOTAL - CEC</t>
  </si>
  <si>
    <t xml:space="preserve"> Additions</t>
  </si>
  <si>
    <t>Dispositions</t>
  </si>
  <si>
    <t>UCC Before 1/2 Yr Adjustment</t>
  </si>
  <si>
    <t>1/2 Year Rule {1/2 Additions Less Disposals}</t>
  </si>
  <si>
    <t>Reduced UCC</t>
  </si>
  <si>
    <t>Rate %</t>
  </si>
  <si>
    <t>CCA</t>
  </si>
  <si>
    <t>UCC Ending Balance</t>
  </si>
  <si>
    <t>OEB</t>
  </si>
  <si>
    <t>T2S1 line #</t>
  </si>
  <si>
    <t>Total for Legal Entity</t>
  </si>
  <si>
    <t xml:space="preserve">Non-Distribution Eliminations   </t>
  </si>
  <si>
    <t>Additions:</t>
  </si>
  <si>
    <t>Interest and penalties on taxes</t>
  </si>
  <si>
    <t>Amortization of tangible assets</t>
  </si>
  <si>
    <t>Amortization of intangible assets</t>
  </si>
  <si>
    <t>Recapture of capital cost allowance from Schedule 8</t>
  </si>
  <si>
    <t>Gain on sale of eligible capital property from Schedule 10</t>
  </si>
  <si>
    <t>Income or loss for tax purposes- joint ventures or partnerships</t>
  </si>
  <si>
    <t>Loss in equity of subsidiaries and affiliates</t>
  </si>
  <si>
    <t xml:space="preserve">Loss on disposal of assets </t>
  </si>
  <si>
    <t>Charitable donations</t>
  </si>
  <si>
    <t>Taxable Capital Gains</t>
  </si>
  <si>
    <t>Political Donations</t>
  </si>
  <si>
    <t>Deferred and prepaid expenses</t>
  </si>
  <si>
    <t>Scientific research expenditures deducted on financial statements</t>
  </si>
  <si>
    <t>Capitalized interest</t>
  </si>
  <si>
    <t>Non-deductible club dues and fees</t>
  </si>
  <si>
    <t>Non-deductible meals and entertainment expense</t>
  </si>
  <si>
    <t>Non-deductible automobile expenses</t>
  </si>
  <si>
    <t>Total Debt</t>
  </si>
  <si>
    <t>Computer Software</t>
  </si>
  <si>
    <t>1650-Current Liabilities Total</t>
  </si>
  <si>
    <t>1700-Non-Current Liabilities</t>
  </si>
  <si>
    <t>4100-Extraordinary &amp; Other Items</t>
  </si>
  <si>
    <t>4100-Extraordinary &amp; Other Items Total</t>
  </si>
  <si>
    <t>Account Description</t>
  </si>
  <si>
    <t>Leasehold Improvements</t>
  </si>
  <si>
    <t>Line Transformers</t>
  </si>
  <si>
    <t>Land</t>
  </si>
  <si>
    <t>Land Rights</t>
  </si>
  <si>
    <t>Transportation Equipment</t>
  </si>
  <si>
    <t>Stores Equipment</t>
  </si>
  <si>
    <t>Miscellaneous Equipment</t>
  </si>
  <si>
    <t>System Supervisory Equipment</t>
  </si>
  <si>
    <t>3350-Power Supply Expenses Total</t>
  </si>
  <si>
    <t>3500-Distribution Expenses - Operation</t>
  </si>
  <si>
    <t>3900-Interest Expense Total</t>
  </si>
  <si>
    <t>3950-Taxes Other Than Income Taxes</t>
  </si>
  <si>
    <t>3500-Distribution Expenses - Operation Total</t>
  </si>
  <si>
    <t>3550-Distribution Expenses - Maintenance</t>
  </si>
  <si>
    <t>3950-Taxes Other Than Income Taxes Total</t>
  </si>
  <si>
    <t>4000-Income Taxes</t>
  </si>
  <si>
    <t>4000-Income Taxes Total</t>
  </si>
  <si>
    <t>3046-Balance Transferred From Income</t>
  </si>
  <si>
    <t>1850-Shareholders' Equity Total</t>
  </si>
  <si>
    <t>Summary OEB Adjusted Trial Balance</t>
  </si>
  <si>
    <t>OEB No</t>
  </si>
  <si>
    <t>OEB Account Name</t>
  </si>
  <si>
    <t>Actual</t>
  </si>
  <si>
    <t>Cash</t>
  </si>
  <si>
    <t>Prepayments</t>
  </si>
  <si>
    <t>Accounts Receivable from Associated Companies</t>
  </si>
  <si>
    <t>Deferred PILs</t>
  </si>
  <si>
    <t>Services</t>
  </si>
  <si>
    <t>Meters</t>
  </si>
  <si>
    <t>Other Miscellaneous Non-Current Liabilities</t>
  </si>
  <si>
    <t>Other Regulatory Liabilities</t>
  </si>
  <si>
    <t>Common Shares Issued</t>
  </si>
  <si>
    <t>Energy Sales to Large Users</t>
  </si>
  <si>
    <t>Energy Sales for Resale</t>
  </si>
  <si>
    <t>Power Purchased</t>
  </si>
  <si>
    <t>Supervision</t>
  </si>
  <si>
    <t>Collecting</t>
  </si>
  <si>
    <t>Donations</t>
  </si>
  <si>
    <t>Cash Advances and Working Funds</t>
  </si>
  <si>
    <t>Interest Special Deposits</t>
  </si>
  <si>
    <t>Dividend Special Deposits</t>
  </si>
  <si>
    <t>Other Special Deposits</t>
  </si>
  <si>
    <t>Term Deposits</t>
  </si>
  <si>
    <t>Current Investments</t>
  </si>
  <si>
    <t>Customer Accounts Receivable</t>
  </si>
  <si>
    <t>Accounts Receivable - Services</t>
  </si>
  <si>
    <t>Accounts Receivable - Recoverable Work</t>
  </si>
  <si>
    <t>Accounts Receivable - Merchandise, Jobbing, etc.</t>
  </si>
  <si>
    <t>Other Accounts Receivable</t>
  </si>
  <si>
    <t>Accrued Utility Revenues</t>
  </si>
  <si>
    <t>Accumulated Provision for Uncollectable Accounts -- Credit</t>
  </si>
  <si>
    <t>Interest and Dividends Receivable</t>
  </si>
  <si>
    <t>Rents Receivable</t>
  </si>
  <si>
    <t>Notes Receivable</t>
  </si>
  <si>
    <t>Miscellaneous Current and Accrued Assets</t>
  </si>
  <si>
    <t>Notes  Receivable from Associated Companies</t>
  </si>
  <si>
    <t>Fuel Stock</t>
  </si>
  <si>
    <t>Plant Materials and Operating Supplies</t>
  </si>
  <si>
    <t>Merchandise</t>
  </si>
  <si>
    <t>Other Material and Supplies</t>
  </si>
  <si>
    <t>Long Term Investments in Non-Associated Companies</t>
  </si>
  <si>
    <t>Long Term Receivable - Street Lighting Transfer</t>
  </si>
  <si>
    <t>Other Special or Collateral Funds</t>
  </si>
  <si>
    <t>Sinking Funds</t>
  </si>
  <si>
    <t>Unamortized Debt Expense</t>
  </si>
  <si>
    <t>Unamortized Discount on Long-Term Debt--Debit</t>
  </si>
  <si>
    <t>Unamortized Deferred Foreign Currency Translation Gains and Losses</t>
  </si>
  <si>
    <t>Other Non-Current Assets</t>
  </si>
  <si>
    <t>O.M.E.R.S. Past Service Costs</t>
  </si>
  <si>
    <t>Past Service Costs - Employee Future Benefits</t>
  </si>
  <si>
    <t>Past Service Costs -Other Pension Plans</t>
  </si>
  <si>
    <t>Portfolio Investments - Associated Companies</t>
  </si>
  <si>
    <t>Investment In Subsidiary Companies - Significant Influence</t>
  </si>
  <si>
    <t>Investment in Subsidiary Companies</t>
  </si>
  <si>
    <t>Unrecovered Plant and Regulatory Study Costs</t>
  </si>
  <si>
    <t>Other Regulatory Assets</t>
  </si>
  <si>
    <t>Preliminary Survey and Investigation Charges</t>
  </si>
  <si>
    <t>Emission Allowance Inventory</t>
  </si>
  <si>
    <t>Emission Allowance Withheld</t>
  </si>
  <si>
    <t>Miscellaneous Deferred Debits</t>
  </si>
  <si>
    <t>Deferred Losses from Disposition of Utility Plant</t>
  </si>
  <si>
    <t>Development Charge Deposits/ Receivables</t>
  </si>
  <si>
    <t>RCVA - Service Transaction Request (STR)</t>
  </si>
  <si>
    <t>LV Charges - Variance</t>
  </si>
  <si>
    <t>Smart Meters Recovery</t>
  </si>
  <si>
    <t>Smart Meters OM &amp; A</t>
  </si>
  <si>
    <t>Deferred PILs - Contra</t>
  </si>
  <si>
    <t>C &amp; DM Costs</t>
  </si>
  <si>
    <t>Qualifying Transition Costs</t>
  </si>
  <si>
    <t>Pre Market CofP Variance</t>
  </si>
  <si>
    <t>Deferred Rate Impact Amounts</t>
  </si>
  <si>
    <t>RSVA - Wholesale Market Services</t>
  </si>
  <si>
    <t>RSVA - One-Time</t>
  </si>
  <si>
    <t>RSVA - Network Charges</t>
  </si>
  <si>
    <t>RSVA - Connection Charges</t>
  </si>
  <si>
    <t>RSVA - Commodity (Power)</t>
  </si>
  <si>
    <t>Buildings and Fixtures</t>
  </si>
  <si>
    <t>Transformer Station Equipment - Normally Primary above 50 kV</t>
  </si>
  <si>
    <t>Distribution Station Equipment - Normally Primary below 50 kV</t>
  </si>
  <si>
    <t>Poles, Towers and Fixtures</t>
  </si>
  <si>
    <t>Overhead Conductors and Devices</t>
  </si>
  <si>
    <t>Underground Conduit</t>
  </si>
  <si>
    <t>Underground Conductors and Devices</t>
  </si>
  <si>
    <t>Other Installations on Customer's Premises</t>
  </si>
  <si>
    <t>Office Furniture and Equipment</t>
  </si>
  <si>
    <t>Computer Equipment - Hardware</t>
  </si>
  <si>
    <t>Tools, Shop and Garage Equipment</t>
  </si>
  <si>
    <t>Measurement and Testing Equipment</t>
  </si>
  <si>
    <t>Power Operated Equipment</t>
  </si>
  <si>
    <t>Communication Equipment</t>
  </si>
  <si>
    <t xml:space="preserve">Load Management Controls - Customer Premises </t>
  </si>
  <si>
    <t>Load Management Controls - Utility Premises</t>
  </si>
  <si>
    <t>Sentinel Lighting Rentals</t>
  </si>
  <si>
    <t>Other Tangible Property</t>
  </si>
  <si>
    <t>Contributions and Grants</t>
  </si>
  <si>
    <t>Property Under Capital Leases</t>
  </si>
  <si>
    <t>Electric Plant Purchased or Sold</t>
  </si>
  <si>
    <t>Experimental Electric Plant Unclassified</t>
  </si>
  <si>
    <t>Electric Plant and Equipment Leased to Others</t>
  </si>
  <si>
    <t>Electric Plant Held for Future Use</t>
  </si>
  <si>
    <t>Completed Construction Not Classified--Electric</t>
  </si>
  <si>
    <t>Construction Work in Progress--Electric</t>
  </si>
  <si>
    <t>Electric Plant Acquisition Adjustment</t>
  </si>
  <si>
    <t>Other Electric Plant Adjustment</t>
  </si>
  <si>
    <t>Other Utility Plant</t>
  </si>
  <si>
    <t>Non-Utility Property Owned or Under Capital Lease</t>
  </si>
  <si>
    <t>Accumulated Amortization of Electric Utility Plant - Property, Plant and Equipment</t>
  </si>
  <si>
    <t>Accumulated Amortization of Electric Utility Plant - Intangibles</t>
  </si>
  <si>
    <t>Accumulated Amortization of Electric Plant Acquisition Adjustment</t>
  </si>
  <si>
    <t>Accumulated Amortization of Other Utility Plant</t>
  </si>
  <si>
    <t>Accumulated Amortization of Non-Utility Property</t>
  </si>
  <si>
    <t>Accounts Payable</t>
  </si>
  <si>
    <t>Customer Credit Balances</t>
  </si>
  <si>
    <t xml:space="preserve">Current Portion of Customer Deposits </t>
  </si>
  <si>
    <t>Dividends Declared</t>
  </si>
  <si>
    <t>Miscellaneous Current and Accrued Liabilities</t>
  </si>
  <si>
    <t>Notes and Loans Payable</t>
  </si>
  <si>
    <t>Accounts Payable to Associated Companies</t>
  </si>
  <si>
    <t>Notes Payable to Associated Companies</t>
  </si>
  <si>
    <t>Transmission Charges Payable</t>
  </si>
  <si>
    <t>Electric Safety Authority Fees Payable</t>
  </si>
  <si>
    <t>Independent Market Operator Fees and Penalties Payable</t>
  </si>
  <si>
    <t>Current Portion of Long Term Debt</t>
  </si>
  <si>
    <t>Ontario Hydro Debt - Current Portion</t>
  </si>
  <si>
    <t>Pensions and Employee Benefits - Current Portion</t>
  </si>
  <si>
    <t>Accrued Interest on Long Term Debt</t>
  </si>
  <si>
    <t>Matured Long Term Debt</t>
  </si>
  <si>
    <t>Matured Interest on Long Term Debt</t>
  </si>
  <si>
    <t>Obligations Under Capital Leases--Current</t>
  </si>
  <si>
    <t>Commodity Taxes</t>
  </si>
  <si>
    <t>Payroll Deductions / Expenses Payable</t>
  </si>
  <si>
    <t>Accrual for Taxes, "Payments in Lieu" of Taxes, Etc.</t>
  </si>
  <si>
    <t>Future Income Taxes - Current</t>
  </si>
  <si>
    <t>Accumulated Provision for Injuries and Damages</t>
  </si>
  <si>
    <t>Employee Future Benefits</t>
  </si>
  <si>
    <t>Other Pensions - Past Service Liability</t>
  </si>
  <si>
    <t>Vested Sick Leave Liability</t>
  </si>
  <si>
    <t>Accumulated Provision for Rate Refunds</t>
  </si>
  <si>
    <t>Obligations Under Capital Lease--Non-Current</t>
  </si>
  <si>
    <t>Devolpment Charge Fund</t>
  </si>
  <si>
    <t>Long Term Customer Deposits</t>
  </si>
  <si>
    <t>Collateral Funds Liability</t>
  </si>
  <si>
    <t>Unamortized Premium on Long Term Debt</t>
  </si>
  <si>
    <t>O.M.E.R.S. - Past Service Liability - Long Term Portion</t>
  </si>
  <si>
    <t>Future Income Tax - Non-Current</t>
  </si>
  <si>
    <t>Deferred Gains From Disposition of Utility Plant</t>
  </si>
  <si>
    <t>Unamortized Gain on Reacquired Debt</t>
  </si>
  <si>
    <t>Other Deferred Credits</t>
  </si>
  <si>
    <t>Accrued Rate-Payer Benefit</t>
  </si>
  <si>
    <t>Debentures Outstanding - Long Term Portion</t>
  </si>
  <si>
    <t>Debenture Advances</t>
  </si>
  <si>
    <t>Required Bonds</t>
  </si>
  <si>
    <t>Other Long Term Debt</t>
  </si>
  <si>
    <t>Term Bank Loans - Long Term Portion</t>
  </si>
  <si>
    <t>Ontario Hydro Debt Outstanding - Long Term Portion</t>
  </si>
  <si>
    <t>Advances from Associated Companies</t>
  </si>
  <si>
    <t>Preference Shares Issued</t>
  </si>
  <si>
    <t>Contributed Surplus</t>
  </si>
  <si>
    <t>Donations Received</t>
  </si>
  <si>
    <t>Devolpment Charges Transferred to Equity</t>
  </si>
  <si>
    <t>Capital Stock Held in Treasury</t>
  </si>
  <si>
    <t>Miscellaneous Paid-In Capital</t>
  </si>
  <si>
    <t>Installments Received on Capital Stock</t>
  </si>
  <si>
    <t>Appropriated Retained Earnings</t>
  </si>
  <si>
    <t>Unappropriated Retained Earnings</t>
  </si>
  <si>
    <t>Balance Transferred From Income</t>
  </si>
  <si>
    <t>Appropriations of Retained Earnings - Current Period</t>
  </si>
  <si>
    <t>Dividends Payable-Preference Shares</t>
  </si>
  <si>
    <t>Dividends Payable-Common Shares</t>
  </si>
  <si>
    <t xml:space="preserve">Adjustment to Retained Earnings                 </t>
  </si>
  <si>
    <t>Unappropriated Undistributed Subsidiary Earnings</t>
  </si>
  <si>
    <t>Residential Energy Sales</t>
  </si>
  <si>
    <t>Street Lighting Energy Sales</t>
  </si>
  <si>
    <t>Sentinel Energy Sales</t>
  </si>
  <si>
    <t>Other Energy Sales to Public Authorities</t>
  </si>
  <si>
    <t>Energy Sales to Railroads and Railways</t>
  </si>
  <si>
    <t>Revenue Adjustment</t>
  </si>
  <si>
    <t>Interdepartmental Energy Sales</t>
  </si>
  <si>
    <t>WMS</t>
  </si>
  <si>
    <t>LV Charges</t>
  </si>
  <si>
    <t>Distribution Services Revenue</t>
  </si>
  <si>
    <t>RS Rev</t>
  </si>
  <si>
    <t>Serv Tx Requests</t>
  </si>
  <si>
    <t>Electric Services Incidental to Energy Sales</t>
  </si>
  <si>
    <t>Interdepartmental Rents</t>
  </si>
  <si>
    <t>Rent from Electric Property</t>
  </si>
  <si>
    <t>Other Utility Operating Income</t>
  </si>
  <si>
    <t>Other Electric Revenues</t>
  </si>
  <si>
    <t>Late Payment Charges</t>
  </si>
  <si>
    <t>Sales of Water and Water Power</t>
  </si>
  <si>
    <t>Miscellaneous Service Revenues</t>
  </si>
  <si>
    <t>Provision for Rate Refunds</t>
  </si>
  <si>
    <t>Government Assistance Directly Credited to Income</t>
  </si>
  <si>
    <t>Regulatory Debits</t>
  </si>
  <si>
    <t>Regulatory Credits</t>
  </si>
  <si>
    <t>Revenues from Electric Plant Leased to Others</t>
  </si>
  <si>
    <t>Expenses of Electric Plant Leased to Others</t>
  </si>
  <si>
    <t>Revenues from Merchandise, Jobbing, Etc.</t>
  </si>
  <si>
    <t>Costs and Expenses of Merchandising, Jobbing, Etc</t>
  </si>
  <si>
    <t>Profits and Losses from Financial Instrument Hedges</t>
  </si>
  <si>
    <t>Profits and Losses from Financial Instrument Investments</t>
  </si>
  <si>
    <t>Gains from Disposition of Future Use Utility Plant</t>
  </si>
  <si>
    <t>Losses from Disposition of Future Use Utility Plant</t>
  </si>
  <si>
    <t>Gain on Disposition of Utility and Other Property</t>
  </si>
  <si>
    <t>Loss on Disposition of Utility and Other Property</t>
  </si>
  <si>
    <t>Gains from Disposition of Allowances for Emission</t>
  </si>
  <si>
    <t>Losses from Disposition of Allowances for Emission</t>
  </si>
  <si>
    <t>Revenues from Non-Utility Operations</t>
  </si>
  <si>
    <t>Expenses of Non-Utility Operations</t>
  </si>
  <si>
    <t>Miscellaneous Non-Operating Income</t>
  </si>
  <si>
    <t>Rate-Payer Benefit Including Interest</t>
  </si>
  <si>
    <t>Foreign Exchange Gains and Losses, Including Amortization</t>
  </si>
  <si>
    <t>Interest and Dividend Income</t>
  </si>
  <si>
    <t>Equity in Earnings of Subsidiary Companies</t>
  </si>
  <si>
    <t>NW</t>
  </si>
  <si>
    <t>NCN</t>
  </si>
  <si>
    <t>Operation Supervision and Engineering</t>
  </si>
  <si>
    <t>Load Dispatching</t>
  </si>
  <si>
    <t>Station Buildings and Fixtures Expense</t>
  </si>
  <si>
    <t>Transformer Station Equipment - Operation Labour</t>
  </si>
  <si>
    <t>Transformer Station Equipment - Operation Supplies and Expenses</t>
  </si>
  <si>
    <t>Distribution Station Equipment - Operation Labour</t>
  </si>
  <si>
    <t>Distribution Station Equipment - Operation Supplies and Expenses</t>
  </si>
  <si>
    <t>Overhead Distribution Lines and Feeders - Operation Labour</t>
  </si>
  <si>
    <t>Overhead Distribution Lines and Feeders - Operation Supplies and Expenses</t>
  </si>
  <si>
    <t>Overhead Subtransmission Feeders - Operation</t>
  </si>
  <si>
    <t>Overhead Distribution Transformers - Operation</t>
  </si>
  <si>
    <t>Underground Distribution Lines and Feeders - Operation Labour</t>
  </si>
  <si>
    <t>Underground Distribution Lines and Feeders - Operation Supplies and Expenses</t>
  </si>
  <si>
    <t>Underground Subtransmission Feeders - Operation</t>
  </si>
  <si>
    <t>Underground Distribution Transformers - Operation</t>
  </si>
  <si>
    <t>Street Lighting and Signal System Expense</t>
  </si>
  <si>
    <t>Meter Expense</t>
  </si>
  <si>
    <t>Customer Premises - Operation Labour</t>
  </si>
  <si>
    <t>Customer Premises - Materials and Expenses</t>
  </si>
  <si>
    <t>Miscellaneous Distribution Expense</t>
  </si>
  <si>
    <t>Underground Distribution Lines and Feeders - Rental Paid</t>
  </si>
  <si>
    <t>Overhead Distribution Lines and Feeders - Rental Paid</t>
  </si>
  <si>
    <t>Other Rent</t>
  </si>
  <si>
    <t>Maintenance Supervision and Engineering</t>
  </si>
  <si>
    <t>Maintenance of Structures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</si>
  <si>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</si>
  <si>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</si>
  <si>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</si>
  <si>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</si>
  <si>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Net Income - (Gain)/Loss</t>
  </si>
  <si>
    <t>Communication</t>
  </si>
  <si>
    <t>Extraordinary Event Losses</t>
  </si>
  <si>
    <t>Recovery of Regulatory Assets (25% of 2002 bal.)</t>
  </si>
  <si>
    <t>2010</t>
  </si>
  <si>
    <t>As at December 31, 2008</t>
  </si>
  <si>
    <t>As at December 31, 2009</t>
  </si>
  <si>
    <t>As at December 31, 2010</t>
  </si>
  <si>
    <t>2010 BALANCE SHEET</t>
  </si>
  <si>
    <t>2010 STATEMENT OF INCOME AND RETAINED EARNINGS</t>
  </si>
  <si>
    <t>10' Rev Def</t>
  </si>
  <si>
    <t>Average Fixed Asset Balance for 2009</t>
  </si>
  <si>
    <t>WORKING CAPITAL ALLOWANCE FOR 2010</t>
  </si>
  <si>
    <t>RATE BASE CALCULATION FOR 2010</t>
  </si>
  <si>
    <t>Fixed Assets Opening Balance 2010</t>
  </si>
  <si>
    <t>Fixed Assets Closing Balance 2010</t>
  </si>
  <si>
    <t xml:space="preserve">2008 Total Long Term Debt      </t>
  </si>
  <si>
    <t xml:space="preserve">2009 Total Long Term Debt      </t>
  </si>
  <si>
    <t xml:space="preserve">2010 Total Long Term Debt      </t>
  </si>
  <si>
    <t>Total Interest Cost for 2010</t>
  </si>
  <si>
    <t>Weighted Debt Cost Rate for 2010</t>
  </si>
  <si>
    <t>Deemed Capital Structure for 2008</t>
  </si>
  <si>
    <t>Deemed Capital Structure for 2009</t>
  </si>
  <si>
    <t>Deemed Capital Structure for 2010</t>
  </si>
  <si>
    <t>RCVA Retail</t>
  </si>
  <si>
    <t>Property under Capital Lease</t>
  </si>
  <si>
    <t>Debt Retirement  Charges (DRC) Payable</t>
  </si>
  <si>
    <t>As at December 31, 2011</t>
  </si>
  <si>
    <t>2011</t>
  </si>
  <si>
    <t>WORKING CAPITAL ALLOWANCE FOR 2011</t>
  </si>
  <si>
    <t>Fixed Assets Opening Balance 2011</t>
  </si>
  <si>
    <t>Fixed Assets Closing Balance 2011</t>
  </si>
  <si>
    <t>RATE BASE CALCULATION FOR 2011</t>
  </si>
  <si>
    <t>Total Interest Cost for 2011</t>
  </si>
  <si>
    <t>Weighted Debt Cost Rate for 2011</t>
  </si>
  <si>
    <t xml:space="preserve">2011 Total Long Term Debt      </t>
  </si>
  <si>
    <t>Deemed Capital Structure for 2011</t>
  </si>
  <si>
    <t>CCA Continuity Schedule (2011)</t>
  </si>
  <si>
    <t>2011 PILs Schedule</t>
  </si>
  <si>
    <t>Apprentice Tax Credits</t>
  </si>
  <si>
    <t>CONTINUITY OF RESERVES FOR 2011</t>
  </si>
  <si>
    <t>Other Additions (Apprenticeship Tax Credits)</t>
  </si>
  <si>
    <t>Tax Rate Refecting Tax Credits</t>
  </si>
  <si>
    <t>Other Tax Credits</t>
  </si>
  <si>
    <t>As at December 31, 2012</t>
  </si>
  <si>
    <t>Disposition and Recovery of Regulatory Balances</t>
  </si>
  <si>
    <t>2012</t>
  </si>
  <si>
    <t>2011 BALANCE SHEET</t>
  </si>
  <si>
    <t>2011 STATEMENT OF INCOME AND RETAINED EARNINGS</t>
  </si>
  <si>
    <t>2012 BALANCE SHEET</t>
  </si>
  <si>
    <t>2012 STATEMENT OF INCOME AND RETAINED EARNINGS</t>
  </si>
  <si>
    <t xml:space="preserve">2012 Total Long Term Debt      </t>
  </si>
  <si>
    <t>Average Fixed Asset Balance for 2011</t>
  </si>
  <si>
    <t>Average Fixed Asset Balance for 2012</t>
  </si>
  <si>
    <t>WORKING CAPITAL ALLOWANCE FOR 2012</t>
  </si>
  <si>
    <t>RATE BASE CALCULATION FOR 2012</t>
  </si>
  <si>
    <t>Fixed Assets Opening Balance 2012</t>
  </si>
  <si>
    <t>Fixed Assets Closing Balance 2012</t>
  </si>
  <si>
    <t>CCA Continuity Schedule (2012)</t>
  </si>
  <si>
    <t>CONTINUITY OF RESERVES FOR 2012</t>
  </si>
  <si>
    <t>2011 Bridge</t>
  </si>
  <si>
    <t>2012 Test</t>
  </si>
  <si>
    <t>2012 Test     Existing Rates</t>
  </si>
  <si>
    <t>2012 Test - Required Revenue</t>
  </si>
  <si>
    <t>2011 Bridge Actual</t>
  </si>
  <si>
    <t>Determination of Tax Adjustments to Accounting Income for 2011</t>
  </si>
  <si>
    <t>AD</t>
  </si>
  <si>
    <t>2011 Capital Taxes</t>
  </si>
  <si>
    <t>2011 Total Taxes</t>
  </si>
  <si>
    <t>2012 Capital Taxes</t>
  </si>
  <si>
    <t>2012 PILs Schedule</t>
  </si>
  <si>
    <t>2012 Total Taxes</t>
  </si>
  <si>
    <t>Intangible Assets</t>
  </si>
  <si>
    <t>Intagible Assets</t>
  </si>
  <si>
    <t>Special Purpose Charge Deferral</t>
  </si>
  <si>
    <t>Special Purpose Charge Revenue</t>
  </si>
  <si>
    <t>Special Purpose Charge Expense</t>
  </si>
  <si>
    <t>Industrial Energy Sales/Intermediate</t>
  </si>
  <si>
    <t>General Energy Sales GS&gt; 50- 2999</t>
  </si>
  <si>
    <t>Commercial Energy Sales GS&lt;50 &amp; USL</t>
  </si>
  <si>
    <t>Averages of accum</t>
  </si>
  <si>
    <t>Averages for Accum Amort</t>
  </si>
  <si>
    <t>anticpate decraese due to bad press re: retailers</t>
  </si>
  <si>
    <t>based on comment above</t>
  </si>
  <si>
    <t>probably going higher but want to hedge agains that</t>
  </si>
  <si>
    <t>probably going to be higher due to unpaying customers, but hedging against</t>
  </si>
  <si>
    <t>Total Interest Cost for 2012</t>
  </si>
  <si>
    <t>Weighted Debt Cost Rate for 2012</t>
  </si>
  <si>
    <t>Deemed Capital Structure for 2012</t>
  </si>
  <si>
    <t>Net Income Before Taxes</t>
  </si>
  <si>
    <t>Determination of Tax Adjustments to Accounting Income for 2012</t>
  </si>
  <si>
    <t>No capital tax as of July 2010</t>
  </si>
  <si>
    <t>open balance - oen amort, plus half additions all / years</t>
  </si>
  <si>
    <t>ACTUAL per dp</t>
  </si>
  <si>
    <t>changged this to update system</t>
  </si>
  <si>
    <t>removed dvad interest</t>
  </si>
  <si>
    <r>
      <t>Telephone:</t>
    </r>
    <r>
      <rPr>
        <sz val="10"/>
        <rFont val="Arial"/>
        <family val="2"/>
      </rPr>
      <t xml:space="preserve">   613 925 3851</t>
    </r>
  </si>
  <si>
    <t>Smart Meter</t>
  </si>
  <si>
    <t>Smart Meters</t>
  </si>
  <si>
    <t>ED-2003-0003</t>
  </si>
  <si>
    <t>EB-2011-0274</t>
  </si>
  <si>
    <t xml:space="preserve"> </t>
  </si>
  <si>
    <t>Y</t>
  </si>
  <si>
    <t>Less: Revenue Offsets</t>
  </si>
  <si>
    <t xml:space="preserve">    Base Revenue Requirement</t>
  </si>
  <si>
    <t>Add Back Smart Meter Depreciation Expense</t>
  </si>
  <si>
    <t>Net Income per audited Financial Statements:</t>
  </si>
  <si>
    <t xml:space="preserve">Less Smart meter To Date Additions in Cell </t>
  </si>
  <si>
    <t>Balance sheet total</t>
  </si>
  <si>
    <t>Rideau St. Lawrence Distribution Inc.</t>
  </si>
  <si>
    <t>Fixed Assets - December 2011 balances split for components, and in preparation for MIFRS.</t>
  </si>
  <si>
    <t>1820 - Wholesale meters, normally incl below</t>
  </si>
  <si>
    <t>CGAAP</t>
  </si>
  <si>
    <t>MIFRS</t>
  </si>
  <si>
    <t>n/a</t>
  </si>
  <si>
    <t>Years</t>
  </si>
  <si>
    <t>TUL</t>
  </si>
  <si>
    <t>model</t>
  </si>
  <si>
    <t>Exclude Fully</t>
  </si>
  <si>
    <t>Average</t>
  </si>
  <si>
    <t>Amort per CGAAP</t>
  </si>
  <si>
    <t>Amort per MIFRS</t>
  </si>
  <si>
    <t>Reduction:</t>
  </si>
  <si>
    <t>Wholesale Meters</t>
  </si>
  <si>
    <t>Notes:</t>
  </si>
  <si>
    <t>2011 amort adjusted for fully amortized assets, RSL startup asset error 426,964, stranded assets 295,772, 2011 deprn formula was not calc amort on 1/2 of 2010 addn's.</t>
  </si>
  <si>
    <t>Amort</t>
  </si>
  <si>
    <t>Column D show fully amortized asset values included in column E</t>
  </si>
  <si>
    <t>GL 1820 split to sub accounts for Sub Stations and for Wholesale meters as they have different TUL.</t>
  </si>
  <si>
    <t>Column's I &amp; J provide the comparison for Amort rates for CGAAP vs MIFRS</t>
  </si>
  <si>
    <t>This tab provides more detail for the 'FA Continuity 2012' tab.</t>
  </si>
  <si>
    <t>MIFRS has reduced amortization by $71,406 for the 2012 year.</t>
  </si>
  <si>
    <t xml:space="preserve">MIFRS-Adj 2011 End Bal, 2012 Addn   </t>
  </si>
  <si>
    <t>MIFRS-Adj 2011 End Bal, 2012 Depr'n</t>
  </si>
  <si>
    <t>C &amp; DM Costs Contra - SM Costs to Fixed Assets</t>
  </si>
  <si>
    <t>TABLE 5.1</t>
  </si>
  <si>
    <t>Bank of Montreal</t>
  </si>
  <si>
    <t>Equity</t>
  </si>
  <si>
    <t>Posi Plus</t>
  </si>
  <si>
    <t>Various</t>
  </si>
  <si>
    <t>Promissory Note</t>
  </si>
  <si>
    <t>August</t>
  </si>
  <si>
    <t>Demand</t>
  </si>
  <si>
    <t>December</t>
  </si>
  <si>
    <t>Altec Line Truck</t>
  </si>
  <si>
    <t>July</t>
  </si>
  <si>
    <t>Township of Edwardsburgh/Cardinal</t>
  </si>
  <si>
    <t>Township of South Dundas</t>
  </si>
  <si>
    <t>September</t>
  </si>
  <si>
    <t>Table 5.2</t>
  </si>
  <si>
    <t>TABLE 5.6</t>
  </si>
  <si>
    <t>Average Fixed Asset Balance - 2010</t>
  </si>
  <si>
    <t>3050-Revenues From Services - Distribution Total</t>
  </si>
  <si>
    <t>Rate Base Adjustment</t>
  </si>
  <si>
    <t>1/4 of 2011</t>
  </si>
  <si>
    <t>Working Capital Allowance rate of 14%</t>
  </si>
  <si>
    <t>Peter Soules</t>
  </si>
  <si>
    <t>E-mail: psoules@rslu.ca</t>
  </si>
  <si>
    <t>Settlement Agreement July 26,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</si>
</sst>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#,##0_ ;\-#,##0\ "/>
    <numFmt numFmtId="166" formatCode="0.0000%"/>
    <numFmt numFmtId="167" formatCode="0.000%"/>
    <numFmt numFmtId="168" formatCode="_-* #,##0_-;\-* #,##0_-;_-* &quot;-&quot;??_-;_-@_-"/>
    <numFmt numFmtId="169" formatCode="_(* #,##0_);_(* \(#,##0\);_(* &quot;-&quot;??_);_(@_)"/>
    <numFmt numFmtId="170" formatCode="#,##0.00;[Red]\(#,##0.00\)"/>
    <numFmt numFmtId="171" formatCode="mmmm\ d\,\ yyyy"/>
    <numFmt numFmtId="172" formatCode="_-* #,##0.0000_-;\-* #,##0.0000_-;_-* &quot;-&quot;??_-;_-@_-"/>
    <numFmt numFmtId="173" formatCode="_-* #,##0.00000_-;\-* #,##0.00000_-;_-* &quot;-&quot;??_-;_-@_-"/>
    <numFmt numFmtId="174" formatCode="#,##0;\(#,##0\)"/>
    <numFmt numFmtId="175" formatCode="#,##0;[Red]\(#,##0\)"/>
    <numFmt numFmtId="176" formatCode="0.0%"/>
    <numFmt numFmtId="177" formatCode="_-&quot;$&quot;* #,##0_-;\-&quot;$&quot;* #,##0_-;_-&quot;$&quot;* &quot;-&quot;??_-;_-@_-"/>
    <numFmt numFmtId="178" formatCode="&quot;$&quot;#,##0;[Red]&quot;$&quot;#,##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4"/>
      <color indexed="63"/>
      <name val="Times New Roman"/>
      <family val="1"/>
    </font>
    <font>
      <sz val="9"/>
      <color indexed="9"/>
      <name val="Arial"/>
      <family val="2"/>
    </font>
    <font>
      <b/>
      <sz val="11"/>
      <color indexed="63"/>
      <name val="Arial"/>
      <family val="2"/>
    </font>
    <font>
      <b/>
      <sz val="9"/>
      <name val="Arial"/>
      <family val="2"/>
    </font>
    <font>
      <b/>
      <vertAlign val="superscript"/>
      <sz val="9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sz val="9"/>
      <name val="Times New Roman"/>
      <family val="1"/>
    </font>
    <font>
      <b/>
      <sz val="12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double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/>
      <right/>
      <top/>
      <bottom style="thin">
        <color indexed="8"/>
      </bottom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7" fillId="27" borderId="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63" applyNumberFormat="1" applyAlignment="1">
      <alignment horizontal="center" vertical="center"/>
      <protection/>
    </xf>
    <xf numFmtId="164" fontId="2" fillId="0" borderId="0" xfId="63" applyNumberFormat="1" applyFont="1" applyAlignment="1">
      <alignment vertical="center"/>
      <protection/>
    </xf>
    <xf numFmtId="164" fontId="0" fillId="0" borderId="0" xfId="63" applyNumberFormat="1" applyAlignment="1">
      <alignment vertical="center"/>
      <protection/>
    </xf>
    <xf numFmtId="164" fontId="3" fillId="0" borderId="0" xfId="63" applyNumberFormat="1" applyFont="1" applyAlignment="1">
      <alignment vertical="center"/>
      <protection/>
    </xf>
    <xf numFmtId="0" fontId="0" fillId="0" borderId="8" xfId="63" applyNumberFormat="1" applyBorder="1" applyAlignment="1">
      <alignment horizontal="center" vertical="center"/>
      <protection/>
    </xf>
    <xf numFmtId="164" fontId="2" fillId="0" borderId="8" xfId="63" applyNumberFormat="1" applyFont="1" applyBorder="1" applyAlignment="1">
      <alignment vertical="center"/>
      <protection/>
    </xf>
    <xf numFmtId="164" fontId="3" fillId="0" borderId="9" xfId="63" applyNumberFormat="1" applyFont="1" applyBorder="1" applyAlignment="1">
      <alignment vertical="center"/>
      <protection/>
    </xf>
    <xf numFmtId="164" fontId="5" fillId="0" borderId="10" xfId="63" applyNumberFormat="1" applyFont="1" applyBorder="1" applyAlignment="1">
      <alignment vertical="center"/>
      <protection/>
    </xf>
    <xf numFmtId="0" fontId="6" fillId="0" borderId="0" xfId="61">
      <alignment/>
      <protection/>
    </xf>
    <xf numFmtId="0" fontId="0" fillId="0" borderId="0" xfId="0" applyFill="1" applyBorder="1" applyAlignment="1">
      <alignment/>
    </xf>
    <xf numFmtId="0" fontId="0" fillId="0" borderId="0" xfId="63" applyNumberFormat="1" applyBorder="1" applyAlignment="1">
      <alignment horizontal="center" vertical="center"/>
      <protection/>
    </xf>
    <xf numFmtId="164" fontId="2" fillId="0" borderId="0" xfId="63" applyNumberFormat="1" applyFont="1" applyFill="1" applyBorder="1" applyAlignment="1">
      <alignment vertical="center"/>
      <protection/>
    </xf>
    <xf numFmtId="164" fontId="0" fillId="0" borderId="0" xfId="63" applyNumberFormat="1" applyBorder="1" applyAlignment="1">
      <alignment vertical="center"/>
      <protection/>
    </xf>
    <xf numFmtId="164" fontId="2" fillId="0" borderId="0" xfId="63" applyNumberFormat="1" applyFont="1" applyBorder="1" applyAlignment="1">
      <alignment vertical="center"/>
      <protection/>
    </xf>
    <xf numFmtId="164" fontId="0" fillId="0" borderId="0" xfId="63" applyNumberFormat="1" applyFill="1" applyBorder="1" applyAlignment="1">
      <alignment vertical="center"/>
      <protection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63" applyNumberForma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1" xfId="65" applyFont="1" applyFill="1" applyBorder="1" applyAlignment="1">
      <alignment horizontal="left"/>
      <protection/>
    </xf>
    <xf numFmtId="0" fontId="0" fillId="0" borderId="0" xfId="65" applyFont="1" applyFill="1" applyBorder="1" applyAlignment="1">
      <alignment horizontal="left"/>
      <protection/>
    </xf>
    <xf numFmtId="0" fontId="6" fillId="0" borderId="0" xfId="65" applyAlignment="1">
      <alignment horizontal="left"/>
      <protection/>
    </xf>
    <xf numFmtId="0" fontId="0" fillId="0" borderId="0" xfId="0" applyAlignment="1">
      <alignment horizontal="left"/>
    </xf>
    <xf numFmtId="0" fontId="0" fillId="0" borderId="12" xfId="65" applyFont="1" applyFill="1" applyBorder="1" applyAlignment="1">
      <alignment horizontal="left"/>
      <protection/>
    </xf>
    <xf numFmtId="0" fontId="10" fillId="33" borderId="13" xfId="65" applyFont="1" applyFill="1" applyBorder="1" applyAlignment="1">
      <alignment horizontal="center"/>
      <protection/>
    </xf>
    <xf numFmtId="0" fontId="10" fillId="33" borderId="14" xfId="65" applyFont="1" applyFill="1" applyBorder="1" applyAlignment="1">
      <alignment horizontal="center"/>
      <protection/>
    </xf>
    <xf numFmtId="0" fontId="10" fillId="33" borderId="15" xfId="65" applyFont="1" applyFill="1" applyBorder="1" applyAlignment="1">
      <alignment horizontal="center"/>
      <protection/>
    </xf>
    <xf numFmtId="0" fontId="10" fillId="34" borderId="14" xfId="65" applyFont="1" applyFill="1" applyBorder="1" applyAlignment="1">
      <alignment horizontal="center"/>
      <protection/>
    </xf>
    <xf numFmtId="0" fontId="10" fillId="33" borderId="14" xfId="61" applyFont="1" applyFill="1" applyBorder="1" applyAlignment="1">
      <alignment horizontal="center"/>
      <protection/>
    </xf>
    <xf numFmtId="0" fontId="8" fillId="34" borderId="14" xfId="61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10" fontId="3" fillId="0" borderId="20" xfId="69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Font="1" applyFill="1" applyBorder="1" applyAlignment="1">
      <alignment/>
    </xf>
    <xf numFmtId="10" fontId="0" fillId="0" borderId="12" xfId="69" applyNumberFormat="1" applyFont="1" applyFill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 horizontal="center"/>
    </xf>
    <xf numFmtId="10" fontId="0" fillId="0" borderId="0" xfId="69" applyNumberFormat="1" applyFont="1" applyAlignment="1">
      <alignment horizontal="center"/>
    </xf>
    <xf numFmtId="10" fontId="0" fillId="0" borderId="25" xfId="69" applyNumberFormat="1" applyFont="1" applyBorder="1" applyAlignment="1">
      <alignment horizontal="center"/>
    </xf>
    <xf numFmtId="10" fontId="0" fillId="0" borderId="0" xfId="69" applyNumberFormat="1" applyFont="1" applyBorder="1" applyAlignment="1">
      <alignment horizontal="center"/>
    </xf>
    <xf numFmtId="0" fontId="8" fillId="34" borderId="12" xfId="65" applyFont="1" applyFill="1" applyBorder="1" applyAlignment="1">
      <alignment horizontal="center"/>
      <protection/>
    </xf>
    <xf numFmtId="0" fontId="8" fillId="34" borderId="26" xfId="65" applyFont="1" applyFill="1" applyBorder="1" applyAlignment="1">
      <alignment horizontal="center"/>
      <protection/>
    </xf>
    <xf numFmtId="0" fontId="3" fillId="34" borderId="12" xfId="0" applyFont="1" applyFill="1" applyBorder="1" applyAlignment="1">
      <alignment horizontal="center"/>
    </xf>
    <xf numFmtId="43" fontId="3" fillId="34" borderId="12" xfId="42" applyFont="1" applyFill="1" applyBorder="1" applyAlignment="1">
      <alignment horizontal="center"/>
    </xf>
    <xf numFmtId="10" fontId="0" fillId="35" borderId="12" xfId="69" applyNumberFormat="1" applyFont="1" applyFill="1" applyBorder="1" applyAlignment="1">
      <alignment horizontal="center"/>
    </xf>
    <xf numFmtId="9" fontId="0" fillId="0" borderId="0" xfId="69" applyFont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3" fontId="3" fillId="34" borderId="27" xfId="0" applyNumberFormat="1" applyFont="1" applyFill="1" applyBorder="1" applyAlignment="1">
      <alignment horizontal="center"/>
    </xf>
    <xf numFmtId="3" fontId="0" fillId="35" borderId="0" xfId="0" applyNumberFormat="1" applyFill="1" applyAlignment="1">
      <alignment horizontal="center"/>
    </xf>
    <xf numFmtId="10" fontId="0" fillId="35" borderId="0" xfId="0" applyNumberFormat="1" applyFill="1" applyAlignment="1">
      <alignment horizontal="center"/>
    </xf>
    <xf numFmtId="10" fontId="0" fillId="35" borderId="0" xfId="69" applyNumberFormat="1" applyFont="1" applyFill="1" applyAlignment="1">
      <alignment horizontal="center"/>
    </xf>
    <xf numFmtId="167" fontId="0" fillId="35" borderId="0" xfId="69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3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wrapText="1"/>
    </xf>
    <xf numFmtId="0" fontId="3" fillId="36" borderId="12" xfId="0" applyFont="1" applyFill="1" applyBorder="1" applyAlignment="1">
      <alignment horizontal="center" wrapText="1"/>
    </xf>
    <xf numFmtId="9" fontId="0" fillId="0" borderId="12" xfId="0" applyNumberFormat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3" fontId="0" fillId="0" borderId="25" xfId="0" applyNumberFormat="1" applyBorder="1" applyAlignment="1">
      <alignment/>
    </xf>
    <xf numFmtId="9" fontId="0" fillId="35" borderId="0" xfId="0" applyNumberFormat="1" applyFill="1" applyBorder="1" applyAlignment="1">
      <alignment/>
    </xf>
    <xf numFmtId="0" fontId="18" fillId="37" borderId="28" xfId="66" applyFont="1" applyFill="1" applyBorder="1" applyAlignment="1" applyProtection="1">
      <alignment horizontal="center" vertical="center" wrapText="1"/>
      <protection/>
    </xf>
    <xf numFmtId="0" fontId="19" fillId="37" borderId="12" xfId="66" applyFont="1" applyFill="1" applyBorder="1" applyAlignment="1" applyProtection="1">
      <alignment vertical="center" wrapText="1"/>
      <protection/>
    </xf>
    <xf numFmtId="0" fontId="19" fillId="37" borderId="12" xfId="66" applyFont="1" applyFill="1" applyBorder="1" applyAlignment="1" applyProtection="1">
      <alignment horizontal="left" vertical="center" wrapText="1"/>
      <protection/>
    </xf>
    <xf numFmtId="0" fontId="20" fillId="37" borderId="29" xfId="66" applyFont="1" applyFill="1" applyBorder="1" applyAlignment="1" applyProtection="1">
      <alignment vertical="center"/>
      <protection/>
    </xf>
    <xf numFmtId="0" fontId="19" fillId="37" borderId="27" xfId="66" applyFont="1" applyFill="1" applyBorder="1" applyAlignment="1" applyProtection="1">
      <alignment vertical="center" wrapText="1"/>
      <protection/>
    </xf>
    <xf numFmtId="3" fontId="21" fillId="37" borderId="27" xfId="66" applyNumberFormat="1" applyFont="1" applyFill="1" applyBorder="1" applyAlignment="1" applyProtection="1">
      <alignment horizontal="right" vertical="center"/>
      <protection/>
    </xf>
    <xf numFmtId="3" fontId="19" fillId="37" borderId="27" xfId="66" applyNumberFormat="1" applyFont="1" applyFill="1" applyBorder="1" applyAlignment="1" applyProtection="1">
      <alignment horizontal="right" vertical="center"/>
      <protection/>
    </xf>
    <xf numFmtId="3" fontId="19" fillId="37" borderId="27" xfId="66" applyNumberFormat="1" applyFont="1" applyFill="1" applyBorder="1" applyAlignment="1" applyProtection="1">
      <alignment horizontal="center" vertical="center"/>
      <protection/>
    </xf>
    <xf numFmtId="3" fontId="19" fillId="37" borderId="27" xfId="66" applyNumberFormat="1" applyFont="1" applyFill="1" applyBorder="1" applyAlignment="1" applyProtection="1">
      <alignment vertical="center"/>
      <protection/>
    </xf>
    <xf numFmtId="0" fontId="19" fillId="37" borderId="12" xfId="66" applyFont="1" applyFill="1" applyBorder="1" applyAlignment="1" applyProtection="1" quotePrefix="1">
      <alignment horizontal="left" vertical="center" wrapText="1"/>
      <protection/>
    </xf>
    <xf numFmtId="0" fontId="20" fillId="37" borderId="12" xfId="66" applyFont="1" applyFill="1" applyBorder="1" applyAlignment="1" applyProtection="1">
      <alignment vertical="center"/>
      <protection/>
    </xf>
    <xf numFmtId="3" fontId="19" fillId="38" borderId="12" xfId="66" applyNumberFormat="1" applyFont="1" applyFill="1" applyBorder="1" applyAlignment="1" applyProtection="1">
      <alignment horizontal="center" vertical="center"/>
      <protection locked="0"/>
    </xf>
    <xf numFmtId="3" fontId="19" fillId="35" borderId="12" xfId="66" applyNumberFormat="1" applyFont="1" applyFill="1" applyBorder="1" applyAlignment="1" applyProtection="1">
      <alignment horizontal="center" vertical="center"/>
      <protection locked="0"/>
    </xf>
    <xf numFmtId="0" fontId="23" fillId="39" borderId="12" xfId="0" applyFont="1" applyFill="1" applyBorder="1" applyAlignment="1" applyProtection="1">
      <alignment horizontal="center" vertical="center" wrapText="1"/>
      <protection/>
    </xf>
    <xf numFmtId="3" fontId="25" fillId="39" borderId="12" xfId="42" applyNumberFormat="1" applyFont="1" applyFill="1" applyBorder="1" applyAlignment="1" applyProtection="1">
      <alignment/>
      <protection/>
    </xf>
    <xf numFmtId="3" fontId="25" fillId="35" borderId="12" xfId="42" applyNumberFormat="1" applyFont="1" applyFill="1" applyBorder="1" applyAlignment="1" applyProtection="1">
      <alignment vertical="center"/>
      <protection locked="0"/>
    </xf>
    <xf numFmtId="3" fontId="25" fillId="35" borderId="12" xfId="42" applyNumberFormat="1" applyFont="1" applyFill="1" applyBorder="1" applyAlignment="1" applyProtection="1">
      <alignment/>
      <protection locked="0"/>
    </xf>
    <xf numFmtId="0" fontId="3" fillId="40" borderId="12" xfId="66" applyFont="1" applyFill="1" applyBorder="1" applyAlignment="1" applyProtection="1">
      <alignment horizontal="center" vertical="center" wrapText="1"/>
      <protection/>
    </xf>
    <xf numFmtId="0" fontId="3" fillId="0" borderId="12" xfId="66" applyFont="1" applyFill="1" applyBorder="1" applyAlignment="1" applyProtection="1">
      <alignment vertical="center" wrapText="1"/>
      <protection/>
    </xf>
    <xf numFmtId="0" fontId="26" fillId="0" borderId="12" xfId="66" applyFont="1" applyFill="1" applyBorder="1" applyAlignment="1" applyProtection="1">
      <alignment vertical="center" wrapText="1"/>
      <protection/>
    </xf>
    <xf numFmtId="0" fontId="3" fillId="0" borderId="30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Fill="1" applyBorder="1" applyAlignment="1" applyProtection="1">
      <alignment horizontal="center" vertical="center" wrapText="1"/>
      <protection/>
    </xf>
    <xf numFmtId="0" fontId="3" fillId="0" borderId="13" xfId="66" applyFont="1" applyFill="1" applyBorder="1" applyAlignment="1" applyProtection="1">
      <alignment vertical="center" wrapText="1"/>
      <protection/>
    </xf>
    <xf numFmtId="0" fontId="27" fillId="0" borderId="31" xfId="66" applyFont="1" applyFill="1" applyBorder="1" applyAlignment="1" applyProtection="1">
      <alignment horizontal="center" vertical="center" wrapText="1"/>
      <protection/>
    </xf>
    <xf numFmtId="0" fontId="0" fillId="0" borderId="12" xfId="66" applyFont="1" applyFill="1" applyBorder="1" applyAlignment="1" applyProtection="1">
      <alignment vertical="center" wrapText="1"/>
      <protection/>
    </xf>
    <xf numFmtId="0" fontId="27" fillId="0" borderId="12" xfId="66" applyFont="1" applyFill="1" applyBorder="1" applyAlignment="1" applyProtection="1">
      <alignment vertical="center" wrapText="1"/>
      <protection/>
    </xf>
    <xf numFmtId="0" fontId="15" fillId="0" borderId="32" xfId="66" applyFont="1" applyFill="1" applyBorder="1" applyAlignment="1" applyProtection="1">
      <alignment horizontal="center" vertical="center" wrapText="1"/>
      <protection/>
    </xf>
    <xf numFmtId="0" fontId="15" fillId="0" borderId="33" xfId="66" applyFont="1" applyFill="1" applyBorder="1" applyAlignment="1" applyProtection="1">
      <alignment horizontal="center" vertical="center" wrapText="1"/>
      <protection/>
    </xf>
    <xf numFmtId="0" fontId="15" fillId="0" borderId="13" xfId="66" applyFont="1" applyFill="1" applyBorder="1" applyAlignment="1" applyProtection="1">
      <alignment horizontal="center" vertical="center" wrapText="1"/>
      <protection/>
    </xf>
    <xf numFmtId="0" fontId="15" fillId="0" borderId="31" xfId="66" applyFont="1" applyFill="1" applyBorder="1" applyAlignment="1" applyProtection="1">
      <alignment horizontal="center" vertical="center" wrapText="1"/>
      <protection/>
    </xf>
    <xf numFmtId="0" fontId="3" fillId="36" borderId="12" xfId="66" applyFont="1" applyFill="1" applyBorder="1" applyAlignment="1" applyProtection="1">
      <alignment horizontal="center" vertical="center"/>
      <protection/>
    </xf>
    <xf numFmtId="0" fontId="0" fillId="0" borderId="12" xfId="66" applyFont="1" applyFill="1" applyBorder="1" applyAlignment="1" applyProtection="1">
      <alignment horizontal="left" vertical="center" wrapText="1" indent="1"/>
      <protection/>
    </xf>
    <xf numFmtId="0" fontId="27" fillId="0" borderId="14" xfId="66" applyFont="1" applyFill="1" applyBorder="1" applyAlignment="1" applyProtection="1">
      <alignment vertical="center" wrapText="1"/>
      <protection/>
    </xf>
    <xf numFmtId="3" fontId="0" fillId="0" borderId="12" xfId="66" applyNumberFormat="1" applyFont="1" applyFill="1" applyBorder="1" applyAlignment="1" applyProtection="1">
      <alignment vertical="center" wrapText="1"/>
      <protection locked="0"/>
    </xf>
    <xf numFmtId="0" fontId="27" fillId="0" borderId="26" xfId="66" applyFont="1" applyFill="1" applyBorder="1" applyAlignment="1" applyProtection="1">
      <alignment vertical="center" wrapText="1"/>
      <protection/>
    </xf>
    <xf numFmtId="0" fontId="3" fillId="0" borderId="29" xfId="66" applyFont="1" applyFill="1" applyBorder="1" applyAlignment="1" applyProtection="1">
      <alignment horizontal="left" vertical="center" wrapText="1"/>
      <protection/>
    </xf>
    <xf numFmtId="0" fontId="27" fillId="0" borderId="28" xfId="66" applyFont="1" applyFill="1" applyBorder="1" applyAlignment="1" applyProtection="1">
      <alignment vertical="center" wrapText="1"/>
      <protection/>
    </xf>
    <xf numFmtId="3" fontId="0" fillId="0" borderId="12" xfId="66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2" xfId="66" applyFont="1" applyFill="1" applyBorder="1" applyAlignment="1" applyProtection="1">
      <alignment horizontal="left" vertical="center" wrapText="1"/>
      <protection/>
    </xf>
    <xf numFmtId="0" fontId="26" fillId="36" borderId="12" xfId="66" applyFont="1" applyFill="1" applyBorder="1" applyAlignment="1" applyProtection="1">
      <alignment horizontal="center" vertical="center" wrapText="1"/>
      <protection/>
    </xf>
    <xf numFmtId="41" fontId="28" fillId="35" borderId="34" xfId="66" applyNumberFormat="1" applyFont="1" applyFill="1" applyBorder="1" applyProtection="1">
      <alignment vertical="top"/>
      <protection/>
    </xf>
    <xf numFmtId="0" fontId="3" fillId="36" borderId="12" xfId="66" applyFont="1" applyFill="1" applyBorder="1" applyAlignment="1" applyProtection="1">
      <alignment horizontal="center" vertical="top" wrapText="1"/>
      <protection/>
    </xf>
    <xf numFmtId="43" fontId="3" fillId="36" borderId="26" xfId="42" applyFont="1" applyFill="1" applyBorder="1" applyAlignment="1">
      <alignment horizontal="center"/>
    </xf>
    <xf numFmtId="43" fontId="3" fillId="36" borderId="35" xfId="42" applyFont="1" applyFill="1" applyBorder="1" applyAlignment="1">
      <alignment horizontal="center"/>
    </xf>
    <xf numFmtId="0" fontId="0" fillId="0" borderId="32" xfId="62" applyFont="1" applyFill="1" applyBorder="1">
      <alignment/>
      <protection/>
    </xf>
    <xf numFmtId="37" fontId="0" fillId="0" borderId="26" xfId="62" applyNumberFormat="1" applyFont="1" applyFill="1" applyBorder="1">
      <alignment/>
      <protection/>
    </xf>
    <xf numFmtId="37" fontId="0" fillId="0" borderId="35" xfId="62" applyNumberFormat="1" applyFont="1" applyFill="1" applyBorder="1">
      <alignment/>
      <protection/>
    </xf>
    <xf numFmtId="0" fontId="0" fillId="0" borderId="30" xfId="62" applyFont="1" applyFill="1" applyBorder="1">
      <alignment/>
      <protection/>
    </xf>
    <xf numFmtId="37" fontId="28" fillId="0" borderId="36" xfId="62" applyNumberFormat="1" applyFont="1" applyFill="1" applyBorder="1">
      <alignment/>
      <protection/>
    </xf>
    <xf numFmtId="37" fontId="28" fillId="0" borderId="34" xfId="62" applyNumberFormat="1" applyFont="1" applyFill="1" applyBorder="1">
      <alignment/>
      <protection/>
    </xf>
    <xf numFmtId="0" fontId="0" fillId="0" borderId="30" xfId="62" applyFont="1" applyFill="1" applyBorder="1" applyAlignment="1">
      <alignment horizontal="left" indent="1"/>
      <protection/>
    </xf>
    <xf numFmtId="37" fontId="0" fillId="0" borderId="36" xfId="62" applyNumberFormat="1" applyFont="1" applyFill="1" applyBorder="1">
      <alignment/>
      <protection/>
    </xf>
    <xf numFmtId="167" fontId="28" fillId="0" borderId="36" xfId="69" applyNumberFormat="1" applyFont="1" applyFill="1" applyBorder="1" applyAlignment="1">
      <alignment/>
    </xf>
    <xf numFmtId="167" fontId="28" fillId="0" borderId="34" xfId="69" applyNumberFormat="1" applyFont="1" applyFill="1" applyBorder="1" applyAlignment="1">
      <alignment/>
    </xf>
    <xf numFmtId="37" fontId="0" fillId="0" borderId="34" xfId="69" applyNumberFormat="1" applyFont="1" applyFill="1" applyBorder="1" applyAlignment="1">
      <alignment/>
    </xf>
    <xf numFmtId="0" fontId="3" fillId="0" borderId="14" xfId="62" applyFont="1" applyFill="1" applyBorder="1" applyAlignment="1">
      <alignment horizontal="left" indent="1"/>
      <protection/>
    </xf>
    <xf numFmtId="37" fontId="3" fillId="0" borderId="12" xfId="62" applyNumberFormat="1" applyFont="1" applyFill="1" applyBorder="1">
      <alignment/>
      <protection/>
    </xf>
    <xf numFmtId="0" fontId="0" fillId="0" borderId="26" xfId="66" applyFont="1" applyFill="1" applyBorder="1" applyAlignment="1" applyProtection="1">
      <alignment vertical="center"/>
      <protection/>
    </xf>
    <xf numFmtId="41" fontId="0" fillId="0" borderId="26" xfId="66" applyNumberFormat="1" applyFont="1" applyFill="1" applyBorder="1" applyAlignment="1" applyProtection="1">
      <alignment vertical="center"/>
      <protection/>
    </xf>
    <xf numFmtId="41" fontId="0" fillId="0" borderId="35" xfId="66" applyNumberFormat="1" applyFont="1" applyFill="1" applyBorder="1" applyProtection="1">
      <alignment vertical="top"/>
      <protection/>
    </xf>
    <xf numFmtId="0" fontId="0" fillId="0" borderId="36" xfId="66" applyFont="1" applyFill="1" applyBorder="1" applyAlignment="1" applyProtection="1">
      <alignment horizontal="left" vertical="top"/>
      <protection/>
    </xf>
    <xf numFmtId="41" fontId="0" fillId="0" borderId="36" xfId="66" applyNumberFormat="1" applyFont="1" applyFill="1" applyBorder="1" applyAlignment="1" applyProtection="1">
      <alignment horizontal="left" vertical="top"/>
      <protection/>
    </xf>
    <xf numFmtId="41" fontId="0" fillId="0" borderId="34" xfId="66" applyNumberFormat="1" applyFont="1" applyFill="1" applyBorder="1" applyProtection="1">
      <alignment vertical="top"/>
      <protection/>
    </xf>
    <xf numFmtId="41" fontId="0" fillId="0" borderId="36" xfId="66" applyNumberFormat="1" applyFont="1" applyFill="1" applyBorder="1" applyAlignment="1" applyProtection="1">
      <alignment horizontal="left" vertical="top" indent="2"/>
      <protection/>
    </xf>
    <xf numFmtId="41" fontId="0" fillId="0" borderId="36" xfId="66" applyNumberFormat="1" applyFont="1" applyFill="1" applyBorder="1" applyProtection="1">
      <alignment vertical="top"/>
      <protection/>
    </xf>
    <xf numFmtId="41" fontId="28" fillId="0" borderId="36" xfId="66" applyNumberFormat="1" applyFont="1" applyFill="1" applyBorder="1" applyProtection="1">
      <alignment vertical="top"/>
      <protection/>
    </xf>
    <xf numFmtId="41" fontId="3" fillId="0" borderId="12" xfId="66" applyNumberFormat="1" applyFont="1" applyFill="1" applyBorder="1" applyProtection="1">
      <alignment vertical="top"/>
      <protection/>
    </xf>
    <xf numFmtId="0" fontId="3" fillId="36" borderId="12" xfId="66" applyFont="1" applyFill="1" applyBorder="1" applyAlignment="1" applyProtection="1">
      <alignment horizontal="center" vertical="center" wrapText="1"/>
      <protection/>
    </xf>
    <xf numFmtId="43" fontId="3" fillId="36" borderId="12" xfId="42" applyFont="1" applyFill="1" applyBorder="1" applyAlignment="1">
      <alignment horizontal="center"/>
    </xf>
    <xf numFmtId="41" fontId="0" fillId="35" borderId="34" xfId="66" applyNumberFormat="1" applyFont="1" applyFill="1" applyBorder="1" applyProtection="1">
      <alignment vertical="top"/>
      <protection/>
    </xf>
    <xf numFmtId="3" fontId="0" fillId="0" borderId="37" xfId="0" applyNumberFormat="1" applyBorder="1" applyAlignment="1">
      <alignment/>
    </xf>
    <xf numFmtId="0" fontId="0" fillId="0" borderId="16" xfId="64" applyFont="1" applyFill="1" applyBorder="1">
      <alignment/>
      <protection/>
    </xf>
    <xf numFmtId="165" fontId="0" fillId="0" borderId="18" xfId="64" applyNumberFormat="1" applyFont="1" applyFill="1" applyBorder="1">
      <alignment/>
      <protection/>
    </xf>
    <xf numFmtId="0" fontId="0" fillId="0" borderId="19" xfId="64" applyFont="1" applyFill="1" applyBorder="1">
      <alignment/>
      <protection/>
    </xf>
    <xf numFmtId="165" fontId="0" fillId="0" borderId="20" xfId="64" applyNumberFormat="1" applyFont="1" applyFill="1" applyBorder="1">
      <alignment/>
      <protection/>
    </xf>
    <xf numFmtId="0" fontId="0" fillId="0" borderId="38" xfId="64" applyFont="1" applyFill="1" applyBorder="1" applyAlignment="1">
      <alignment horizontal="left" indent="1"/>
      <protection/>
    </xf>
    <xf numFmtId="0" fontId="3" fillId="0" borderId="39" xfId="64" applyFont="1" applyFill="1" applyBorder="1" applyAlignment="1">
      <alignment horizontal="left" indent="1"/>
      <protection/>
    </xf>
    <xf numFmtId="165" fontId="3" fillId="0" borderId="40" xfId="64" applyNumberFormat="1" applyFont="1" applyFill="1" applyBorder="1">
      <alignment/>
      <protection/>
    </xf>
    <xf numFmtId="165" fontId="3" fillId="36" borderId="12" xfId="64" applyNumberFormat="1" applyFont="1" applyFill="1" applyBorder="1" applyAlignment="1">
      <alignment horizontal="center"/>
      <protection/>
    </xf>
    <xf numFmtId="9" fontId="3" fillId="36" borderId="12" xfId="69" applyNumberFormat="1" applyFont="1" applyFill="1" applyBorder="1" applyAlignment="1">
      <alignment horizontal="center"/>
    </xf>
    <xf numFmtId="0" fontId="3" fillId="36" borderId="12" xfId="64" applyFont="1" applyFill="1" applyBorder="1" applyAlignment="1">
      <alignment horizontal="center"/>
      <protection/>
    </xf>
    <xf numFmtId="49" fontId="0" fillId="0" borderId="12" xfId="64" applyNumberFormat="1" applyFont="1" applyFill="1" applyBorder="1" applyAlignment="1" applyProtection="1">
      <alignment horizontal="left"/>
      <protection/>
    </xf>
    <xf numFmtId="0" fontId="0" fillId="0" borderId="12" xfId="64" applyFont="1" applyFill="1" applyBorder="1">
      <alignment/>
      <protection/>
    </xf>
    <xf numFmtId="165" fontId="0" fillId="0" borderId="12" xfId="64" applyNumberFormat="1" applyFont="1" applyFill="1" applyBorder="1">
      <alignment/>
      <protection/>
    </xf>
    <xf numFmtId="9" fontId="0" fillId="0" borderId="12" xfId="69" applyNumberFormat="1" applyFont="1" applyFill="1" applyBorder="1" applyAlignment="1">
      <alignment/>
    </xf>
    <xf numFmtId="0" fontId="15" fillId="0" borderId="41" xfId="64" applyFont="1" applyFill="1" applyBorder="1">
      <alignment/>
      <protection/>
    </xf>
    <xf numFmtId="0" fontId="3" fillId="0" borderId="39" xfId="64" applyFont="1" applyFill="1" applyBorder="1" applyAlignment="1">
      <alignment horizontal="center"/>
      <protection/>
    </xf>
    <xf numFmtId="0" fontId="3" fillId="0" borderId="22" xfId="0" applyFont="1" applyBorder="1" applyAlignment="1">
      <alignment horizontal="center"/>
    </xf>
    <xf numFmtId="165" fontId="0" fillId="0" borderId="22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42" applyNumberFormat="1" applyFont="1" applyFill="1" applyBorder="1" applyAlignment="1">
      <alignment/>
    </xf>
    <xf numFmtId="3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34" borderId="12" xfId="66" applyFont="1" applyFill="1" applyBorder="1" applyAlignment="1" applyProtection="1">
      <alignment vertical="center" wrapText="1"/>
      <protection/>
    </xf>
    <xf numFmtId="0" fontId="3" fillId="34" borderId="13" xfId="66" applyFont="1" applyFill="1" applyBorder="1" applyAlignment="1" applyProtection="1">
      <alignment vertical="center" wrapText="1"/>
      <protection/>
    </xf>
    <xf numFmtId="0" fontId="3" fillId="34" borderId="13" xfId="66" applyFont="1" applyFill="1" applyBorder="1" applyAlignment="1" applyProtection="1">
      <alignment horizontal="left" vertical="center" wrapText="1"/>
      <protection/>
    </xf>
    <xf numFmtId="0" fontId="3" fillId="0" borderId="12" xfId="66" applyFont="1" applyFill="1" applyBorder="1" applyAlignment="1" applyProtection="1">
      <alignment horizontal="center" vertical="center" wrapText="1"/>
      <protection/>
    </xf>
    <xf numFmtId="0" fontId="3" fillId="0" borderId="29" xfId="66" applyFont="1" applyFill="1" applyBorder="1" applyAlignment="1" applyProtection="1">
      <alignment horizontal="center" vertical="center" wrapText="1"/>
      <protection/>
    </xf>
    <xf numFmtId="0" fontId="3" fillId="33" borderId="12" xfId="66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/>
    </xf>
    <xf numFmtId="0" fontId="0" fillId="0" borderId="36" xfId="66" applyFont="1" applyFill="1" applyBorder="1" applyAlignment="1" applyProtection="1">
      <alignment vertical="center"/>
      <protection/>
    </xf>
    <xf numFmtId="41" fontId="0" fillId="0" borderId="36" xfId="66" applyNumberFormat="1" applyFont="1" applyFill="1" applyBorder="1" applyAlignment="1" applyProtection="1">
      <alignment vertical="center"/>
      <protection/>
    </xf>
    <xf numFmtId="0" fontId="3" fillId="0" borderId="12" xfId="66" applyFont="1" applyFill="1" applyBorder="1" applyAlignment="1" applyProtection="1">
      <alignment horizontal="center" vertical="top"/>
      <protection/>
    </xf>
    <xf numFmtId="41" fontId="0" fillId="0" borderId="12" xfId="66" applyNumberFormat="1" applyFont="1" applyFill="1" applyBorder="1" applyProtection="1">
      <alignment vertical="top"/>
      <protection/>
    </xf>
    <xf numFmtId="167" fontId="0" fillId="0" borderId="34" xfId="69" applyNumberFormat="1" applyFont="1" applyFill="1" applyBorder="1" applyAlignment="1" applyProtection="1">
      <alignment/>
      <protection/>
    </xf>
    <xf numFmtId="37" fontId="3" fillId="0" borderId="36" xfId="62" applyNumberFormat="1" applyFont="1" applyFill="1" applyBorder="1">
      <alignment/>
      <protection/>
    </xf>
    <xf numFmtId="41" fontId="0" fillId="0" borderId="12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1" fontId="0" fillId="0" borderId="26" xfId="0" applyNumberFormat="1" applyBorder="1" applyAlignment="1">
      <alignment/>
    </xf>
    <xf numFmtId="41" fontId="0" fillId="33" borderId="24" xfId="0" applyNumberFormat="1" applyFill="1" applyBorder="1" applyAlignment="1">
      <alignment/>
    </xf>
    <xf numFmtId="0" fontId="0" fillId="35" borderId="12" xfId="0" applyFill="1" applyBorder="1" applyAlignment="1">
      <alignment/>
    </xf>
    <xf numFmtId="10" fontId="0" fillId="0" borderId="24" xfId="69" applyNumberFormat="1" applyFont="1" applyFill="1" applyBorder="1" applyAlignment="1">
      <alignment horizontal="center"/>
    </xf>
    <xf numFmtId="4" fontId="0" fillId="35" borderId="12" xfId="0" applyNumberFormat="1" applyFill="1" applyBorder="1" applyAlignment="1">
      <alignment horizontal="center"/>
    </xf>
    <xf numFmtId="10" fontId="0" fillId="0" borderId="24" xfId="69" applyNumberFormat="1" applyFont="1" applyBorder="1" applyAlignment="1">
      <alignment horizontal="center"/>
    </xf>
    <xf numFmtId="0" fontId="10" fillId="0" borderId="0" xfId="65" applyFont="1" applyFill="1" applyBorder="1" applyAlignment="1">
      <alignment horizontal="center"/>
      <protection/>
    </xf>
    <xf numFmtId="0" fontId="10" fillId="36" borderId="14" xfId="65" applyFont="1" applyFill="1" applyBorder="1" applyAlignment="1">
      <alignment horizontal="left"/>
      <protection/>
    </xf>
    <xf numFmtId="0" fontId="10" fillId="36" borderId="12" xfId="65" applyFont="1" applyFill="1" applyBorder="1" applyAlignment="1">
      <alignment horizontal="left"/>
      <protection/>
    </xf>
    <xf numFmtId="0" fontId="10" fillId="33" borderId="12" xfId="65" applyFont="1" applyFill="1" applyBorder="1" applyAlignment="1">
      <alignment horizontal="center"/>
      <protection/>
    </xf>
    <xf numFmtId="0" fontId="3" fillId="0" borderId="19" xfId="0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37" fontId="0" fillId="0" borderId="0" xfId="42" applyNumberFormat="1" applyFont="1" applyFill="1" applyBorder="1" applyAlignment="1">
      <alignment horizontal="center"/>
    </xf>
    <xf numFmtId="0" fontId="7" fillId="36" borderId="19" xfId="0" applyFont="1" applyFill="1" applyBorder="1" applyAlignment="1">
      <alignment/>
    </xf>
    <xf numFmtId="169" fontId="3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Border="1" applyAlignment="1">
      <alignment horizontal="right"/>
    </xf>
    <xf numFmtId="10" fontId="3" fillId="0" borderId="0" xfId="69" applyNumberFormat="1" applyFont="1" applyFill="1" applyBorder="1" applyAlignment="1">
      <alignment/>
    </xf>
    <xf numFmtId="0" fontId="0" fillId="0" borderId="19" xfId="0" applyBorder="1" applyAlignment="1">
      <alignment wrapText="1"/>
    </xf>
    <xf numFmtId="0" fontId="3" fillId="34" borderId="14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15" fillId="0" borderId="0" xfId="0" applyFont="1" applyAlignment="1">
      <alignment/>
    </xf>
    <xf numFmtId="3" fontId="19" fillId="37" borderId="12" xfId="66" applyNumberFormat="1" applyFont="1" applyFill="1" applyBorder="1" applyAlignment="1" applyProtection="1">
      <alignment horizontal="center" vertical="center"/>
      <protection/>
    </xf>
    <xf numFmtId="3" fontId="19" fillId="39" borderId="12" xfId="66" applyNumberFormat="1" applyFont="1" applyFill="1" applyBorder="1" applyAlignment="1" applyProtection="1">
      <alignment horizontal="center" vertical="center"/>
      <protection/>
    </xf>
    <xf numFmtId="3" fontId="19" fillId="38" borderId="12" xfId="66" applyNumberFormat="1" applyFont="1" applyFill="1" applyBorder="1" applyAlignment="1" applyProtection="1">
      <alignment horizontal="center" vertical="center"/>
      <protection/>
    </xf>
    <xf numFmtId="3" fontId="18" fillId="37" borderId="12" xfId="66" applyNumberFormat="1" applyFont="1" applyFill="1" applyBorder="1" applyAlignment="1" applyProtection="1">
      <alignment horizontal="center" vertical="center"/>
      <protection/>
    </xf>
    <xf numFmtId="3" fontId="18" fillId="37" borderId="28" xfId="66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>
      <alignment horizontal="center"/>
    </xf>
    <xf numFmtId="10" fontId="0" fillId="0" borderId="0" xfId="69" applyNumberFormat="1" applyFont="1" applyFill="1" applyBorder="1" applyAlignment="1">
      <alignment horizontal="center"/>
    </xf>
    <xf numFmtId="37" fontId="3" fillId="0" borderId="25" xfId="42" applyNumberFormat="1" applyFont="1" applyFill="1" applyBorder="1" applyAlignment="1">
      <alignment horizontal="center"/>
    </xf>
    <xf numFmtId="165" fontId="3" fillId="0" borderId="42" xfId="64" applyNumberFormat="1" applyFont="1" applyFill="1" applyBorder="1">
      <alignment/>
      <protection/>
    </xf>
    <xf numFmtId="165" fontId="3" fillId="0" borderId="43" xfId="0" applyNumberFormat="1" applyFont="1" applyBorder="1" applyAlignment="1">
      <alignment/>
    </xf>
    <xf numFmtId="0" fontId="8" fillId="0" borderId="0" xfId="0" applyFont="1" applyAlignment="1">
      <alignment/>
    </xf>
    <xf numFmtId="10" fontId="0" fillId="35" borderId="2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3" fontId="18" fillId="37" borderId="44" xfId="66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3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 horizontal="left"/>
    </xf>
    <xf numFmtId="43" fontId="0" fillId="0" borderId="0" xfId="0" applyNumberFormat="1" applyAlignment="1">
      <alignment/>
    </xf>
    <xf numFmtId="164" fontId="5" fillId="0" borderId="0" xfId="63" applyNumberFormat="1" applyFont="1" applyAlignment="1">
      <alignment horizontal="center" vertical="center"/>
      <protection/>
    </xf>
    <xf numFmtId="17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5" fillId="41" borderId="0" xfId="0" applyNumberFormat="1" applyFont="1" applyFill="1" applyAlignment="1">
      <alignment horizontal="left"/>
    </xf>
    <xf numFmtId="1" fontId="0" fillId="0" borderId="0" xfId="0" applyNumberFormat="1" applyBorder="1" applyAlignment="1">
      <alignment/>
    </xf>
    <xf numFmtId="0" fontId="5" fillId="42" borderId="0" xfId="0" applyNumberFormat="1" applyFont="1" applyFill="1" applyAlignment="1">
      <alignment horizontal="left"/>
    </xf>
    <xf numFmtId="0" fontId="0" fillId="42" borderId="0" xfId="0" applyFill="1" applyAlignment="1">
      <alignment/>
    </xf>
    <xf numFmtId="0" fontId="0" fillId="35" borderId="14" xfId="0" applyFill="1" applyBorder="1" applyAlignment="1">
      <alignment horizontal="center"/>
    </xf>
    <xf numFmtId="1" fontId="0" fillId="35" borderId="12" xfId="0" applyNumberFormat="1" applyFill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0" xfId="0" applyNumberFormat="1" applyAlignment="1">
      <alignment/>
    </xf>
    <xf numFmtId="164" fontId="2" fillId="0" borderId="8" xfId="63" applyNumberFormat="1" applyFont="1" applyBorder="1" applyAlignment="1" quotePrefix="1">
      <alignment horizontal="left" vertical="center"/>
      <protection/>
    </xf>
    <xf numFmtId="168" fontId="0" fillId="0" borderId="0" xfId="42" applyNumberFormat="1" applyFont="1" applyAlignment="1">
      <alignment/>
    </xf>
    <xf numFmtId="168" fontId="0" fillId="0" borderId="12" xfId="42" applyNumberFormat="1" applyFont="1" applyBorder="1" applyAlignment="1">
      <alignment horizontal="center"/>
    </xf>
    <xf numFmtId="168" fontId="0" fillId="35" borderId="12" xfId="42" applyNumberFormat="1" applyFont="1" applyFill="1" applyBorder="1" applyAlignment="1">
      <alignment horizontal="center"/>
    </xf>
    <xf numFmtId="168" fontId="3" fillId="0" borderId="12" xfId="42" applyNumberFormat="1" applyFont="1" applyBorder="1" applyAlignment="1">
      <alignment horizontal="center"/>
    </xf>
    <xf numFmtId="168" fontId="0" fillId="0" borderId="24" xfId="42" applyNumberFormat="1" applyFont="1" applyBorder="1" applyAlignment="1">
      <alignment horizontal="center"/>
    </xf>
    <xf numFmtId="168" fontId="0" fillId="0" borderId="0" xfId="42" applyNumberFormat="1" applyFont="1" applyBorder="1" applyAlignment="1">
      <alignment/>
    </xf>
    <xf numFmtId="168" fontId="0" fillId="0" borderId="25" xfId="42" applyNumberFormat="1" applyFont="1" applyBorder="1" applyAlignment="1">
      <alignment/>
    </xf>
    <xf numFmtId="168" fontId="0" fillId="0" borderId="43" xfId="42" applyNumberFormat="1" applyFont="1" applyBorder="1" applyAlignment="1">
      <alignment/>
    </xf>
    <xf numFmtId="168" fontId="0" fillId="0" borderId="12" xfId="42" applyNumberFormat="1" applyFont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12" xfId="42" applyNumberFormat="1" applyFont="1" applyBorder="1" applyAlignment="1">
      <alignment/>
    </xf>
    <xf numFmtId="3" fontId="0" fillId="0" borderId="12" xfId="0" applyNumberFormat="1" applyFill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172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39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69" applyNumberFormat="1" applyFont="1" applyAlignment="1">
      <alignment/>
    </xf>
    <xf numFmtId="38" fontId="0" fillId="0" borderId="0" xfId="42" applyNumberFormat="1" applyFont="1" applyFill="1" applyBorder="1" applyAlignment="1">
      <alignment horizontal="center"/>
    </xf>
    <xf numFmtId="38" fontId="3" fillId="0" borderId="25" xfId="42" applyNumberFormat="1" applyFont="1" applyFill="1" applyBorder="1" applyAlignment="1">
      <alignment horizontal="center"/>
    </xf>
    <xf numFmtId="38" fontId="0" fillId="0" borderId="0" xfId="42" applyNumberFormat="1" applyFont="1" applyFill="1" applyBorder="1" applyAlignment="1">
      <alignment/>
    </xf>
    <xf numFmtId="38" fontId="3" fillId="0" borderId="43" xfId="42" applyNumberFormat="1" applyFont="1" applyFill="1" applyBorder="1" applyAlignment="1">
      <alignment horizontal="center"/>
    </xf>
    <xf numFmtId="38" fontId="0" fillId="0" borderId="25" xfId="42" applyNumberFormat="1" applyFont="1" applyFill="1" applyBorder="1" applyAlignment="1">
      <alignment horizontal="center"/>
    </xf>
    <xf numFmtId="37" fontId="3" fillId="0" borderId="43" xfId="42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38" fontId="29" fillId="0" borderId="0" xfId="0" applyNumberFormat="1" applyFont="1" applyBorder="1" applyAlignment="1">
      <alignment horizontal="center"/>
    </xf>
    <xf numFmtId="0" fontId="10" fillId="36" borderId="45" xfId="0" applyFont="1" applyFill="1" applyBorder="1" applyAlignment="1">
      <alignment horizontal="center" wrapText="1"/>
    </xf>
    <xf numFmtId="0" fontId="10" fillId="36" borderId="46" xfId="0" applyFont="1" applyFill="1" applyBorder="1" applyAlignment="1">
      <alignment horizontal="center" wrapText="1"/>
    </xf>
    <xf numFmtId="0" fontId="10" fillId="36" borderId="47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/>
    </xf>
    <xf numFmtId="0" fontId="29" fillId="0" borderId="20" xfId="0" applyFont="1" applyBorder="1" applyAlignment="1">
      <alignment/>
    </xf>
    <xf numFmtId="0" fontId="0" fillId="0" borderId="19" xfId="0" applyFont="1" applyBorder="1" applyAlignment="1">
      <alignment/>
    </xf>
    <xf numFmtId="38" fontId="0" fillId="0" borderId="20" xfId="42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38" fontId="3" fillId="0" borderId="42" xfId="42" applyNumberFormat="1" applyFont="1" applyFill="1" applyBorder="1" applyAlignment="1">
      <alignment horizontal="center"/>
    </xf>
    <xf numFmtId="38" fontId="0" fillId="0" borderId="20" xfId="42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38" fontId="3" fillId="43" borderId="42" xfId="42" applyNumberFormat="1" applyFont="1" applyFill="1" applyBorder="1" applyAlignment="1">
      <alignment horizontal="center"/>
    </xf>
    <xf numFmtId="38" fontId="3" fillId="0" borderId="48" xfId="42" applyNumberFormat="1" applyFont="1" applyFill="1" applyBorder="1" applyAlignment="1">
      <alignment horizontal="center"/>
    </xf>
    <xf numFmtId="38" fontId="0" fillId="0" borderId="42" xfId="42" applyNumberFormat="1" applyFont="1" applyFill="1" applyBorder="1" applyAlignment="1">
      <alignment horizontal="center"/>
    </xf>
    <xf numFmtId="10" fontId="0" fillId="0" borderId="20" xfId="69" applyNumberFormat="1" applyFont="1" applyFill="1" applyBorder="1" applyAlignment="1">
      <alignment horizontal="center"/>
    </xf>
    <xf numFmtId="37" fontId="0" fillId="0" borderId="20" xfId="42" applyNumberFormat="1" applyFont="1" applyFill="1" applyBorder="1" applyAlignment="1">
      <alignment/>
    </xf>
    <xf numFmtId="37" fontId="0" fillId="0" borderId="20" xfId="42" applyNumberFormat="1" applyFont="1" applyFill="1" applyBorder="1" applyAlignment="1">
      <alignment horizontal="center"/>
    </xf>
    <xf numFmtId="37" fontId="3" fillId="0" borderId="48" xfId="42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vertical="center" wrapText="1"/>
    </xf>
    <xf numFmtId="37" fontId="3" fillId="0" borderId="42" xfId="42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vertical="center" wrapText="1"/>
    </xf>
    <xf numFmtId="37" fontId="3" fillId="0" borderId="49" xfId="42" applyNumberFormat="1" applyFont="1" applyFill="1" applyBorder="1" applyAlignment="1">
      <alignment horizontal="center"/>
    </xf>
    <xf numFmtId="37" fontId="3" fillId="33" borderId="49" xfId="42" applyNumberFormat="1" applyFont="1" applyFill="1" applyBorder="1" applyAlignment="1">
      <alignment horizontal="center"/>
    </xf>
    <xf numFmtId="37" fontId="3" fillId="0" borderId="40" xfId="42" applyNumberFormat="1" applyFont="1" applyFill="1" applyBorder="1" applyAlignment="1">
      <alignment horizontal="center"/>
    </xf>
    <xf numFmtId="0" fontId="3" fillId="36" borderId="50" xfId="0" applyFont="1" applyFill="1" applyBorder="1" applyAlignment="1">
      <alignment horizontal="center"/>
    </xf>
    <xf numFmtId="174" fontId="0" fillId="0" borderId="20" xfId="42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37" fontId="3" fillId="43" borderId="48" xfId="42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5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5" fontId="3" fillId="0" borderId="12" xfId="0" applyNumberFormat="1" applyFont="1" applyBorder="1" applyAlignment="1">
      <alignment horizontal="center"/>
    </xf>
    <xf numFmtId="175" fontId="0" fillId="35" borderId="0" xfId="0" applyNumberFormat="1" applyFont="1" applyFill="1" applyBorder="1" applyAlignment="1">
      <alignment horizontal="center"/>
    </xf>
    <xf numFmtId="175" fontId="0" fillId="0" borderId="43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75" fontId="0" fillId="42" borderId="0" xfId="0" applyNumberFormat="1" applyFill="1" applyAlignment="1">
      <alignment/>
    </xf>
    <xf numFmtId="175" fontId="0" fillId="0" borderId="0" xfId="63" applyNumberFormat="1" applyAlignment="1">
      <alignment vertical="center"/>
      <protection/>
    </xf>
    <xf numFmtId="175" fontId="4" fillId="44" borderId="26" xfId="63" applyNumberFormat="1" applyFont="1" applyFill="1" applyBorder="1" applyAlignment="1" applyProtection="1" quotePrefix="1">
      <alignment horizontal="center" vertical="center"/>
      <protection/>
    </xf>
    <xf numFmtId="175" fontId="4" fillId="44" borderId="27" xfId="63" applyNumberFormat="1" applyFont="1" applyFill="1" applyBorder="1" applyAlignment="1" applyProtection="1">
      <alignment horizontal="center" vertical="center"/>
      <protection/>
    </xf>
    <xf numFmtId="175" fontId="0" fillId="0" borderId="8" xfId="63" applyNumberFormat="1" applyBorder="1" applyAlignment="1">
      <alignment horizontal="center" vertical="center"/>
      <protection/>
    </xf>
    <xf numFmtId="175" fontId="0" fillId="35" borderId="8" xfId="63" applyNumberFormat="1" applyFill="1" applyBorder="1" applyAlignment="1">
      <alignment vertical="center"/>
      <protection/>
    </xf>
    <xf numFmtId="175" fontId="0" fillId="0" borderId="0" xfId="63" applyNumberFormat="1" applyFill="1" applyAlignment="1">
      <alignment vertical="center"/>
      <protection/>
    </xf>
    <xf numFmtId="175" fontId="0" fillId="33" borderId="8" xfId="63" applyNumberFormat="1" applyFill="1" applyBorder="1" applyAlignment="1">
      <alignment vertical="center"/>
      <protection/>
    </xf>
    <xf numFmtId="175" fontId="3" fillId="0" borderId="0" xfId="63" applyNumberFormat="1" applyFont="1" applyAlignment="1">
      <alignment vertical="center"/>
      <protection/>
    </xf>
    <xf numFmtId="175" fontId="0" fillId="0" borderId="0" xfId="63" applyNumberFormat="1" applyFill="1" applyBorder="1" applyAlignment="1">
      <alignment vertical="center"/>
      <protection/>
    </xf>
    <xf numFmtId="175" fontId="0" fillId="0" borderId="8" xfId="63" applyNumberFormat="1" applyFill="1" applyBorder="1" applyAlignment="1">
      <alignment vertical="center"/>
      <protection/>
    </xf>
    <xf numFmtId="174" fontId="0" fillId="0" borderId="12" xfId="63" applyNumberFormat="1" applyFill="1" applyBorder="1" applyAlignment="1">
      <alignment vertical="center"/>
      <protection/>
    </xf>
    <xf numFmtId="174" fontId="8" fillId="34" borderId="26" xfId="65" applyNumberFormat="1" applyFont="1" applyFill="1" applyBorder="1" applyAlignment="1">
      <alignment horizontal="center"/>
      <protection/>
    </xf>
    <xf numFmtId="174" fontId="3" fillId="33" borderId="24" xfId="63" applyNumberFormat="1" applyFont="1" applyFill="1" applyBorder="1" applyAlignment="1">
      <alignment vertical="center"/>
      <protection/>
    </xf>
    <xf numFmtId="174" fontId="3" fillId="34" borderId="24" xfId="63" applyNumberFormat="1" applyFont="1" applyFill="1" applyBorder="1" applyAlignment="1">
      <alignment vertical="center"/>
      <protection/>
    </xf>
    <xf numFmtId="174" fontId="6" fillId="0" borderId="0" xfId="61" applyNumberFormat="1">
      <alignment/>
      <protection/>
    </xf>
    <xf numFmtId="174" fontId="8" fillId="34" borderId="12" xfId="65" applyNumberFormat="1" applyFont="1" applyFill="1" applyBorder="1" applyAlignment="1">
      <alignment horizontal="right"/>
      <protection/>
    </xf>
    <xf numFmtId="174" fontId="0" fillId="0" borderId="12" xfId="63" applyNumberFormat="1" applyFill="1" applyBorder="1" applyAlignment="1">
      <alignment horizontal="right" vertical="center"/>
      <protection/>
    </xf>
    <xf numFmtId="174" fontId="3" fillId="33" borderId="24" xfId="65" applyNumberFormat="1" applyFont="1" applyFill="1" applyBorder="1" applyAlignment="1">
      <alignment horizontal="right"/>
      <protection/>
    </xf>
    <xf numFmtId="174" fontId="3" fillId="0" borderId="0" xfId="65" applyNumberFormat="1" applyFont="1" applyFill="1" applyBorder="1" applyAlignment="1">
      <alignment horizontal="right"/>
      <protection/>
    </xf>
    <xf numFmtId="174" fontId="3" fillId="33" borderId="51" xfId="65" applyNumberFormat="1" applyFont="1" applyFill="1" applyBorder="1" applyAlignment="1">
      <alignment horizontal="right"/>
      <protection/>
    </xf>
    <xf numFmtId="174" fontId="3" fillId="36" borderId="24" xfId="65" applyNumberFormat="1" applyFont="1" applyFill="1" applyBorder="1" applyAlignment="1">
      <alignment horizontal="right"/>
      <protection/>
    </xf>
    <xf numFmtId="174" fontId="0" fillId="34" borderId="12" xfId="63" applyNumberFormat="1" applyFill="1" applyBorder="1" applyAlignment="1">
      <alignment horizontal="right" vertical="center"/>
      <protection/>
    </xf>
    <xf numFmtId="174" fontId="10" fillId="36" borderId="12" xfId="65" applyNumberFormat="1" applyFont="1" applyFill="1" applyBorder="1" applyAlignment="1">
      <alignment horizontal="right"/>
      <protection/>
    </xf>
    <xf numFmtId="174" fontId="0" fillId="34" borderId="24" xfId="65" applyNumberFormat="1" applyFont="1" applyFill="1" applyBorder="1" applyAlignment="1">
      <alignment horizontal="right"/>
      <protection/>
    </xf>
    <xf numFmtId="174" fontId="6" fillId="0" borderId="0" xfId="65" applyNumberFormat="1" applyAlignment="1">
      <alignment horizontal="right"/>
      <protection/>
    </xf>
    <xf numFmtId="174" fontId="0" fillId="0" borderId="0" xfId="0" applyNumberFormat="1" applyAlignment="1">
      <alignment horizontal="right"/>
    </xf>
    <xf numFmtId="174" fontId="6" fillId="0" borderId="0" xfId="42" applyNumberFormat="1" applyFont="1" applyAlignment="1">
      <alignment/>
    </xf>
    <xf numFmtId="0" fontId="0" fillId="0" borderId="12" xfId="0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175" fontId="0" fillId="0" borderId="12" xfId="0" applyNumberFormat="1" applyBorder="1" applyAlignment="1">
      <alignment horizontal="center"/>
    </xf>
    <xf numFmtId="175" fontId="0" fillId="0" borderId="12" xfId="0" applyNumberFormat="1" applyFill="1" applyBorder="1" applyAlignment="1">
      <alignment horizontal="center"/>
    </xf>
    <xf numFmtId="3" fontId="0" fillId="35" borderId="0" xfId="0" applyNumberFormat="1" applyFill="1" applyBorder="1" applyAlignment="1">
      <alignment/>
    </xf>
    <xf numFmtId="175" fontId="3" fillId="40" borderId="12" xfId="66" applyNumberFormat="1" applyFont="1" applyFill="1" applyBorder="1" applyAlignment="1" applyProtection="1">
      <alignment horizontal="center" vertical="center" wrapText="1"/>
      <protection/>
    </xf>
    <xf numFmtId="175" fontId="0" fillId="0" borderId="14" xfId="66" applyNumberFormat="1" applyFont="1" applyFill="1" applyBorder="1" applyAlignment="1" applyProtection="1">
      <alignment horizontal="center" vertical="center" wrapText="1"/>
      <protection/>
    </xf>
    <xf numFmtId="175" fontId="0" fillId="0" borderId="25" xfId="66" applyNumberFormat="1" applyFont="1" applyFill="1" applyBorder="1" applyAlignment="1" applyProtection="1">
      <alignment horizontal="center" vertical="center" wrapText="1"/>
      <protection/>
    </xf>
    <xf numFmtId="175" fontId="0" fillId="35" borderId="12" xfId="66" applyNumberFormat="1" applyFont="1" applyFill="1" applyBorder="1" applyAlignment="1" applyProtection="1">
      <alignment horizontal="center" vertical="center" wrapText="1"/>
      <protection locked="0"/>
    </xf>
    <xf numFmtId="175" fontId="0" fillId="35" borderId="12" xfId="66" applyNumberFormat="1" applyFont="1" applyFill="1" applyBorder="1" applyAlignment="1" applyProtection="1">
      <alignment horizontal="center" vertical="center"/>
      <protection locked="0"/>
    </xf>
    <xf numFmtId="175" fontId="0" fillId="0" borderId="12" xfId="66" applyNumberFormat="1" applyFont="1" applyFill="1" applyBorder="1" applyAlignment="1" applyProtection="1">
      <alignment horizontal="center" vertical="center"/>
      <protection/>
    </xf>
    <xf numFmtId="175" fontId="0" fillId="0" borderId="12" xfId="66" applyNumberFormat="1" applyFont="1" applyFill="1" applyBorder="1" applyAlignment="1" applyProtection="1">
      <alignment horizontal="center" vertical="center" wrapText="1"/>
      <protection locked="0"/>
    </xf>
    <xf numFmtId="175" fontId="0" fillId="35" borderId="52" xfId="66" applyNumberFormat="1" applyFont="1" applyFill="1" applyBorder="1" applyAlignment="1" applyProtection="1">
      <alignment horizontal="center" vertical="center"/>
      <protection locked="0"/>
    </xf>
    <xf numFmtId="175" fontId="0" fillId="35" borderId="26" xfId="66" applyNumberFormat="1" applyFont="1" applyFill="1" applyBorder="1" applyAlignment="1" applyProtection="1">
      <alignment horizontal="center" vertical="center" wrapText="1"/>
      <protection locked="0"/>
    </xf>
    <xf numFmtId="175" fontId="3" fillId="0" borderId="28" xfId="66" applyNumberFormat="1" applyFont="1" applyFill="1" applyBorder="1" applyAlignment="1" applyProtection="1">
      <alignment horizontal="center" vertical="center" wrapText="1"/>
      <protection/>
    </xf>
    <xf numFmtId="175" fontId="3" fillId="0" borderId="0" xfId="66" applyNumberFormat="1" applyFont="1" applyFill="1" applyBorder="1" applyAlignment="1" applyProtection="1">
      <alignment horizontal="center" vertical="center" wrapText="1"/>
      <protection/>
    </xf>
    <xf numFmtId="175" fontId="27" fillId="0" borderId="31" xfId="66" applyNumberFormat="1" applyFont="1" applyFill="1" applyBorder="1" applyAlignment="1" applyProtection="1">
      <alignment horizontal="center" vertical="center" wrapText="1"/>
      <protection/>
    </xf>
    <xf numFmtId="175" fontId="0" fillId="0" borderId="27" xfId="66" applyNumberFormat="1" applyFont="1" applyFill="1" applyBorder="1" applyAlignment="1" applyProtection="1">
      <alignment horizontal="center" vertical="center" wrapText="1"/>
      <protection locked="0"/>
    </xf>
    <xf numFmtId="175" fontId="3" fillId="0" borderId="12" xfId="66" applyNumberFormat="1" applyFont="1" applyFill="1" applyBorder="1" applyAlignment="1" applyProtection="1">
      <alignment horizontal="center" vertical="center" wrapText="1"/>
      <protection/>
    </xf>
    <xf numFmtId="175" fontId="15" fillId="0" borderId="33" xfId="66" applyNumberFormat="1" applyFont="1" applyFill="1" applyBorder="1" applyAlignment="1" applyProtection="1">
      <alignment horizontal="center" vertical="center" wrapText="1"/>
      <protection/>
    </xf>
    <xf numFmtId="175" fontId="15" fillId="0" borderId="31" xfId="66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Alignment="1">
      <alignment horizontal="center"/>
    </xf>
    <xf numFmtId="175" fontId="3" fillId="33" borderId="12" xfId="0" applyNumberFormat="1" applyFont="1" applyFill="1" applyBorder="1" applyAlignment="1">
      <alignment horizontal="center"/>
    </xf>
    <xf numFmtId="175" fontId="0" fillId="0" borderId="17" xfId="64" applyNumberFormat="1" applyFont="1" applyFill="1" applyBorder="1" applyAlignment="1">
      <alignment horizontal="right"/>
      <protection/>
    </xf>
    <xf numFmtId="175" fontId="0" fillId="0" borderId="18" xfId="64" applyNumberFormat="1" applyFont="1" applyFill="1" applyBorder="1">
      <alignment/>
      <protection/>
    </xf>
    <xf numFmtId="175" fontId="0" fillId="0" borderId="31" xfId="64" applyNumberFormat="1" applyFont="1" applyFill="1" applyBorder="1" applyAlignment="1">
      <alignment horizontal="right"/>
      <protection/>
    </xf>
    <xf numFmtId="175" fontId="0" fillId="0" borderId="53" xfId="64" applyNumberFormat="1" applyFont="1" applyFill="1" applyBorder="1">
      <alignment/>
      <protection/>
    </xf>
    <xf numFmtId="175" fontId="3" fillId="0" borderId="49" xfId="64" applyNumberFormat="1" applyFont="1" applyFill="1" applyBorder="1" applyAlignment="1">
      <alignment horizontal="right"/>
      <protection/>
    </xf>
    <xf numFmtId="175" fontId="3" fillId="0" borderId="40" xfId="64" applyNumberFormat="1" applyFont="1" applyFill="1" applyBorder="1">
      <alignment/>
      <protection/>
    </xf>
    <xf numFmtId="175" fontId="0" fillId="35" borderId="12" xfId="64" applyNumberFormat="1" applyFont="1" applyFill="1" applyBorder="1">
      <alignment/>
      <protection/>
    </xf>
    <xf numFmtId="10" fontId="0" fillId="0" borderId="22" xfId="69" applyNumberFormat="1" applyFont="1" applyBorder="1" applyAlignment="1">
      <alignment horizontal="center"/>
    </xf>
    <xf numFmtId="175" fontId="0" fillId="35" borderId="8" xfId="63" applyNumberFormat="1" applyFont="1" applyFill="1" applyBorder="1" applyAlignment="1">
      <alignment vertical="center"/>
      <protection/>
    </xf>
    <xf numFmtId="175" fontId="0" fillId="45" borderId="8" xfId="63" applyNumberFormat="1" applyFill="1" applyBorder="1" applyAlignment="1">
      <alignment vertical="center"/>
      <protection/>
    </xf>
    <xf numFmtId="164" fontId="2" fillId="0" borderId="8" xfId="63" applyNumberFormat="1" applyFont="1" applyBorder="1" applyAlignment="1">
      <alignment horizontal="left" vertical="center"/>
      <protection/>
    </xf>
    <xf numFmtId="175" fontId="0" fillId="0" borderId="12" xfId="66" applyNumberFormat="1" applyFont="1" applyFill="1" applyBorder="1" applyAlignment="1" applyProtection="1">
      <alignment horizontal="center" vertical="center" wrapText="1"/>
      <protection/>
    </xf>
    <xf numFmtId="175" fontId="0" fillId="0" borderId="27" xfId="66" applyNumberFormat="1" applyFont="1" applyFill="1" applyBorder="1" applyAlignment="1" applyProtection="1">
      <alignment horizontal="center" vertical="center" wrapText="1"/>
      <protection/>
    </xf>
    <xf numFmtId="175" fontId="0" fillId="35" borderId="27" xfId="57" applyNumberFormat="1" applyFont="1" applyFill="1" applyBorder="1" applyAlignment="1" applyProtection="1">
      <alignment horizontal="center" vertical="center" wrapText="1"/>
      <protection/>
    </xf>
    <xf numFmtId="10" fontId="0" fillId="35" borderId="12" xfId="69" applyNumberFormat="1" applyFont="1" applyFill="1" applyBorder="1" applyAlignment="1">
      <alignment horizontal="center"/>
    </xf>
    <xf numFmtId="9" fontId="0" fillId="0" borderId="0" xfId="69" applyFont="1" applyAlignment="1">
      <alignment/>
    </xf>
    <xf numFmtId="43" fontId="0" fillId="0" borderId="0" xfId="44" applyAlignment="1">
      <alignment/>
    </xf>
    <xf numFmtId="175" fontId="0" fillId="35" borderId="8" xfId="63" applyNumberFormat="1" applyFont="1" applyFill="1" applyBorder="1" applyAlignment="1">
      <alignment vertical="center"/>
      <protection/>
    </xf>
    <xf numFmtId="175" fontId="0" fillId="35" borderId="12" xfId="44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175" fontId="0" fillId="0" borderId="0" xfId="0" applyNumberFormat="1" applyFill="1" applyAlignment="1">
      <alignment/>
    </xf>
    <xf numFmtId="175" fontId="0" fillId="46" borderId="8" xfId="63" applyNumberFormat="1" applyFill="1" applyBorder="1" applyAlignment="1">
      <alignment vertical="center"/>
      <protection/>
    </xf>
    <xf numFmtId="175" fontId="0" fillId="0" borderId="0" xfId="0" applyNumberFormat="1" applyFont="1" applyFill="1" applyBorder="1" applyAlignment="1">
      <alignment/>
    </xf>
    <xf numFmtId="0" fontId="3" fillId="46" borderId="0" xfId="0" applyFont="1" applyFill="1" applyAlignment="1">
      <alignment wrapText="1"/>
    </xf>
    <xf numFmtId="0" fontId="3" fillId="46" borderId="0" xfId="0" applyFont="1" applyFill="1" applyAlignment="1">
      <alignment/>
    </xf>
    <xf numFmtId="0" fontId="0" fillId="46" borderId="0" xfId="0" applyFill="1" applyAlignment="1">
      <alignment/>
    </xf>
    <xf numFmtId="0" fontId="0" fillId="46" borderId="0" xfId="0" applyFont="1" applyFill="1" applyAlignment="1">
      <alignment/>
    </xf>
    <xf numFmtId="175" fontId="0" fillId="47" borderId="0" xfId="0" applyNumberFormat="1" applyFill="1" applyAlignment="1">
      <alignment/>
    </xf>
    <xf numFmtId="175" fontId="0" fillId="17" borderId="8" xfId="63" applyNumberFormat="1" applyFill="1" applyBorder="1" applyAlignment="1">
      <alignment vertical="center"/>
      <protection/>
    </xf>
    <xf numFmtId="175" fontId="0" fillId="11" borderId="8" xfId="63" applyNumberFormat="1" applyFill="1" applyBorder="1" applyAlignment="1">
      <alignment vertical="center"/>
      <protection/>
    </xf>
    <xf numFmtId="0" fontId="0" fillId="0" borderId="8" xfId="63" applyNumberFormat="1" applyFill="1" applyBorder="1" applyAlignment="1">
      <alignment horizontal="center" vertical="center"/>
      <protection/>
    </xf>
    <xf numFmtId="0" fontId="0" fillId="0" borderId="0" xfId="63" applyNumberFormat="1" applyFill="1" applyAlignment="1">
      <alignment horizontal="center" vertical="center"/>
      <protection/>
    </xf>
    <xf numFmtId="175" fontId="0" fillId="45" borderId="0" xfId="0" applyNumberFormat="1" applyFill="1" applyAlignment="1">
      <alignment/>
    </xf>
    <xf numFmtId="175" fontId="0" fillId="45" borderId="8" xfId="63" applyNumberFormat="1" applyFont="1" applyFill="1" applyBorder="1" applyAlignment="1">
      <alignment vertical="center"/>
      <protection/>
    </xf>
    <xf numFmtId="0" fontId="5" fillId="41" borderId="0" xfId="0" applyFont="1" applyFill="1" applyAlignment="1">
      <alignment horizontal="left"/>
    </xf>
    <xf numFmtId="2" fontId="0" fillId="46" borderId="0" xfId="0" applyNumberFormat="1" applyFill="1" applyAlignment="1">
      <alignment/>
    </xf>
    <xf numFmtId="9" fontId="0" fillId="0" borderId="12" xfId="69" applyFont="1" applyBorder="1" applyAlignment="1">
      <alignment horizontal="center"/>
    </xf>
    <xf numFmtId="9" fontId="0" fillId="0" borderId="12" xfId="69" applyFont="1" applyFill="1" applyBorder="1" applyAlignment="1">
      <alignment horizontal="center"/>
    </xf>
    <xf numFmtId="9" fontId="3" fillId="0" borderId="12" xfId="69" applyFont="1" applyBorder="1" applyAlignment="1">
      <alignment horizontal="center"/>
    </xf>
    <xf numFmtId="175" fontId="0" fillId="35" borderId="8" xfId="63" applyNumberFormat="1" applyFont="1" applyFill="1" applyBorder="1" applyAlignment="1">
      <alignment vertical="center"/>
      <protection/>
    </xf>
    <xf numFmtId="10" fontId="0" fillId="35" borderId="12" xfId="69" applyNumberFormat="1" applyFont="1" applyFill="1" applyBorder="1" applyAlignment="1">
      <alignment/>
    </xf>
    <xf numFmtId="168" fontId="3" fillId="0" borderId="12" xfId="42" applyNumberFormat="1" applyFont="1" applyFill="1" applyBorder="1" applyAlignment="1" applyProtection="1">
      <alignment vertical="top"/>
      <protection/>
    </xf>
    <xf numFmtId="0" fontId="0" fillId="35" borderId="12" xfId="0" applyFont="1" applyFill="1" applyBorder="1" applyAlignment="1">
      <alignment horizontal="center"/>
    </xf>
    <xf numFmtId="168" fontId="0" fillId="35" borderId="12" xfId="42" applyNumberFormat="1" applyFont="1" applyFill="1" applyBorder="1" applyAlignment="1">
      <alignment/>
    </xf>
    <xf numFmtId="175" fontId="0" fillId="48" borderId="8" xfId="63" applyNumberFormat="1" applyFill="1" applyBorder="1" applyAlignment="1">
      <alignment vertical="center"/>
      <protection/>
    </xf>
    <xf numFmtId="175" fontId="0" fillId="48" borderId="8" xfId="63" applyNumberFormat="1" applyFont="1" applyFill="1" applyBorder="1" applyAlignment="1">
      <alignment vertical="center"/>
      <protection/>
    </xf>
    <xf numFmtId="175" fontId="0" fillId="48" borderId="8" xfId="63" applyNumberFormat="1" applyFont="1" applyFill="1" applyBorder="1" applyAlignment="1">
      <alignment vertical="center"/>
      <protection/>
    </xf>
    <xf numFmtId="2" fontId="0" fillId="16" borderId="0" xfId="0" applyNumberFormat="1" applyFill="1" applyAlignment="1">
      <alignment/>
    </xf>
    <xf numFmtId="0" fontId="0" fillId="16" borderId="0" xfId="0" applyFill="1" applyAlignment="1">
      <alignment/>
    </xf>
    <xf numFmtId="177" fontId="0" fillId="0" borderId="0" xfId="46" applyNumberFormat="1" applyFont="1" applyAlignment="1">
      <alignment/>
    </xf>
    <xf numFmtId="0" fontId="0" fillId="0" borderId="19" xfId="64" applyFont="1" applyFill="1" applyBorder="1">
      <alignment/>
      <protection/>
    </xf>
    <xf numFmtId="0" fontId="0" fillId="0" borderId="19" xfId="64" applyFont="1" applyFill="1" applyBorder="1" applyAlignment="1">
      <alignment horizontal="left" indent="1"/>
      <protection/>
    </xf>
    <xf numFmtId="0" fontId="3" fillId="0" borderId="19" xfId="64" applyFont="1" applyFill="1" applyBorder="1" applyAlignment="1">
      <alignment horizontal="left" indent="1"/>
      <protection/>
    </xf>
    <xf numFmtId="0" fontId="3" fillId="0" borderId="21" xfId="64" applyFont="1" applyFill="1" applyBorder="1">
      <alignment/>
      <protection/>
    </xf>
    <xf numFmtId="165" fontId="3" fillId="0" borderId="54" xfId="64" applyNumberFormat="1" applyFont="1" applyFill="1" applyBorder="1">
      <alignment/>
      <protection/>
    </xf>
    <xf numFmtId="165" fontId="0" fillId="0" borderId="48" xfId="0" applyNumberFormat="1" applyBorder="1" applyAlignment="1">
      <alignment/>
    </xf>
    <xf numFmtId="168" fontId="0" fillId="0" borderId="20" xfId="42" applyNumberFormat="1" applyFont="1" applyBorder="1" applyAlignment="1">
      <alignment/>
    </xf>
    <xf numFmtId="174" fontId="6" fillId="0" borderId="31" xfId="65" applyNumberFormat="1" applyBorder="1" applyAlignment="1">
      <alignment horizontal="right"/>
      <protection/>
    </xf>
    <xf numFmtId="174" fontId="6" fillId="0" borderId="31" xfId="61" applyNumberFormat="1" applyBorder="1">
      <alignment/>
      <protection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5" fontId="0" fillId="0" borderId="0" xfId="0" applyNumberFormat="1" applyFont="1" applyBorder="1" applyAlignment="1">
      <alignment horizontal="left"/>
    </xf>
    <xf numFmtId="175" fontId="0" fillId="0" borderId="31" xfId="0" applyNumberFormat="1" applyFont="1" applyBorder="1" applyAlignment="1">
      <alignment horizontal="right"/>
    </xf>
    <xf numFmtId="169" fontId="0" fillId="49" borderId="0" xfId="0" applyNumberFormat="1" applyFont="1" applyFill="1" applyAlignment="1">
      <alignment horizontal="center"/>
    </xf>
    <xf numFmtId="175" fontId="0" fillId="49" borderId="0" xfId="0" applyNumberFormat="1" applyFont="1" applyFill="1" applyBorder="1" applyAlignment="1">
      <alignment horizontal="right"/>
    </xf>
    <xf numFmtId="175" fontId="0" fillId="49" borderId="0" xfId="0" applyNumberFormat="1" applyFont="1" applyFill="1" applyBorder="1" applyAlignment="1">
      <alignment/>
    </xf>
    <xf numFmtId="169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10" fontId="0" fillId="0" borderId="31" xfId="69" applyNumberFormat="1" applyFont="1" applyBorder="1" applyAlignment="1">
      <alignment horizontal="center"/>
    </xf>
    <xf numFmtId="43" fontId="3" fillId="6" borderId="12" xfId="42" applyFont="1" applyFill="1" applyBorder="1" applyAlignment="1">
      <alignment horizontal="center"/>
    </xf>
    <xf numFmtId="0" fontId="0" fillId="0" borderId="55" xfId="0" applyBorder="1" applyAlignment="1">
      <alignment/>
    </xf>
    <xf numFmtId="17" fontId="0" fillId="35" borderId="12" xfId="0" applyNumberFormat="1" applyFont="1" applyFill="1" applyBorder="1" applyAlignment="1">
      <alignment horizontal="center"/>
    </xf>
    <xf numFmtId="171" fontId="0" fillId="35" borderId="14" xfId="0" applyNumberFormat="1" applyFont="1" applyFill="1" applyBorder="1" applyAlignment="1">
      <alignment horizontal="center"/>
    </xf>
    <xf numFmtId="10" fontId="0" fillId="35" borderId="12" xfId="69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168" fontId="0" fillId="45" borderId="12" xfId="42" applyNumberFormat="1" applyFont="1" applyFill="1" applyBorder="1" applyAlignment="1">
      <alignment/>
    </xf>
    <xf numFmtId="0" fontId="0" fillId="45" borderId="12" xfId="0" applyFont="1" applyFill="1" applyBorder="1" applyAlignment="1">
      <alignment horizontal="center"/>
    </xf>
    <xf numFmtId="10" fontId="0" fillId="45" borderId="12" xfId="69" applyNumberFormat="1" applyFont="1" applyFill="1" applyBorder="1" applyAlignment="1">
      <alignment/>
    </xf>
    <xf numFmtId="168" fontId="0" fillId="45" borderId="12" xfId="42" applyNumberFormat="1" applyFont="1" applyFill="1" applyBorder="1" applyAlignment="1">
      <alignment/>
    </xf>
    <xf numFmtId="0" fontId="0" fillId="45" borderId="12" xfId="0" applyFill="1" applyBorder="1" applyAlignment="1">
      <alignment horizontal="center"/>
    </xf>
    <xf numFmtId="168" fontId="0" fillId="45" borderId="12" xfId="42" applyNumberFormat="1" applyFont="1" applyFill="1" applyBorder="1" applyAlignment="1">
      <alignment horizontal="center"/>
    </xf>
    <xf numFmtId="0" fontId="0" fillId="0" borderId="20" xfId="69" applyNumberFormat="1" applyFont="1" applyFill="1" applyBorder="1" applyAlignment="1">
      <alignment horizontal="center"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169" fontId="28" fillId="0" borderId="0" xfId="0" applyNumberFormat="1" applyFont="1" applyFill="1" applyBorder="1" applyAlignment="1">
      <alignment horizontal="center"/>
    </xf>
    <xf numFmtId="169" fontId="0" fillId="0" borderId="14" xfId="0" applyNumberFormat="1" applyFont="1" applyFill="1" applyBorder="1" applyAlignment="1">
      <alignment horizontal="center"/>
    </xf>
    <xf numFmtId="169" fontId="25" fillId="49" borderId="0" xfId="0" applyNumberFormat="1" applyFont="1" applyFill="1" applyAlignment="1">
      <alignment/>
    </xf>
    <xf numFmtId="175" fontId="0" fillId="0" borderId="0" xfId="0" applyNumberFormat="1" applyFont="1" applyBorder="1" applyAlignment="1">
      <alignment horizontal="center"/>
    </xf>
    <xf numFmtId="38" fontId="3" fillId="33" borderId="20" xfId="46" applyNumberFormat="1" applyFont="1" applyFill="1" applyBorder="1" applyAlignment="1">
      <alignment horizontal="center"/>
    </xf>
    <xf numFmtId="175" fontId="0" fillId="0" borderId="0" xfId="0" applyNumberFormat="1" applyFont="1" applyBorder="1" applyAlignment="1">
      <alignment horizontal="right"/>
    </xf>
    <xf numFmtId="5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 wrapText="1"/>
    </xf>
    <xf numFmtId="169" fontId="0" fillId="0" borderId="52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/>
    </xf>
    <xf numFmtId="175" fontId="0" fillId="0" borderId="12" xfId="0" applyNumberFormat="1" applyFont="1" applyFill="1" applyBorder="1" applyAlignment="1">
      <alignment/>
    </xf>
    <xf numFmtId="168" fontId="0" fillId="0" borderId="12" xfId="42" applyNumberFormat="1" applyFont="1" applyFill="1" applyBorder="1" applyAlignment="1">
      <alignment horizontal="center"/>
    </xf>
    <xf numFmtId="175" fontId="0" fillId="0" borderId="12" xfId="0" applyNumberFormat="1" applyFont="1" applyFill="1" applyBorder="1" applyAlignment="1">
      <alignment horizontal="center"/>
    </xf>
    <xf numFmtId="175" fontId="0" fillId="0" borderId="12" xfId="0" applyNumberFormat="1" applyFont="1" applyFill="1" applyBorder="1" applyAlignment="1">
      <alignment horizontal="right"/>
    </xf>
    <xf numFmtId="168" fontId="0" fillId="0" borderId="12" xfId="42" applyNumberFormat="1" applyFont="1" applyFill="1" applyBorder="1" applyAlignment="1">
      <alignment horizontal="right"/>
    </xf>
    <xf numFmtId="38" fontId="0" fillId="0" borderId="12" xfId="42" applyNumberFormat="1" applyFont="1" applyFill="1" applyBorder="1" applyAlignment="1">
      <alignment horizontal="right"/>
    </xf>
    <xf numFmtId="169" fontId="0" fillId="0" borderId="12" xfId="0" applyNumberFormat="1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 horizontal="center"/>
    </xf>
    <xf numFmtId="175" fontId="3" fillId="0" borderId="12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 horizontal="left"/>
    </xf>
    <xf numFmtId="175" fontId="0" fillId="0" borderId="31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center"/>
    </xf>
    <xf numFmtId="175" fontId="0" fillId="0" borderId="4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 quotePrefix="1">
      <alignment horizontal="left"/>
    </xf>
    <xf numFmtId="0" fontId="0" fillId="0" borderId="26" xfId="0" applyFill="1" applyBorder="1" applyAlignment="1">
      <alignment horizontal="center"/>
    </xf>
    <xf numFmtId="175" fontId="0" fillId="0" borderId="12" xfId="0" applyNumberFormat="1" applyFont="1" applyFill="1" applyBorder="1" applyAlignment="1">
      <alignment/>
    </xf>
    <xf numFmtId="175" fontId="3" fillId="0" borderId="12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175" fontId="3" fillId="0" borderId="26" xfId="0" applyNumberFormat="1" applyFont="1" applyFill="1" applyBorder="1" applyAlignment="1">
      <alignment horizontal="center" wrapText="1"/>
    </xf>
    <xf numFmtId="175" fontId="3" fillId="0" borderId="27" xfId="0" applyNumberFormat="1" applyFont="1" applyFill="1" applyBorder="1" applyAlignment="1">
      <alignment horizontal="center" wrapText="1"/>
    </xf>
    <xf numFmtId="169" fontId="3" fillId="0" borderId="0" xfId="0" applyNumberFormat="1" applyFont="1" applyBorder="1" applyAlignment="1">
      <alignment horizontal="center"/>
    </xf>
    <xf numFmtId="175" fontId="0" fillId="0" borderId="0" xfId="0" applyNumberFormat="1" applyFont="1" applyFill="1" applyBorder="1" applyAlignment="1">
      <alignment/>
    </xf>
    <xf numFmtId="169" fontId="0" fillId="0" borderId="31" xfId="0" applyNumberFormat="1" applyFont="1" applyBorder="1" applyAlignment="1">
      <alignment/>
    </xf>
    <xf numFmtId="175" fontId="0" fillId="0" borderId="36" xfId="0" applyNumberFormat="1" applyFont="1" applyFill="1" applyBorder="1" applyAlignment="1">
      <alignment horizontal="center" wrapText="1"/>
    </xf>
    <xf numFmtId="0" fontId="5" fillId="41" borderId="0" xfId="0" applyFont="1" applyFill="1" applyAlignment="1">
      <alignment horizontal="left"/>
    </xf>
    <xf numFmtId="169" fontId="3" fillId="0" borderId="0" xfId="0" applyNumberFormat="1" applyFont="1" applyAlignment="1">
      <alignment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right"/>
    </xf>
    <xf numFmtId="169" fontId="3" fillId="0" borderId="31" xfId="0" applyNumberFormat="1" applyFont="1" applyFill="1" applyBorder="1" applyAlignment="1">
      <alignment horizontal="left"/>
    </xf>
    <xf numFmtId="169" fontId="3" fillId="0" borderId="0" xfId="0" applyNumberFormat="1" applyFont="1" applyAlignment="1">
      <alignment horizontal="left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/>
    </xf>
    <xf numFmtId="10" fontId="0" fillId="0" borderId="0" xfId="69" applyNumberFormat="1" applyFont="1" applyBorder="1" applyAlignment="1">
      <alignment horizontal="right"/>
    </xf>
    <xf numFmtId="10" fontId="0" fillId="0" borderId="0" xfId="69" applyNumberFormat="1" applyFont="1" applyBorder="1" applyAlignment="1">
      <alignment horizontal="right"/>
    </xf>
    <xf numFmtId="0" fontId="5" fillId="42" borderId="0" xfId="63" applyNumberFormat="1" applyFont="1" applyFill="1" applyAlignment="1">
      <alignment horizontal="left" vertical="center"/>
      <protection/>
    </xf>
    <xf numFmtId="0" fontId="30" fillId="44" borderId="12" xfId="63" applyNumberFormat="1" applyFont="1" applyFill="1" applyBorder="1" applyAlignment="1" applyProtection="1">
      <alignment horizontal="center" vertical="center"/>
      <protection/>
    </xf>
    <xf numFmtId="164" fontId="30" fillId="44" borderId="12" xfId="63" applyNumberFormat="1" applyFont="1" applyFill="1" applyBorder="1" applyAlignment="1" applyProtection="1">
      <alignment horizontal="center" vertical="center"/>
      <protection/>
    </xf>
    <xf numFmtId="164" fontId="9" fillId="0" borderId="0" xfId="63" applyNumberFormat="1" applyFont="1" applyAlignment="1">
      <alignment horizontal="center" vertical="center"/>
      <protection/>
    </xf>
    <xf numFmtId="0" fontId="8" fillId="33" borderId="12" xfId="65" applyFont="1" applyFill="1" applyBorder="1" applyAlignment="1">
      <alignment horizontal="left"/>
      <protection/>
    </xf>
    <xf numFmtId="0" fontId="8" fillId="33" borderId="26" xfId="65" applyFont="1" applyFill="1" applyBorder="1" applyAlignment="1">
      <alignment horizontal="left"/>
      <protection/>
    </xf>
    <xf numFmtId="0" fontId="0" fillId="0" borderId="31" xfId="65" applyFont="1" applyFill="1" applyBorder="1" applyAlignment="1">
      <alignment horizontal="left"/>
      <protection/>
    </xf>
    <xf numFmtId="0" fontId="8" fillId="0" borderId="0" xfId="61" applyFont="1" applyFill="1" applyBorder="1" applyAlignment="1">
      <alignment horizontal="center"/>
      <protection/>
    </xf>
    <xf numFmtId="0" fontId="3" fillId="0" borderId="15" xfId="61" applyFont="1" applyFill="1" applyBorder="1">
      <alignment/>
      <protection/>
    </xf>
    <xf numFmtId="0" fontId="3" fillId="0" borderId="0" xfId="61" applyFont="1" applyFill="1" applyBorder="1">
      <alignment/>
      <protection/>
    </xf>
    <xf numFmtId="0" fontId="10" fillId="33" borderId="14" xfId="61" applyFont="1" applyFill="1" applyBorder="1">
      <alignment/>
      <protection/>
    </xf>
    <xf numFmtId="0" fontId="10" fillId="33" borderId="52" xfId="61" applyFont="1" applyFill="1" applyBorder="1">
      <alignment/>
      <protection/>
    </xf>
    <xf numFmtId="0" fontId="10" fillId="33" borderId="12" xfId="61" applyFont="1" applyFill="1" applyBorder="1">
      <alignment/>
      <protection/>
    </xf>
    <xf numFmtId="0" fontId="8" fillId="0" borderId="56" xfId="61" applyFont="1" applyFill="1" applyBorder="1" applyAlignment="1">
      <alignment horizontal="center"/>
      <protection/>
    </xf>
    <xf numFmtId="1" fontId="3" fillId="0" borderId="32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8" fillId="34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52" xfId="0" applyNumberFormat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52" xfId="0" applyNumberForma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52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1" fontId="3" fillId="0" borderId="5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52" xfId="0" applyNumberFormat="1" applyFont="1" applyFill="1" applyBorder="1" applyAlignment="1">
      <alignment/>
    </xf>
    <xf numFmtId="1" fontId="3" fillId="0" borderId="14" xfId="0" applyNumberFormat="1" applyFont="1" applyBorder="1" applyAlignment="1">
      <alignment horizontal="center"/>
    </xf>
    <xf numFmtId="1" fontId="3" fillId="0" borderId="52" xfId="0" applyNumberFormat="1" applyFont="1" applyBorder="1" applyAlignment="1">
      <alignment horizontal="center"/>
    </xf>
    <xf numFmtId="0" fontId="0" fillId="0" borderId="52" xfId="0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1" fontId="3" fillId="0" borderId="2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41" borderId="0" xfId="0" applyNumberFormat="1" applyFont="1" applyFill="1" applyAlignment="1">
      <alignment horizontal="left"/>
    </xf>
    <xf numFmtId="0" fontId="3" fillId="0" borderId="33" xfId="0" applyFont="1" applyFill="1" applyBorder="1" applyAlignment="1">
      <alignment horizontal="left" indent="1"/>
    </xf>
    <xf numFmtId="0" fontId="3" fillId="0" borderId="54" xfId="0" applyFont="1" applyFill="1" applyBorder="1" applyAlignment="1">
      <alignment horizontal="left" indent="1"/>
    </xf>
    <xf numFmtId="0" fontId="3" fillId="0" borderId="20" xfId="0" applyFont="1" applyFill="1" applyBorder="1" applyAlignment="1">
      <alignment horizontal="left" indent="1"/>
    </xf>
    <xf numFmtId="0" fontId="10" fillId="0" borderId="31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0" fontId="0" fillId="0" borderId="31" xfId="0" applyNumberFormat="1" applyBorder="1" applyAlignment="1">
      <alignment horizontal="center"/>
    </xf>
    <xf numFmtId="0" fontId="0" fillId="0" borderId="0" xfId="0" applyBorder="1" applyAlignment="1">
      <alignment/>
    </xf>
    <xf numFmtId="10" fontId="0" fillId="0" borderId="33" xfId="69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10" fontId="0" fillId="0" borderId="31" xfId="69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3" fillId="34" borderId="14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5" fontId="3" fillId="0" borderId="0" xfId="0" applyNumberFormat="1" applyFont="1" applyBorder="1" applyAlignment="1">
      <alignment horizontal="right"/>
    </xf>
    <xf numFmtId="15" fontId="0" fillId="35" borderId="14" xfId="0" applyNumberFormat="1" applyFont="1" applyFill="1" applyBorder="1" applyAlignment="1" quotePrefix="1">
      <alignment horizontal="center"/>
    </xf>
    <xf numFmtId="15" fontId="0" fillId="35" borderId="52" xfId="0" applyNumberFormat="1" applyFill="1" applyBorder="1" applyAlignment="1">
      <alignment horizontal="center"/>
    </xf>
    <xf numFmtId="0" fontId="3" fillId="34" borderId="25" xfId="0" applyFont="1" applyFill="1" applyBorder="1" applyAlignment="1">
      <alignment horizontal="center" wrapText="1"/>
    </xf>
    <xf numFmtId="0" fontId="7" fillId="41" borderId="0" xfId="0" applyFont="1" applyFill="1" applyAlignment="1">
      <alignment horizontal="center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 horizontal="center"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5" fillId="41" borderId="22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22" fillId="50" borderId="14" xfId="66" applyFont="1" applyFill="1" applyBorder="1" applyAlignment="1" applyProtection="1">
      <alignment horizontal="left" vertical="center" wrapText="1"/>
      <protection/>
    </xf>
    <xf numFmtId="0" fontId="22" fillId="50" borderId="25" xfId="66" applyFont="1" applyFill="1" applyBorder="1" applyAlignment="1" applyProtection="1">
      <alignment horizontal="left" vertical="center" wrapText="1"/>
      <protection/>
    </xf>
    <xf numFmtId="0" fontId="22" fillId="50" borderId="52" xfId="66" applyFont="1" applyFill="1" applyBorder="1" applyAlignment="1" applyProtection="1">
      <alignment horizontal="left" vertical="center" wrapText="1"/>
      <protection/>
    </xf>
    <xf numFmtId="0" fontId="10" fillId="33" borderId="25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58" xfId="0" applyBorder="1" applyAlignment="1">
      <alignment/>
    </xf>
    <xf numFmtId="0" fontId="25" fillId="39" borderId="12" xfId="0" applyFont="1" applyFill="1" applyBorder="1" applyAlignment="1" applyProtection="1">
      <alignment horizontal="left" vertical="center" wrapText="1"/>
      <protection/>
    </xf>
    <xf numFmtId="0" fontId="25" fillId="39" borderId="14" xfId="0" applyFont="1" applyFill="1" applyBorder="1" applyAlignment="1" applyProtection="1">
      <alignment/>
      <protection/>
    </xf>
    <xf numFmtId="0" fontId="25" fillId="39" borderId="25" xfId="0" applyFont="1" applyFill="1" applyBorder="1" applyAlignment="1" applyProtection="1">
      <alignment/>
      <protection/>
    </xf>
    <xf numFmtId="0" fontId="25" fillId="39" borderId="52" xfId="0" applyFont="1" applyFill="1" applyBorder="1" applyAlignment="1" applyProtection="1">
      <alignment/>
      <protection/>
    </xf>
    <xf numFmtId="0" fontId="23" fillId="39" borderId="14" xfId="0" applyFont="1" applyFill="1" applyBorder="1" applyAlignment="1" applyProtection="1">
      <alignment/>
      <protection/>
    </xf>
    <xf numFmtId="0" fontId="23" fillId="39" borderId="25" xfId="0" applyFont="1" applyFill="1" applyBorder="1" applyAlignment="1" applyProtection="1">
      <alignment/>
      <protection/>
    </xf>
    <xf numFmtId="0" fontId="23" fillId="39" borderId="52" xfId="0" applyFont="1" applyFill="1" applyBorder="1" applyAlignment="1" applyProtection="1">
      <alignment/>
      <protection/>
    </xf>
    <xf numFmtId="0" fontId="25" fillId="39" borderId="12" xfId="0" applyFont="1" applyFill="1" applyBorder="1" applyAlignment="1" applyProtection="1">
      <alignment horizontal="left"/>
      <protection/>
    </xf>
    <xf numFmtId="0" fontId="25" fillId="39" borderId="14" xfId="0" applyFont="1" applyFill="1" applyBorder="1" applyAlignment="1" applyProtection="1">
      <alignment horizontal="left"/>
      <protection/>
    </xf>
    <xf numFmtId="0" fontId="25" fillId="39" borderId="25" xfId="0" applyFont="1" applyFill="1" applyBorder="1" applyAlignment="1" applyProtection="1">
      <alignment horizontal="left"/>
      <protection/>
    </xf>
    <xf numFmtId="0" fontId="25" fillId="39" borderId="52" xfId="0" applyFont="1" applyFill="1" applyBorder="1" applyAlignment="1" applyProtection="1">
      <alignment horizontal="left"/>
      <protection/>
    </xf>
    <xf numFmtId="0" fontId="9" fillId="0" borderId="17" xfId="0" applyFont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23" fillId="39" borderId="14" xfId="0" applyFont="1" applyFill="1" applyBorder="1" applyAlignment="1" applyProtection="1">
      <alignment horizontal="left"/>
      <protection/>
    </xf>
    <xf numFmtId="0" fontId="23" fillId="39" borderId="25" xfId="0" applyFont="1" applyFill="1" applyBorder="1" applyAlignment="1" applyProtection="1">
      <alignment horizontal="left"/>
      <protection/>
    </xf>
    <xf numFmtId="0" fontId="23" fillId="39" borderId="52" xfId="0" applyFont="1" applyFill="1" applyBorder="1" applyAlignment="1" applyProtection="1">
      <alignment horizontal="left"/>
      <protection/>
    </xf>
    <xf numFmtId="0" fontId="7" fillId="0" borderId="3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2" xfId="64" applyFont="1" applyFill="1" applyBorder="1" applyAlignment="1">
      <alignment horizontal="center"/>
      <protection/>
    </xf>
    <xf numFmtId="0" fontId="3" fillId="0" borderId="33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yperlink_Sheet6" xfId="57"/>
    <cellStyle name="Input" xfId="58"/>
    <cellStyle name="Linked Cell" xfId="59"/>
    <cellStyle name="Neutral" xfId="60"/>
    <cellStyle name="Normal_2006 Income Statement" xfId="61"/>
    <cellStyle name="Normal_Capital Tax Schedule" xfId="62"/>
    <cellStyle name="Normal_OEB Trial Balance - Regulatory-July24-07" xfId="63"/>
    <cellStyle name="Normal_Service Revenue Requirement" xfId="64"/>
    <cellStyle name="Normal_Sheet2" xfId="65"/>
    <cellStyle name="Normal_SIMPIL_MODEL_2004_ver2.6 (for rates application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4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an\Documents%20and%20Settings\mmaw\Local%20Settings\Temporary%20Internet%20Files\OLKBC\Exhibit%203%20Distribution%20Revenue%20Throughputs%20-%20Blan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oules\Desktop\Allan%20stick%20July%2016\2012%20COS%20MIFRS\OM&amp;A%20FTEE%20MIFR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oules\Desktop\Allan%20stick%20July%2016\2012%20COS%20MIFRS\Debt%20MIF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m.utility.local\Finances\Documents%20and%20Settings\mmaw\Local%20Settings\Temporary%20Internet%20Files\OLKBC\Exhibit%203%20Distribution%20Revenue%20Throughputs%20-%20Bla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slu\Allan\2012%20COS%20MIFRS\Filing_Requirements_Chapter2_Appendices%20-%20MIFR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oules\Desktop\Allan%20stick%20July%2016\2012%20COS%20MIFRS\2012%20Smart%20Meter%20Model_MIF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oules\Desktop\Allan%20stick%20July%2016\2012%20COS%20MIFRS\FixedAssets2012%20MIF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oules\Desktop\Allan%20stick%20July%2016\2012%20COS%20MIFRS\MIFRS%20Deferral%20Accoun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oules\Desktop\Allan%20stick%20July%2016\2012%20COS%20MIFRS\FINAL%20DSP%20July%2013%20RSL%20Weather%20Model%20Regression%20MIFR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oules\Desktop\Allan%20stick%20July%2016\2012%20COS%20MIFRS\Exhibit%208%20Rate%20Design%20Model%20RSL%202012%20MIFRS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ing_Requirements_Chapter2_Settl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M&amp;Adetail2011-12"/>
      <sheetName val="FTEE"/>
      <sheetName val="2012"/>
      <sheetName val="2011"/>
      <sheetName val="2010"/>
      <sheetName val="2009"/>
      <sheetName val="2008"/>
      <sheetName val="Compensation"/>
    </sheetNames>
    <sheetDataSet>
      <sheetData sheetId="0">
        <row r="45">
          <cell r="I45">
            <v>1000</v>
          </cell>
        </row>
        <row r="48">
          <cell r="I48">
            <v>1000</v>
          </cell>
        </row>
        <row r="50">
          <cell r="I50">
            <v>2000</v>
          </cell>
        </row>
        <row r="53">
          <cell r="I53">
            <v>10000</v>
          </cell>
        </row>
        <row r="59">
          <cell r="I59">
            <v>102856.43</v>
          </cell>
        </row>
        <row r="62">
          <cell r="I62">
            <v>65000</v>
          </cell>
        </row>
        <row r="64">
          <cell r="I64">
            <v>23189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quity"/>
      <sheetName val="Meters"/>
      <sheetName val="Truck"/>
      <sheetName val="Debt MIFRS"/>
    </sheetNames>
    <sheetDataSet>
      <sheetData sheetId="1">
        <row r="55">
          <cell r="F55">
            <v>932128.9824999996</v>
          </cell>
        </row>
        <row r="70">
          <cell r="F70">
            <v>877841.14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App.2-A_Capital Projects"/>
      <sheetName val="App.2-B_Fixed Asset Continuity"/>
      <sheetName val="Computers"/>
      <sheetName val="App.2-C_Other_Oper_Rev"/>
      <sheetName val="App.2-D_OM&amp;A_Accts"/>
      <sheetName val="App.2-E_OM&amp;A_Exp_Summary"/>
      <sheetName val="App.2-F_Detailed_OM&amp;A_Expenses"/>
      <sheetName val="App.2-G_OM&amp;A_Cost _Drivers"/>
      <sheetName val="App.2-H_Regulatory_Costs"/>
      <sheetName val="App.2-I_OM&amp;A_per_Cust_FTEE"/>
      <sheetName val="App.2-J_OM&amp;A_Variance_Analysis"/>
      <sheetName val="App.2-K Employee Costs"/>
      <sheetName val="App.2-L_Corp_Cost_Allocation"/>
      <sheetName val="App 2-M 2008 Deprec Exp"/>
      <sheetName val="App 2-M 2009 Deprec Exp"/>
      <sheetName val="App 2-M 2010 Deprec Exp"/>
      <sheetName val="App.2-M_2011 Deprec Expense"/>
      <sheetName val="App 2-M 2012 Deprec Exp"/>
      <sheetName val="App.2-N Capitalization"/>
      <sheetName val="App.2-O_Cost_Allocation"/>
      <sheetName val="App.2-P_Loss Factors"/>
      <sheetName val="App.2-Q_Smart_Meters"/>
      <sheetName val="App.2-R_Stranded Meters"/>
      <sheetName val="App.2-S_Embedded_Dx_LV_rate"/>
      <sheetName val="App.2-T_1592_Defer_PILs"/>
      <sheetName val="App.2-U_Rev_Reconciliation"/>
      <sheetName val="App.2-V Bill Impacts"/>
      <sheetName val="App.2-W_CoS_Flowchart"/>
      <sheetName val="App.2-X_Rate Base"/>
      <sheetName val="Capital Addns"/>
      <sheetName val="SAIDI"/>
    </sheetNames>
    <sheetDataSet>
      <sheetData sheetId="2">
        <row r="17">
          <cell r="L17">
            <v>-1645.75</v>
          </cell>
        </row>
        <row r="20">
          <cell r="G20">
            <v>26423.13</v>
          </cell>
          <cell r="L20">
            <v>-27066.9</v>
          </cell>
        </row>
        <row r="22">
          <cell r="G22">
            <v>24408.03</v>
          </cell>
          <cell r="L22">
            <v>-17595.52</v>
          </cell>
        </row>
        <row r="23">
          <cell r="G23">
            <v>49750.59</v>
          </cell>
          <cell r="L23">
            <v>-70782.17</v>
          </cell>
        </row>
        <row r="24">
          <cell r="G24">
            <v>0</v>
          </cell>
          <cell r="L24">
            <v>-18553.06</v>
          </cell>
        </row>
        <row r="25">
          <cell r="G25">
            <v>9110.3</v>
          </cell>
          <cell r="L25">
            <v>-14229.18</v>
          </cell>
        </row>
        <row r="26">
          <cell r="G26">
            <v>44370.84</v>
          </cell>
          <cell r="L26">
            <v>-38761.51</v>
          </cell>
        </row>
        <row r="27">
          <cell r="G27">
            <v>16738.72</v>
          </cell>
          <cell r="L27">
            <v>-10130.69</v>
          </cell>
        </row>
        <row r="28">
          <cell r="G28">
            <v>19068.25</v>
          </cell>
          <cell r="L28">
            <v>-16895.69</v>
          </cell>
        </row>
        <row r="31">
          <cell r="L31">
            <v>0</v>
          </cell>
        </row>
        <row r="33">
          <cell r="L33">
            <v>-879.65</v>
          </cell>
        </row>
        <row r="36">
          <cell r="L36">
            <v>19004.61</v>
          </cell>
        </row>
        <row r="38">
          <cell r="G38">
            <v>2304.94</v>
          </cell>
        </row>
        <row r="39">
          <cell r="G39">
            <v>35224.13</v>
          </cell>
          <cell r="L39">
            <v>-22859.09</v>
          </cell>
        </row>
        <row r="40">
          <cell r="G40">
            <v>37934.6</v>
          </cell>
          <cell r="L40">
            <v>-41495.69</v>
          </cell>
        </row>
        <row r="42">
          <cell r="G42">
            <v>3775.43</v>
          </cell>
          <cell r="L42">
            <v>-13109.62</v>
          </cell>
        </row>
        <row r="51">
          <cell r="G51">
            <v>0</v>
          </cell>
          <cell r="L51">
            <v>14439.5</v>
          </cell>
        </row>
        <row r="84">
          <cell r="G84">
            <v>6567.9</v>
          </cell>
          <cell r="L84">
            <v>-1580.07</v>
          </cell>
        </row>
        <row r="87">
          <cell r="G87">
            <v>1120.65</v>
          </cell>
          <cell r="L87">
            <v>-26516.02</v>
          </cell>
        </row>
        <row r="88">
          <cell r="G88">
            <v>0</v>
          </cell>
        </row>
        <row r="89">
          <cell r="G89">
            <v>57191.16</v>
          </cell>
          <cell r="L89">
            <v>-15963.53</v>
          </cell>
        </row>
        <row r="90">
          <cell r="G90">
            <v>55864.39</v>
          </cell>
          <cell r="L90">
            <v>-68669.87</v>
          </cell>
        </row>
        <row r="91">
          <cell r="G91">
            <v>2588.03</v>
          </cell>
          <cell r="L91">
            <v>-18495.3</v>
          </cell>
        </row>
        <row r="92">
          <cell r="G92">
            <v>10427.03</v>
          </cell>
          <cell r="L92">
            <v>-13838.43</v>
          </cell>
        </row>
        <row r="93">
          <cell r="G93">
            <v>42360.34</v>
          </cell>
          <cell r="L93">
            <v>-37026.89</v>
          </cell>
          <cell r="M93">
            <v>583.2</v>
          </cell>
        </row>
        <row r="94">
          <cell r="G94">
            <v>33810.62</v>
          </cell>
          <cell r="L94">
            <v>-9119.7</v>
          </cell>
        </row>
        <row r="95">
          <cell r="G95">
            <v>3484.58</v>
          </cell>
          <cell r="L95">
            <v>-16444.63</v>
          </cell>
        </row>
        <row r="100">
          <cell r="L100">
            <v>-879.65</v>
          </cell>
        </row>
        <row r="103">
          <cell r="G103">
            <v>0</v>
          </cell>
          <cell r="L103">
            <v>-28785.31</v>
          </cell>
          <cell r="M103">
            <v>800</v>
          </cell>
        </row>
        <row r="104">
          <cell r="G104">
            <v>0</v>
          </cell>
          <cell r="H104">
            <v>-800</v>
          </cell>
          <cell r="L104">
            <v>0</v>
          </cell>
          <cell r="M104">
            <v>0</v>
          </cell>
        </row>
        <row r="105">
          <cell r="G105">
            <v>18112.33</v>
          </cell>
          <cell r="L105">
            <v>0</v>
          </cell>
          <cell r="M105">
            <v>0</v>
          </cell>
        </row>
        <row r="106">
          <cell r="G106">
            <v>38392.53</v>
          </cell>
          <cell r="L106">
            <v>-20081.25</v>
          </cell>
        </row>
        <row r="107">
          <cell r="G107">
            <v>267034.42</v>
          </cell>
          <cell r="L107">
            <v>-22221.24</v>
          </cell>
        </row>
        <row r="109">
          <cell r="G109">
            <v>6639.68</v>
          </cell>
          <cell r="L109">
            <v>-12588.87</v>
          </cell>
        </row>
        <row r="118">
          <cell r="G118">
            <v>216</v>
          </cell>
          <cell r="L118">
            <v>14443.82</v>
          </cell>
        </row>
        <row r="137">
          <cell r="F137">
            <v>84205.25</v>
          </cell>
          <cell r="G137">
            <v>0</v>
          </cell>
          <cell r="K137">
            <v>0</v>
          </cell>
          <cell r="L137">
            <v>0</v>
          </cell>
        </row>
        <row r="138">
          <cell r="F138">
            <v>16600.08</v>
          </cell>
          <cell r="G138">
            <v>59119.43</v>
          </cell>
          <cell r="K138">
            <v>-2499</v>
          </cell>
          <cell r="L138">
            <v>-923.2</v>
          </cell>
        </row>
        <row r="141">
          <cell r="F141">
            <v>546818.5</v>
          </cell>
          <cell r="G141">
            <v>115521.61</v>
          </cell>
          <cell r="K141">
            <v>-104542.87</v>
          </cell>
          <cell r="L141">
            <v>-24183.18</v>
          </cell>
        </row>
        <row r="143">
          <cell r="F143">
            <v>290927.61</v>
          </cell>
          <cell r="G143">
            <v>79565.1</v>
          </cell>
          <cell r="K143">
            <v>-37298.11</v>
          </cell>
          <cell r="L143">
            <v>-13228.41</v>
          </cell>
        </row>
        <row r="144">
          <cell r="F144">
            <v>1646734.61</v>
          </cell>
          <cell r="G144">
            <v>42080.51</v>
          </cell>
          <cell r="K144">
            <v>-423289.2</v>
          </cell>
          <cell r="L144">
            <v>-66710.98</v>
          </cell>
        </row>
        <row r="145">
          <cell r="F145">
            <v>461238.46</v>
          </cell>
          <cell r="G145">
            <v>0</v>
          </cell>
          <cell r="K145">
            <v>-120937.45</v>
          </cell>
          <cell r="L145">
            <v>-18449.54</v>
          </cell>
        </row>
        <row r="146">
          <cell r="F146">
            <v>311875.91000000003</v>
          </cell>
          <cell r="G146">
            <v>28870.94</v>
          </cell>
          <cell r="K146">
            <v>-65785.61</v>
          </cell>
          <cell r="L146">
            <v>-13052.47</v>
          </cell>
        </row>
        <row r="147">
          <cell r="F147">
            <v>797580.3400000001</v>
          </cell>
          <cell r="G147">
            <v>106911.76</v>
          </cell>
          <cell r="H147">
            <v>0</v>
          </cell>
          <cell r="K147">
            <v>-163536.6</v>
          </cell>
          <cell r="L147">
            <v>-34041.45</v>
          </cell>
          <cell r="M147">
            <v>0</v>
          </cell>
        </row>
        <row r="148">
          <cell r="F148">
            <v>154097.58</v>
          </cell>
          <cell r="G148">
            <v>56989.62</v>
          </cell>
          <cell r="H148">
            <v>0</v>
          </cell>
          <cell r="K148">
            <v>-18034.940000000002</v>
          </cell>
          <cell r="L148">
            <v>-7303.7</v>
          </cell>
          <cell r="M148">
            <v>0</v>
          </cell>
        </row>
        <row r="149">
          <cell r="F149">
            <v>359721.62</v>
          </cell>
          <cell r="G149">
            <v>49651.82</v>
          </cell>
          <cell r="K149">
            <v>-91227.09999999999</v>
          </cell>
          <cell r="L149">
            <v>-15381.91</v>
          </cell>
        </row>
        <row r="151">
          <cell r="H151">
            <v>0</v>
          </cell>
          <cell r="M151">
            <v>0</v>
          </cell>
        </row>
        <row r="153">
          <cell r="H153">
            <v>0</v>
          </cell>
          <cell r="M153">
            <v>0</v>
          </cell>
        </row>
        <row r="154">
          <cell r="G154">
            <v>8796.45</v>
          </cell>
          <cell r="H154">
            <v>0</v>
          </cell>
          <cell r="K154">
            <v>0</v>
          </cell>
          <cell r="L154">
            <v>-439.82</v>
          </cell>
          <cell r="M154">
            <v>0</v>
          </cell>
        </row>
        <row r="155">
          <cell r="H155">
            <v>0</v>
          </cell>
          <cell r="M155">
            <v>0</v>
          </cell>
        </row>
        <row r="156">
          <cell r="H156">
            <v>0</v>
          </cell>
          <cell r="M156">
            <v>0</v>
          </cell>
        </row>
        <row r="157">
          <cell r="F157">
            <v>64062.64</v>
          </cell>
          <cell r="G157">
            <v>0</v>
          </cell>
          <cell r="H157">
            <v>0</v>
          </cell>
          <cell r="K157">
            <v>-80188.75</v>
          </cell>
          <cell r="L157">
            <v>-23334.5</v>
          </cell>
          <cell r="M157">
            <v>0</v>
          </cell>
        </row>
        <row r="158">
          <cell r="F158">
            <v>21461.63</v>
          </cell>
          <cell r="G158">
            <v>0</v>
          </cell>
          <cell r="H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F159">
            <v>13750.349999999999</v>
          </cell>
          <cell r="G159">
            <v>34795.77</v>
          </cell>
          <cell r="H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F160">
            <v>17424.84</v>
          </cell>
          <cell r="G160">
            <v>63785.16</v>
          </cell>
          <cell r="K160">
            <v>-9790.220000000001</v>
          </cell>
          <cell r="L160">
            <v>-9863.48</v>
          </cell>
        </row>
        <row r="161">
          <cell r="G161">
            <v>22126.36</v>
          </cell>
          <cell r="L161">
            <v>-2765.8</v>
          </cell>
        </row>
        <row r="163">
          <cell r="F163">
            <v>111752.28</v>
          </cell>
          <cell r="G163">
            <v>10816.57</v>
          </cell>
          <cell r="K163">
            <v>-60182.93</v>
          </cell>
          <cell r="L163">
            <v>-11716.06</v>
          </cell>
        </row>
        <row r="167">
          <cell r="H167">
            <v>0</v>
          </cell>
          <cell r="M167">
            <v>0</v>
          </cell>
        </row>
        <row r="168">
          <cell r="H168">
            <v>0</v>
          </cell>
          <cell r="M168">
            <v>0</v>
          </cell>
        </row>
        <row r="169">
          <cell r="H169">
            <v>0</v>
          </cell>
          <cell r="M169">
            <v>0</v>
          </cell>
        </row>
        <row r="170">
          <cell r="H170">
            <v>0</v>
          </cell>
          <cell r="M170">
            <v>0</v>
          </cell>
        </row>
        <row r="172">
          <cell r="F172">
            <v>-258721.66</v>
          </cell>
          <cell r="G172">
            <v>-102481.93</v>
          </cell>
          <cell r="K172">
            <v>38709.16</v>
          </cell>
          <cell r="L172">
            <v>12398.51</v>
          </cell>
        </row>
        <row r="173">
          <cell r="H173">
            <v>0</v>
          </cell>
          <cell r="M173">
            <v>0</v>
          </cell>
        </row>
      </sheetData>
      <sheetData sheetId="4">
        <row r="14">
          <cell r="H14">
            <v>-93160</v>
          </cell>
          <cell r="I14">
            <v>-88900</v>
          </cell>
        </row>
        <row r="15">
          <cell r="H15">
            <v>-34093</v>
          </cell>
          <cell r="I15">
            <v>-32400</v>
          </cell>
        </row>
        <row r="17">
          <cell r="H17">
            <v>-20623</v>
          </cell>
          <cell r="I17">
            <v>-21528</v>
          </cell>
        </row>
        <row r="18">
          <cell r="H18">
            <v>-9501</v>
          </cell>
          <cell r="I18">
            <v>-8550</v>
          </cell>
        </row>
        <row r="19">
          <cell r="H19">
            <v>-151</v>
          </cell>
          <cell r="I19">
            <v>-136</v>
          </cell>
        </row>
        <row r="20">
          <cell r="H20">
            <v>-44700.28</v>
          </cell>
          <cell r="I20">
            <v>-44029</v>
          </cell>
        </row>
        <row r="22">
          <cell r="H22">
            <v>-12000</v>
          </cell>
          <cell r="I22">
            <v>-12000</v>
          </cell>
        </row>
      </sheetData>
      <sheetData sheetId="7">
        <row r="16">
          <cell r="G16">
            <v>105000</v>
          </cell>
        </row>
        <row r="33">
          <cell r="G33">
            <v>0</v>
          </cell>
        </row>
        <row r="45">
          <cell r="G45">
            <v>70700</v>
          </cell>
        </row>
        <row r="46">
          <cell r="G46">
            <v>40000</v>
          </cell>
        </row>
        <row r="47">
          <cell r="G47">
            <v>100000</v>
          </cell>
        </row>
        <row r="48">
          <cell r="G48">
            <v>50000</v>
          </cell>
        </row>
        <row r="49">
          <cell r="G49">
            <v>40000</v>
          </cell>
        </row>
        <row r="50">
          <cell r="G50">
            <v>2000</v>
          </cell>
        </row>
        <row r="51">
          <cell r="G51">
            <v>7000</v>
          </cell>
        </row>
        <row r="52">
          <cell r="G52">
            <v>22000</v>
          </cell>
        </row>
        <row r="53">
          <cell r="G53">
            <v>50000</v>
          </cell>
        </row>
        <row r="57">
          <cell r="G57">
            <v>20000</v>
          </cell>
        </row>
        <row r="64">
          <cell r="G64">
            <v>74000</v>
          </cell>
        </row>
        <row r="65">
          <cell r="G65">
            <v>272000</v>
          </cell>
        </row>
        <row r="66">
          <cell r="G66">
            <v>36000</v>
          </cell>
        </row>
        <row r="69">
          <cell r="G69">
            <v>40000</v>
          </cell>
        </row>
        <row r="75">
          <cell r="G75">
            <v>3500</v>
          </cell>
        </row>
        <row r="88">
          <cell r="G88">
            <v>358000</v>
          </cell>
        </row>
        <row r="89">
          <cell r="G89">
            <v>10000</v>
          </cell>
        </row>
        <row r="90">
          <cell r="G90">
            <v>28058</v>
          </cell>
        </row>
        <row r="91">
          <cell r="G91">
            <v>60000</v>
          </cell>
        </row>
        <row r="92">
          <cell r="G92">
            <v>45642</v>
          </cell>
        </row>
        <row r="96">
          <cell r="G96">
            <v>30256</v>
          </cell>
        </row>
        <row r="98">
          <cell r="G98">
            <v>98000</v>
          </cell>
        </row>
        <row r="99">
          <cell r="G99">
            <v>8000</v>
          </cell>
        </row>
        <row r="100">
          <cell r="G100">
            <v>28000</v>
          </cell>
        </row>
        <row r="101">
          <cell r="G101">
            <v>3308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9. SMFA_SMDR_SMIRR"/>
      <sheetName val="Stranded"/>
      <sheetName val="NOTES"/>
    </sheetNames>
    <sheetDataSet>
      <sheetData sheetId="1">
        <row r="109">
          <cell r="G109">
            <v>6520.86</v>
          </cell>
          <cell r="I109">
            <v>18045.79</v>
          </cell>
          <cell r="K109">
            <v>20347.43</v>
          </cell>
          <cell r="M109">
            <v>845540.6299999999</v>
          </cell>
          <cell r="O109">
            <v>252324.08000000002</v>
          </cell>
        </row>
        <row r="191">
          <cell r="Q191">
            <v>151310.72999999998</v>
          </cell>
        </row>
      </sheetData>
      <sheetData sheetId="3">
        <row r="31">
          <cell r="O31">
            <v>-94364.2473333333</v>
          </cell>
        </row>
        <row r="50">
          <cell r="O50">
            <v>-4127.112000000001</v>
          </cell>
        </row>
        <row r="69">
          <cell r="O69">
            <v>-20349.284999999996</v>
          </cell>
        </row>
      </sheetData>
      <sheetData sheetId="4">
        <row r="58">
          <cell r="Q58">
            <v>101874.09766666664</v>
          </cell>
          <cell r="S58">
            <v>110121.45333333331</v>
          </cell>
        </row>
      </sheetData>
      <sheetData sheetId="9">
        <row r="11">
          <cell r="D11">
            <v>295771.51000000007</v>
          </cell>
        </row>
        <row r="12">
          <cell r="D12">
            <v>115329.94165988622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uckDist"/>
      <sheetName val="TruckUtil"/>
      <sheetName val="Dist01"/>
      <sheetName val="Utility02"/>
      <sheetName val="Services03"/>
      <sheetName val="Combined"/>
      <sheetName val="1920"/>
      <sheetName val="1925"/>
      <sheetName val="1940"/>
      <sheetName val="1965"/>
    </sheetNames>
    <sheetDataSet>
      <sheetData sheetId="0">
        <row r="21">
          <cell r="G21">
            <v>-63936.799999999996</v>
          </cell>
        </row>
      </sheetData>
      <sheetData sheetId="6">
        <row r="10">
          <cell r="G10">
            <v>85524.27</v>
          </cell>
          <cell r="H10">
            <v>92556.17</v>
          </cell>
        </row>
      </sheetData>
      <sheetData sheetId="7">
        <row r="10">
          <cell r="F10">
            <v>11546.399999999998</v>
          </cell>
          <cell r="G10">
            <v>11546.399999999998</v>
          </cell>
        </row>
      </sheetData>
      <sheetData sheetId="8">
        <row r="10">
          <cell r="B10">
            <v>75572.44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erral Account CGAAP vs MIFRS"/>
      <sheetName val="Rev Req CGAAP vs MIFRS "/>
      <sheetName val="Sheet3"/>
    </sheetNames>
    <sheetDataSet>
      <sheetData sheetId="0">
        <row r="20">
          <cell r="E20">
            <v>-88290.97220000066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Rate App"/>
      <sheetName val="Summary"/>
      <sheetName val="Purchased Power Model"/>
      <sheetName val="StLawrence"/>
      <sheetName val="Rate Class Energy Model"/>
      <sheetName val="Rate Class Customer Model"/>
      <sheetName val="Rate Class Load Model"/>
      <sheetName val="Weather data"/>
      <sheetName val="Tables Used for Exhibits"/>
      <sheetName val="Exhibit 3 Energy by Rate Class"/>
      <sheetName val="RSL Loss Factor"/>
      <sheetName val="2011 COP"/>
      <sheetName val="2012 COP"/>
      <sheetName val="Sheet 1"/>
    </sheetNames>
    <sheetDataSet>
      <sheetData sheetId="11">
        <row r="14">
          <cell r="F14">
            <v>2861431.181000662</v>
          </cell>
        </row>
        <row r="15">
          <cell r="F15">
            <v>1311305.1864785915</v>
          </cell>
        </row>
        <row r="16">
          <cell r="F16">
            <v>469188.61556874163</v>
          </cell>
        </row>
        <row r="18">
          <cell r="F18">
            <v>0</v>
          </cell>
        </row>
        <row r="19">
          <cell r="F19">
            <v>7969.645428264</v>
          </cell>
        </row>
        <row r="20">
          <cell r="F20">
            <v>30816.677883335633</v>
          </cell>
        </row>
        <row r="25">
          <cell r="F25">
            <v>410249.77008315513</v>
          </cell>
        </row>
        <row r="26">
          <cell r="F26">
            <v>171570.7675387416</v>
          </cell>
        </row>
        <row r="27">
          <cell r="F27">
            <v>2363457.0284321737</v>
          </cell>
        </row>
        <row r="29">
          <cell r="F29">
            <v>101392.03424934646</v>
          </cell>
        </row>
        <row r="30">
          <cell r="F30">
            <v>0</v>
          </cell>
        </row>
        <row r="31">
          <cell r="F31">
            <v>0</v>
          </cell>
        </row>
        <row r="92">
          <cell r="B92">
            <v>7727380.90666301</v>
          </cell>
        </row>
        <row r="93">
          <cell r="B93">
            <v>597415.1163767008</v>
          </cell>
        </row>
        <row r="94">
          <cell r="B94">
            <v>660849.6274092953</v>
          </cell>
        </row>
        <row r="95">
          <cell r="B95">
            <v>517418.2168456368</v>
          </cell>
        </row>
        <row r="96">
          <cell r="B96">
            <v>149353.7790941752</v>
          </cell>
        </row>
        <row r="97">
          <cell r="B97">
            <v>182627.3176259127</v>
          </cell>
        </row>
      </sheetData>
      <sheetData sheetId="12">
        <row r="14">
          <cell r="F14">
            <v>3168267.715608999</v>
          </cell>
        </row>
        <row r="15">
          <cell r="F15">
            <v>1423670.6809644005</v>
          </cell>
        </row>
        <row r="16">
          <cell r="F16">
            <v>498793.09317273455</v>
          </cell>
        </row>
        <row r="18">
          <cell r="F18">
            <v>0</v>
          </cell>
        </row>
        <row r="19">
          <cell r="F19">
            <v>8844.136933181173</v>
          </cell>
        </row>
        <row r="20">
          <cell r="F20">
            <v>35119.47714354094</v>
          </cell>
        </row>
        <row r="25">
          <cell r="F25">
            <v>450014.314041945</v>
          </cell>
        </row>
        <row r="26">
          <cell r="F26">
            <v>184539.13116893</v>
          </cell>
        </row>
        <row r="27">
          <cell r="F27">
            <v>2489201.7116030343</v>
          </cell>
        </row>
        <row r="29">
          <cell r="F29">
            <v>111938.91335420767</v>
          </cell>
        </row>
        <row r="30">
          <cell r="F30">
            <v>0</v>
          </cell>
        </row>
        <row r="31">
          <cell r="F31">
            <v>0</v>
          </cell>
        </row>
        <row r="92">
          <cell r="B92">
            <v>8370389.173990974</v>
          </cell>
        </row>
        <row r="93">
          <cell r="B93">
            <v>586928.1492232885</v>
          </cell>
        </row>
        <row r="96">
          <cell r="B96">
            <v>124157.87772031105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Ex 8 Existing F V Rates"/>
      <sheetName val="2011 Existing Rates"/>
      <sheetName val="2011 Bridge Yr On Existing Ra"/>
      <sheetName val="Forecast Data For 2012"/>
      <sheetName val="2012 Test Yr On Existing Rates"/>
      <sheetName val="Cost Allocation Study"/>
      <sheetName val="Ex 7 Rev Split for RC Ratio"/>
      <sheetName val="Rates By Rate Class"/>
      <sheetName val="Ex 8 Prop F V Charge"/>
      <sheetName val="Allocation Low Voltage Costs"/>
      <sheetName val="Low Voltage Rates"/>
      <sheetName val="LRAM and SSM Rate Rider"/>
      <sheetName val="2012 Rate Rider"/>
      <sheetName val="Distribution Rate Schedule"/>
      <sheetName val="Other Electriciy Rates"/>
      <sheetName val="BILL IMPACTS"/>
      <sheetName val="Rate Schedule (Part 1)"/>
      <sheetName val="Rate Schedule (Part 2)"/>
      <sheetName val="Dist. Rev. Reconciliation"/>
      <sheetName val="Revenue Deficiency Analysis"/>
      <sheetName val="Customer Impact"/>
    </sheetNames>
    <sheetDataSet>
      <sheetData sheetId="4">
        <row r="17">
          <cell r="J17">
            <v>1962846.6821998083</v>
          </cell>
        </row>
      </sheetData>
      <sheetData sheetId="6">
        <row r="17">
          <cell r="J17">
            <v>1957800.2304299346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App.2-A_Capital Projects"/>
      <sheetName val="App.2-B_Fixed Asset Continuity"/>
      <sheetName val="Computers"/>
      <sheetName val="App.2-C_Other_Oper_Rev"/>
      <sheetName val="App.2-D_OM&amp;A_Accts"/>
      <sheetName val="App.2-E_OM&amp;A_Exp_Summary"/>
      <sheetName val="App.2-F_Detailed_OM&amp;A_Expenses"/>
      <sheetName val="App.2-G_OM&amp;A_Cost _Drivers"/>
      <sheetName val="App.2-H_Regulatory_Costs"/>
      <sheetName val="App.2-I_OM&amp;A_per_Cust_FTEE"/>
      <sheetName val="App.2-J_OM&amp;A_Variance_Analysis"/>
      <sheetName val="App.2-K Employee Costs"/>
      <sheetName val="App.2-L_Corp_Cost_Allocation"/>
      <sheetName val="App 2-M 2008 Deprec Exp"/>
      <sheetName val="App 2-M 2009 Deprec Exp"/>
      <sheetName val="App 2-M 2010 Deprec Exp"/>
      <sheetName val="App.2-M_2011 Deprec Expense"/>
      <sheetName val="App 2-M 2012 Deprec Exp"/>
      <sheetName val="App.2-N Capitalization"/>
      <sheetName val="App.2-O_Cost_Allocation"/>
      <sheetName val="App.2-P_Loss Factors"/>
      <sheetName val="App.2-Q_Smart_Meters"/>
      <sheetName val="App.2-R_Stranded Meters"/>
      <sheetName val="App.2-S_Embedded_Dx_LV_rate"/>
      <sheetName val="App.2-T_1592_Defer_PILs"/>
      <sheetName val="App.2-U_Rev_Reconciliation"/>
      <sheetName val="App.2-V Bill Impacts"/>
      <sheetName val="App.2-W_CoS_Flowchart"/>
      <sheetName val="App.2-X_Rate Base"/>
      <sheetName val="Capital Addns"/>
      <sheetName val="SAIDI"/>
      <sheetName val="App.2-Y LV"/>
    </sheetNames>
    <sheetDataSet>
      <sheetData sheetId="7">
        <row r="16">
          <cell r="I16">
            <v>103900</v>
          </cell>
        </row>
        <row r="18">
          <cell r="I18">
            <v>1000</v>
          </cell>
        </row>
        <row r="21">
          <cell r="I21">
            <v>1000</v>
          </cell>
        </row>
        <row r="23">
          <cell r="I23">
            <v>1900</v>
          </cell>
        </row>
        <row r="26">
          <cell r="I26">
            <v>9600</v>
          </cell>
        </row>
        <row r="32">
          <cell r="I32">
            <v>93800</v>
          </cell>
        </row>
        <row r="35">
          <cell r="I35">
            <v>64500</v>
          </cell>
        </row>
        <row r="37">
          <cell r="I37">
            <v>22300</v>
          </cell>
        </row>
        <row r="45">
          <cell r="I45">
            <v>68300</v>
          </cell>
        </row>
        <row r="46">
          <cell r="I46">
            <v>39600</v>
          </cell>
        </row>
        <row r="47">
          <cell r="I47">
            <v>99100</v>
          </cell>
        </row>
        <row r="48">
          <cell r="I48">
            <v>49500</v>
          </cell>
        </row>
        <row r="49">
          <cell r="I49">
            <v>39600</v>
          </cell>
        </row>
        <row r="50">
          <cell r="I50">
            <v>2000</v>
          </cell>
        </row>
        <row r="51">
          <cell r="I51">
            <v>7100</v>
          </cell>
        </row>
        <row r="52">
          <cell r="I52">
            <v>21600</v>
          </cell>
        </row>
        <row r="53">
          <cell r="I53">
            <v>49500</v>
          </cell>
        </row>
        <row r="57">
          <cell r="I57">
            <v>19200</v>
          </cell>
        </row>
        <row r="64">
          <cell r="I64">
            <v>31600</v>
          </cell>
        </row>
        <row r="65">
          <cell r="I65">
            <v>269600</v>
          </cell>
        </row>
        <row r="66">
          <cell r="I66">
            <v>35700</v>
          </cell>
        </row>
        <row r="69">
          <cell r="I69">
            <v>39600</v>
          </cell>
        </row>
        <row r="75">
          <cell r="I75">
            <v>3400</v>
          </cell>
        </row>
        <row r="88">
          <cell r="I88">
            <v>357900</v>
          </cell>
        </row>
        <row r="89">
          <cell r="I89">
            <v>9900</v>
          </cell>
        </row>
        <row r="90">
          <cell r="I90">
            <v>26700</v>
          </cell>
        </row>
        <row r="91">
          <cell r="I91">
            <v>59500</v>
          </cell>
        </row>
        <row r="92">
          <cell r="I92">
            <v>40200</v>
          </cell>
        </row>
        <row r="96">
          <cell r="I96">
            <v>118200</v>
          </cell>
        </row>
        <row r="98">
          <cell r="I98">
            <v>95400</v>
          </cell>
        </row>
        <row r="99">
          <cell r="I99">
            <v>7900</v>
          </cell>
        </row>
        <row r="100">
          <cell r="I100">
            <v>27700</v>
          </cell>
        </row>
        <row r="101">
          <cell r="I101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B15" sqref="B15:D15"/>
    </sheetView>
  </sheetViews>
  <sheetFormatPr defaultColWidth="9.140625" defaultRowHeight="12.75"/>
  <cols>
    <col min="1" max="1" width="18.7109375" style="0" customWidth="1"/>
    <col min="2" max="2" width="20.421875" style="0" customWidth="1"/>
    <col min="3" max="3" width="3.8515625" style="0" customWidth="1"/>
    <col min="4" max="4" width="17.8515625" style="0" customWidth="1"/>
  </cols>
  <sheetData>
    <row r="1" spans="1:4" ht="15.75">
      <c r="A1" s="509" t="s">
        <v>286</v>
      </c>
      <c r="B1" s="509"/>
      <c r="C1" s="509"/>
      <c r="D1" s="509"/>
    </row>
    <row r="2" spans="1:2" ht="15.75">
      <c r="A2" s="176"/>
      <c r="B2" s="233"/>
    </row>
    <row r="3" spans="2:4" ht="12.75">
      <c r="B3" s="510"/>
      <c r="C3" s="510"/>
      <c r="D3" s="510"/>
    </row>
    <row r="4" spans="1:4" ht="12.75">
      <c r="A4" s="222" t="s">
        <v>207</v>
      </c>
      <c r="B4" s="508" t="s">
        <v>885</v>
      </c>
      <c r="C4" s="508"/>
      <c r="D4" s="508"/>
    </row>
    <row r="5" spans="2:4" ht="12.75">
      <c r="B5" s="510"/>
      <c r="C5" s="510"/>
      <c r="D5" s="510"/>
    </row>
    <row r="6" spans="1:4" ht="12.75">
      <c r="A6" s="222" t="s">
        <v>211</v>
      </c>
      <c r="B6" s="510" t="s">
        <v>875</v>
      </c>
      <c r="C6" s="510"/>
      <c r="D6" s="510"/>
    </row>
    <row r="7" spans="2:4" ht="12.75">
      <c r="B7" s="510"/>
      <c r="C7" s="510"/>
      <c r="D7" s="510"/>
    </row>
    <row r="8" spans="1:4" ht="12.75">
      <c r="A8" s="222" t="s">
        <v>208</v>
      </c>
      <c r="B8" s="510" t="s">
        <v>876</v>
      </c>
      <c r="C8" s="510"/>
      <c r="D8" s="510"/>
    </row>
    <row r="9" spans="1:4" ht="12.75">
      <c r="A9" s="53"/>
      <c r="B9" s="510"/>
      <c r="C9" s="510"/>
      <c r="D9" s="510"/>
    </row>
    <row r="10" spans="1:4" ht="12.75">
      <c r="A10" s="222" t="s">
        <v>210</v>
      </c>
      <c r="B10" s="508" t="s">
        <v>932</v>
      </c>
      <c r="C10" s="508"/>
      <c r="D10" s="508"/>
    </row>
    <row r="11" spans="2:4" ht="12.75">
      <c r="B11" s="508" t="s">
        <v>933</v>
      </c>
      <c r="C11" s="508"/>
      <c r="D11" s="508"/>
    </row>
    <row r="12" spans="2:4" ht="12.75">
      <c r="B12" s="508" t="s">
        <v>872</v>
      </c>
      <c r="C12" s="508"/>
      <c r="D12" s="508"/>
    </row>
    <row r="13" spans="2:4" ht="12.75">
      <c r="B13" s="507"/>
      <c r="C13" s="507"/>
      <c r="D13" s="507"/>
    </row>
    <row r="14" spans="1:4" ht="12.75">
      <c r="A14" s="222" t="s">
        <v>212</v>
      </c>
      <c r="B14" s="511" t="s">
        <v>934</v>
      </c>
      <c r="C14" s="512"/>
      <c r="D14" s="512"/>
    </row>
    <row r="15" spans="2:4" ht="12.75">
      <c r="B15" s="507"/>
      <c r="C15" s="507"/>
      <c r="D15" s="507"/>
    </row>
  </sheetData>
  <sheetProtection/>
  <mergeCells count="14">
    <mergeCell ref="B15:D15"/>
    <mergeCell ref="B10:D10"/>
    <mergeCell ref="B11:D11"/>
    <mergeCell ref="B12:D12"/>
    <mergeCell ref="A1:D1"/>
    <mergeCell ref="B9:D9"/>
    <mergeCell ref="B14:D14"/>
    <mergeCell ref="B13:D13"/>
    <mergeCell ref="B3:D3"/>
    <mergeCell ref="B4:D4"/>
    <mergeCell ref="B5:D5"/>
    <mergeCell ref="B6:D6"/>
    <mergeCell ref="B7:D7"/>
    <mergeCell ref="B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0"/>
  <sheetViews>
    <sheetView zoomScalePageLayoutView="0" workbookViewId="0" topLeftCell="A148">
      <selection activeCell="A73" sqref="A73:B85"/>
    </sheetView>
  </sheetViews>
  <sheetFormatPr defaultColWidth="9.140625" defaultRowHeight="12.75"/>
  <cols>
    <col min="1" max="1" width="72.28125" style="0" customWidth="1"/>
    <col min="2" max="2" width="21.8515625" style="323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519" t="str">
        <f>'Trial Balance'!A1:F1</f>
        <v>Rideau St. Lawrence Distribution Inc.</v>
      </c>
      <c r="B1" s="519"/>
    </row>
    <row r="2" spans="1:2" ht="12.75">
      <c r="A2" s="519" t="str">
        <f>'Trial Balance'!A2:F2</f>
        <v> License Number ED-2003-0003, File Number EB-2011-0274</v>
      </c>
      <c r="B2" s="519"/>
    </row>
    <row r="3" spans="1:2" s="20" customFormat="1" ht="15.75">
      <c r="A3" s="537" t="str">
        <f>Notes!B4</f>
        <v>Rideau St. Lawrence Distribution Inc.</v>
      </c>
      <c r="B3" s="537"/>
    </row>
    <row r="4" spans="1:2" s="20" customFormat="1" ht="15.75">
      <c r="A4" s="543" t="s">
        <v>159</v>
      </c>
      <c r="B4" s="543"/>
    </row>
    <row r="5" spans="1:2" ht="15" customHeight="1">
      <c r="A5" s="63" t="s">
        <v>510</v>
      </c>
      <c r="B5" s="340" t="s">
        <v>150</v>
      </c>
    </row>
    <row r="6" spans="1:2" ht="15" customHeight="1">
      <c r="A6" s="542" t="s">
        <v>138</v>
      </c>
      <c r="B6" s="542"/>
    </row>
    <row r="7" spans="1:7" ht="15" customHeight="1">
      <c r="A7" s="25" t="str">
        <f>'Trial Balance'!A206&amp;"-"&amp;'Trial Balance'!B206</f>
        <v>4006-Residential Energy Sales</v>
      </c>
      <c r="B7" s="339">
        <f>'Trial Balance'!D206</f>
        <v>-2248509.4</v>
      </c>
      <c r="D7" s="11"/>
      <c r="E7" s="12"/>
      <c r="F7" s="13"/>
      <c r="G7" s="15"/>
    </row>
    <row r="8" spans="1:7" ht="15" customHeight="1">
      <c r="A8" s="25" t="str">
        <f>'Trial Balance'!A207&amp;"-"&amp;'Trial Balance'!B207</f>
        <v>4010-Commercial Energy Sales GS&lt;50 &amp; USL</v>
      </c>
      <c r="B8" s="339">
        <f>'Trial Balance'!D207</f>
        <v>-1158118.85</v>
      </c>
      <c r="D8" s="11"/>
      <c r="E8" s="12"/>
      <c r="F8" s="13"/>
      <c r="G8" s="15"/>
    </row>
    <row r="9" spans="1:7" ht="15" customHeight="1">
      <c r="A9" s="25" t="str">
        <f>'Trial Balance'!A208&amp;"-"&amp;'Trial Balance'!B208</f>
        <v>4015-Industrial Energy Sales/Intermediate</v>
      </c>
      <c r="B9" s="339">
        <f>'Trial Balance'!D208</f>
        <v>-1863026.38</v>
      </c>
      <c r="D9" s="11"/>
      <c r="E9" s="12"/>
      <c r="F9" s="13"/>
      <c r="G9" s="15"/>
    </row>
    <row r="10" spans="1:7" ht="15" customHeight="1">
      <c r="A10" s="25" t="str">
        <f>'Trial Balance'!A209&amp;"-"&amp;'Trial Balance'!B209</f>
        <v>4020-Energy Sales to Large Users</v>
      </c>
      <c r="B10" s="339">
        <f>'Trial Balance'!D209</f>
        <v>0</v>
      </c>
      <c r="D10" s="11"/>
      <c r="E10" s="12"/>
      <c r="F10" s="13"/>
      <c r="G10" s="15"/>
    </row>
    <row r="11" spans="1:7" ht="15" customHeight="1">
      <c r="A11" s="25" t="str">
        <f>'Trial Balance'!A210&amp;"-"&amp;'Trial Balance'!B210</f>
        <v>4025-Street Lighting Energy Sales</v>
      </c>
      <c r="B11" s="339">
        <f>'Trial Balance'!D210</f>
        <v>-90030.92</v>
      </c>
      <c r="D11" s="11"/>
      <c r="E11" s="12"/>
      <c r="F11" s="13"/>
      <c r="G11" s="15"/>
    </row>
    <row r="12" spans="1:7" ht="15" customHeight="1">
      <c r="A12" s="25" t="str">
        <f>'Trial Balance'!A211&amp;"-"&amp;'Trial Balance'!B211</f>
        <v>4030-Sentinel Energy Sales</v>
      </c>
      <c r="B12" s="339">
        <f>'Trial Balance'!D211</f>
        <v>-4895.68</v>
      </c>
      <c r="D12" s="11"/>
      <c r="E12" s="12"/>
      <c r="F12" s="13"/>
      <c r="G12" s="15"/>
    </row>
    <row r="13" spans="1:7" ht="15" customHeight="1">
      <c r="A13" s="25" t="str">
        <f>'Trial Balance'!A212&amp;"-"&amp;'Trial Balance'!B212</f>
        <v>4035-General Energy Sales GS&gt; 50- 2999</v>
      </c>
      <c r="B13" s="339">
        <f>'Trial Balance'!D212</f>
        <v>0</v>
      </c>
      <c r="D13" s="11"/>
      <c r="E13" s="12"/>
      <c r="F13" s="13"/>
      <c r="G13" s="15"/>
    </row>
    <row r="14" spans="1:7" ht="15" customHeight="1">
      <c r="A14" s="25" t="str">
        <f>'Trial Balance'!A213&amp;"-"&amp;'Trial Balance'!B213</f>
        <v>4040-Other Energy Sales to Public Authorities</v>
      </c>
      <c r="B14" s="339">
        <f>'Trial Balance'!D213</f>
        <v>0</v>
      </c>
      <c r="D14" s="11"/>
      <c r="E14" s="12"/>
      <c r="F14" s="13"/>
      <c r="G14" s="15"/>
    </row>
    <row r="15" spans="1:7" ht="15" customHeight="1">
      <c r="A15" s="25" t="str">
        <f>'Trial Balance'!A214&amp;"-"&amp;'Trial Balance'!B214</f>
        <v>4045-Energy Sales to Railroads and Railways</v>
      </c>
      <c r="B15" s="339">
        <f>'Trial Balance'!D214</f>
        <v>0</v>
      </c>
      <c r="D15" s="11"/>
      <c r="E15" s="12"/>
      <c r="F15" s="13"/>
      <c r="G15" s="15"/>
    </row>
    <row r="16" spans="1:7" ht="15" customHeight="1">
      <c r="A16" s="25" t="str">
        <f>'Trial Balance'!A215&amp;"-"&amp;'Trial Balance'!B215</f>
        <v>4050-Revenue Adjustment</v>
      </c>
      <c r="B16" s="339">
        <f>'Trial Balance'!D215</f>
        <v>-40870</v>
      </c>
      <c r="D16" s="11"/>
      <c r="E16" s="12"/>
      <c r="F16" s="13"/>
      <c r="G16" s="15"/>
    </row>
    <row r="17" spans="1:7" ht="15" customHeight="1">
      <c r="A17" s="25" t="str">
        <f>'Trial Balance'!A216&amp;"-"&amp;'Trial Balance'!B216</f>
        <v>4055-Energy Sales for Resale</v>
      </c>
      <c r="B17" s="339">
        <f>'Trial Balance'!D216</f>
        <v>-1354156.4700000002</v>
      </c>
      <c r="D17" s="11"/>
      <c r="E17" s="14"/>
      <c r="F17" s="13"/>
      <c r="G17" s="15"/>
    </row>
    <row r="18" spans="1:7" ht="15" customHeight="1">
      <c r="A18" s="25" t="str">
        <f>'Trial Balance'!A217&amp;"-"&amp;'Trial Balance'!B217</f>
        <v>4060-Interdepartmental Energy Sales</v>
      </c>
      <c r="B18" s="339">
        <f>'Trial Balance'!D217</f>
        <v>0</v>
      </c>
      <c r="D18" s="11"/>
      <c r="E18" s="12"/>
      <c r="F18" s="13"/>
      <c r="G18" s="15"/>
    </row>
    <row r="19" spans="1:7" ht="15" customHeight="1">
      <c r="A19" s="25" t="str">
        <f>'Trial Balance'!A218&amp;"-"&amp;'Trial Balance'!B218</f>
        <v>4062-WMS</v>
      </c>
      <c r="B19" s="339">
        <f>'Trial Balance'!D218</f>
        <v>-741874.78</v>
      </c>
      <c r="D19" s="11"/>
      <c r="E19" s="12"/>
      <c r="F19" s="13"/>
      <c r="G19" s="15"/>
    </row>
    <row r="20" spans="1:7" ht="15" customHeight="1">
      <c r="A20" s="25" t="str">
        <f>'Trial Balance'!A219&amp;"-"&amp;'Trial Balance'!B219</f>
        <v>4064-Billed WMS-One Time</v>
      </c>
      <c r="B20" s="339">
        <f>'Trial Balance'!D219</f>
        <v>0</v>
      </c>
      <c r="D20" s="11"/>
      <c r="E20" s="12"/>
      <c r="F20" s="13"/>
      <c r="G20" s="15"/>
    </row>
    <row r="21" spans="1:7" ht="15" customHeight="1">
      <c r="A21" s="25" t="str">
        <f>'Trial Balance'!A220&amp;"-"&amp;'Trial Balance'!B220</f>
        <v>4066-NS</v>
      </c>
      <c r="B21" s="339">
        <f>'Trial Balance'!D220</f>
        <v>-592957.87</v>
      </c>
      <c r="D21" s="11"/>
      <c r="E21" s="12"/>
      <c r="F21" s="13"/>
      <c r="G21" s="15"/>
    </row>
    <row r="22" spans="1:7" ht="15" customHeight="1">
      <c r="A22" s="25" t="str">
        <f>'Trial Balance'!A221&amp;"-"&amp;'Trial Balance'!B221</f>
        <v>4068-CS</v>
      </c>
      <c r="B22" s="339">
        <f>'Trial Balance'!D221</f>
        <v>-539937.7</v>
      </c>
      <c r="D22" s="11"/>
      <c r="E22" s="12"/>
      <c r="F22" s="13"/>
      <c r="G22" s="15"/>
    </row>
    <row r="23" spans="1:7" ht="15" customHeight="1" thickBot="1">
      <c r="A23" s="25" t="str">
        <f>'Trial Balance'!A222&amp;"-"&amp;'Trial Balance'!B222</f>
        <v>4075-LV Charges</v>
      </c>
      <c r="B23" s="339">
        <f>'Trial Balance'!D222</f>
        <v>-168167.99</v>
      </c>
      <c r="D23" s="11"/>
      <c r="E23" s="12"/>
      <c r="F23" s="13"/>
      <c r="G23" s="15"/>
    </row>
    <row r="24" spans="1:7" ht="15" customHeight="1" thickBot="1">
      <c r="A24" s="30" t="s">
        <v>139</v>
      </c>
      <c r="B24" s="341">
        <f>SUM(B7:B23)</f>
        <v>-8802546.04</v>
      </c>
      <c r="D24" s="11"/>
      <c r="E24" s="14"/>
      <c r="F24" s="13"/>
      <c r="G24" s="15"/>
    </row>
    <row r="25" spans="1:7" s="18" customFormat="1" ht="15" customHeight="1">
      <c r="A25" s="538"/>
      <c r="B25" s="539"/>
      <c r="D25" s="19"/>
      <c r="E25" s="12"/>
      <c r="F25" s="15"/>
      <c r="G25" s="15"/>
    </row>
    <row r="26" spans="1:7" s="18" customFormat="1" ht="15" customHeight="1">
      <c r="A26" s="542" t="s">
        <v>140</v>
      </c>
      <c r="B26" s="542"/>
      <c r="D26" s="19"/>
      <c r="E26" s="12"/>
      <c r="F26" s="15"/>
      <c r="G26" s="15"/>
    </row>
    <row r="27" spans="1:7" ht="15" customHeight="1">
      <c r="A27" s="25" t="str">
        <f>'Trial Balance'!A224&amp;"-"&amp;'Trial Balance'!B224</f>
        <v>4080-Distribution Services Revenue</v>
      </c>
      <c r="B27" s="339">
        <f>'Trial Balance'!D224</f>
        <v>-1753784.97</v>
      </c>
      <c r="D27" s="11"/>
      <c r="E27" s="14"/>
      <c r="F27" s="13"/>
      <c r="G27" s="15"/>
    </row>
    <row r="28" spans="1:7" ht="15" customHeight="1">
      <c r="A28" s="25" t="str">
        <f>'Trial Balance'!A225&amp;"-"&amp;'Trial Balance'!B225</f>
        <v>4082-RS Rev</v>
      </c>
      <c r="B28" s="339">
        <f>'Trial Balance'!D225</f>
        <v>-9408.3</v>
      </c>
      <c r="D28" s="11"/>
      <c r="E28" s="14"/>
      <c r="F28" s="13"/>
      <c r="G28" s="15"/>
    </row>
    <row r="29" spans="1:7" ht="15" customHeight="1">
      <c r="A29" s="25" t="str">
        <f>'Trial Balance'!A226&amp;"-"&amp;'Trial Balance'!B226</f>
        <v>4084-Serv Tx Requests</v>
      </c>
      <c r="B29" s="339">
        <f>'Trial Balance'!D226</f>
        <v>-257.75</v>
      </c>
      <c r="D29" s="11"/>
      <c r="E29" s="14"/>
      <c r="F29" s="13"/>
      <c r="G29" s="15"/>
    </row>
    <row r="30" spans="1:7" ht="15" customHeight="1" thickBot="1">
      <c r="A30" s="25" t="str">
        <f>'Trial Balance'!A227&amp;"-"&amp;'Trial Balance'!B227</f>
        <v>4090-Electric Services Incidental to Energy Sales</v>
      </c>
      <c r="B30" s="339">
        <f>'Trial Balance'!D227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41">
        <f>SUM(B27:B30)</f>
        <v>-1763451.02</v>
      </c>
      <c r="D31" s="11"/>
      <c r="E31" s="12"/>
      <c r="F31" s="13"/>
      <c r="G31" s="15"/>
    </row>
    <row r="32" spans="1:7" s="18" customFormat="1" ht="15" customHeight="1">
      <c r="A32" s="538"/>
      <c r="B32" s="539"/>
      <c r="D32" s="19"/>
      <c r="E32" s="12"/>
      <c r="F32" s="15"/>
      <c r="G32" s="15"/>
    </row>
    <row r="33" spans="1:7" s="18" customFormat="1" ht="15" customHeight="1">
      <c r="A33" s="542" t="s">
        <v>75</v>
      </c>
      <c r="B33" s="542"/>
      <c r="D33" s="19"/>
      <c r="E33" s="12"/>
      <c r="F33" s="15"/>
      <c r="G33" s="15"/>
    </row>
    <row r="34" spans="1:7" ht="15" customHeight="1">
      <c r="A34" s="25" t="str">
        <f>'Trial Balance'!A229&amp;"-"&amp;'Trial Balance'!B229</f>
        <v>4205-Interdepartmental Rents</v>
      </c>
      <c r="B34" s="339">
        <f>'Trial Balance'!D229</f>
        <v>0</v>
      </c>
      <c r="D34" s="11"/>
      <c r="E34" s="14"/>
      <c r="F34" s="13"/>
      <c r="G34" s="15"/>
    </row>
    <row r="35" spans="1:2" ht="15" customHeight="1">
      <c r="A35" s="25" t="str">
        <f>'Trial Balance'!A230&amp;"-"&amp;'Trial Balance'!B230</f>
        <v>4210-Rent from Electric Property</v>
      </c>
      <c r="B35" s="339">
        <f>'Trial Balance'!D230</f>
        <v>-47024.28</v>
      </c>
    </row>
    <row r="36" spans="1:2" ht="15" customHeight="1">
      <c r="A36" s="25" t="str">
        <f>'Trial Balance'!A231&amp;"-"&amp;'Trial Balance'!B231</f>
        <v>4215-Other Utility Operating Income</v>
      </c>
      <c r="B36" s="339">
        <f>'Trial Balance'!D231</f>
        <v>0</v>
      </c>
    </row>
    <row r="37" spans="1:2" ht="15" customHeight="1">
      <c r="A37" s="25" t="str">
        <f>'Trial Balance'!A232&amp;"-"&amp;'Trial Balance'!B232</f>
        <v>4220-Other Electric Revenues</v>
      </c>
      <c r="B37" s="339">
        <f>'Trial Balance'!D232</f>
        <v>0</v>
      </c>
    </row>
    <row r="38" spans="1:2" ht="15" customHeight="1">
      <c r="A38" s="25" t="str">
        <f>'Trial Balance'!A233&amp;"-"&amp;'Trial Balance'!B233</f>
        <v>4225-Late Payment Charges</v>
      </c>
      <c r="B38" s="339">
        <f>'Trial Balance'!D233</f>
        <v>-47319.69</v>
      </c>
    </row>
    <row r="39" spans="1:2" ht="15" customHeight="1">
      <c r="A39" s="25" t="str">
        <f>'Trial Balance'!A234&amp;"-"&amp;'Trial Balance'!B234</f>
        <v>4230-Sales of Water and Water Power</v>
      </c>
      <c r="B39" s="339">
        <f>'Trial Balance'!D234</f>
        <v>0</v>
      </c>
    </row>
    <row r="40" spans="1:2" ht="15" customHeight="1">
      <c r="A40" s="25" t="str">
        <f>'Trial Balance'!A235&amp;"-"&amp;'Trial Balance'!B235</f>
        <v>4235-Miscellaneous Service Revenues</v>
      </c>
      <c r="B40" s="339">
        <f>'Trial Balance'!D235</f>
        <v>-119858.79</v>
      </c>
    </row>
    <row r="41" spans="1:2" ht="15" customHeight="1">
      <c r="A41" s="25" t="str">
        <f>'Trial Balance'!A236&amp;"-"&amp;'Trial Balance'!B236</f>
        <v>4240-Provision for Rate Refunds</v>
      </c>
      <c r="B41" s="339">
        <f>'Trial Balance'!D236</f>
        <v>0</v>
      </c>
    </row>
    <row r="42" spans="1:2" ht="15" customHeight="1" thickBot="1">
      <c r="A42" s="25" t="str">
        <f>'Trial Balance'!A237&amp;"-"&amp;'Trial Balance'!B237</f>
        <v>4245-Government Assistance Directly Credited to Income</v>
      </c>
      <c r="B42" s="339">
        <f>'Trial Balance'!D237</f>
        <v>0</v>
      </c>
    </row>
    <row r="43" spans="1:2" ht="15" customHeight="1" thickBot="1">
      <c r="A43" s="30" t="s">
        <v>86</v>
      </c>
      <c r="B43" s="341">
        <f>SUM(B34:B42)</f>
        <v>-214202.76</v>
      </c>
    </row>
    <row r="44" spans="1:2" s="18" customFormat="1" ht="15" customHeight="1">
      <c r="A44" s="538"/>
      <c r="B44" s="539"/>
    </row>
    <row r="45" spans="1:2" s="18" customFormat="1" ht="15" customHeight="1">
      <c r="A45" s="542" t="s">
        <v>87</v>
      </c>
      <c r="B45" s="542"/>
    </row>
    <row r="46" spans="1:2" ht="15" customHeight="1">
      <c r="A46" s="25" t="str">
        <f>'Trial Balance'!A239&amp;"-"&amp;'Trial Balance'!B239</f>
        <v>4305-Regulatory Debits</v>
      </c>
      <c r="B46" s="339">
        <f>'Trial Balance'!D239</f>
        <v>0</v>
      </c>
    </row>
    <row r="47" spans="1:2" ht="15" customHeight="1">
      <c r="A47" s="25" t="str">
        <f>'Trial Balance'!A240&amp;"-"&amp;'Trial Balance'!B240</f>
        <v>4310-Regulatory Credits</v>
      </c>
      <c r="B47" s="339">
        <f>'Trial Balance'!D240</f>
        <v>0</v>
      </c>
    </row>
    <row r="48" spans="1:2" ht="15" customHeight="1">
      <c r="A48" s="25" t="str">
        <f>'Trial Balance'!A241&amp;"-"&amp;'Trial Balance'!B241</f>
        <v>4315-Revenues from Electric Plant Leased to Others</v>
      </c>
      <c r="B48" s="339">
        <f>'Trial Balance'!D241</f>
        <v>0</v>
      </c>
    </row>
    <row r="49" spans="1:2" ht="15" customHeight="1">
      <c r="A49" s="25" t="str">
        <f>'Trial Balance'!A242&amp;"-"&amp;'Trial Balance'!B242</f>
        <v>4320-Expenses of Electric Plant Leased to Others</v>
      </c>
      <c r="B49" s="339">
        <f>'Trial Balance'!D242</f>
        <v>0</v>
      </c>
    </row>
    <row r="50" spans="1:2" ht="15" customHeight="1">
      <c r="A50" s="25" t="str">
        <f>'Trial Balance'!A244&amp;"-"&amp;'Trial Balance'!B244</f>
        <v>4325-Revenues from Merchandise, Jobbing, Etc.</v>
      </c>
      <c r="B50" s="339">
        <f>'Trial Balance'!D244</f>
        <v>0</v>
      </c>
    </row>
    <row r="51" spans="1:2" ht="15" customHeight="1">
      <c r="A51" s="25" t="str">
        <f>'Trial Balance'!A245&amp;"-"&amp;'Trial Balance'!B245</f>
        <v>4330-Costs and Expenses of Merchandising, Jobbing, Etc</v>
      </c>
      <c r="B51" s="339">
        <f>'Trial Balance'!D245</f>
        <v>0</v>
      </c>
    </row>
    <row r="52" spans="1:2" ht="15" customHeight="1">
      <c r="A52" s="25" t="str">
        <f>'Trial Balance'!A246&amp;"-"&amp;'Trial Balance'!B246</f>
        <v>4335-Profits and Losses from Financial Instrument Hedges</v>
      </c>
      <c r="B52" s="339">
        <f>'Trial Balance'!D246</f>
        <v>0</v>
      </c>
    </row>
    <row r="53" spans="1:2" ht="15" customHeight="1">
      <c r="A53" s="25" t="str">
        <f>'Trial Balance'!A247&amp;"-"&amp;'Trial Balance'!B247</f>
        <v>4340-Profits and Losses from Financial Instrument Investments</v>
      </c>
      <c r="B53" s="339">
        <f>'Trial Balance'!D247</f>
        <v>0</v>
      </c>
    </row>
    <row r="54" spans="1:2" ht="15" customHeight="1">
      <c r="A54" s="25" t="str">
        <f>'Trial Balance'!A248&amp;"-"&amp;'Trial Balance'!B248</f>
        <v>4345-Gains from Disposition of Future Use Utility Plant</v>
      </c>
      <c r="B54" s="339">
        <f>'Trial Balance'!D248</f>
        <v>0</v>
      </c>
    </row>
    <row r="55" spans="1:2" ht="15" customHeight="1">
      <c r="A55" s="25" t="str">
        <f>'Trial Balance'!A249&amp;"-"&amp;'Trial Balance'!B249</f>
        <v>4350-Losses from Disposition of Future Use Utility Plant</v>
      </c>
      <c r="B55" s="339">
        <f>'Trial Balance'!D249</f>
        <v>0</v>
      </c>
    </row>
    <row r="56" spans="1:2" ht="15" customHeight="1">
      <c r="A56" s="25" t="str">
        <f>'Trial Balance'!A250&amp;"-"&amp;'Trial Balance'!B250</f>
        <v>4355-Gain on Disposition of Utility and Other Property</v>
      </c>
      <c r="B56" s="339">
        <f>'Trial Balance'!D250</f>
        <v>-6513.44</v>
      </c>
    </row>
    <row r="57" spans="1:2" ht="15" customHeight="1">
      <c r="A57" s="25" t="str">
        <f>'Trial Balance'!A251&amp;"-"&amp;'Trial Balance'!B251</f>
        <v>4360-Loss on Disposition of Utility and Other Property</v>
      </c>
      <c r="B57" s="339">
        <f>'Trial Balance'!D251</f>
        <v>0</v>
      </c>
    </row>
    <row r="58" spans="1:2" ht="15" customHeight="1">
      <c r="A58" s="25" t="str">
        <f>'Trial Balance'!A252&amp;"-"&amp;'Trial Balance'!B252</f>
        <v>4365-Gains from Disposition of Allowances for Emission</v>
      </c>
      <c r="B58" s="339">
        <f>'Trial Balance'!D252</f>
        <v>0</v>
      </c>
    </row>
    <row r="59" spans="1:2" ht="15" customHeight="1">
      <c r="A59" s="25" t="str">
        <f>'Trial Balance'!A253&amp;"-"&amp;'Trial Balance'!B253</f>
        <v>4370-Losses from Disposition of Allowances for Emission</v>
      </c>
      <c r="B59" s="339">
        <f>'Trial Balance'!D253</f>
        <v>0</v>
      </c>
    </row>
    <row r="60" spans="1:2" ht="15" customHeight="1">
      <c r="A60" s="25" t="str">
        <f>'Trial Balance'!A254&amp;"-"&amp;'Trial Balance'!B254</f>
        <v>4375-Revenues from Non-Utility Operations</v>
      </c>
      <c r="B60" s="339">
        <f>'Trial Balance'!D254</f>
        <v>-20123.06</v>
      </c>
    </row>
    <row r="61" spans="1:2" ht="15" customHeight="1">
      <c r="A61" s="25" t="str">
        <f>'Trial Balance'!A255&amp;"-"&amp;'Trial Balance'!B255</f>
        <v>4380-Expenses of Non-Utility Operations</v>
      </c>
      <c r="B61" s="339">
        <f>'Trial Balance'!D255</f>
        <v>0</v>
      </c>
    </row>
    <row r="62" spans="1:2" ht="15" customHeight="1">
      <c r="A62" s="25" t="str">
        <f>'Trial Balance'!A256&amp;"-"&amp;'Trial Balance'!B256</f>
        <v>4385-Expenses of Non-Utility Operations</v>
      </c>
      <c r="B62" s="339">
        <f>'Trial Balance'!D256</f>
        <v>0</v>
      </c>
    </row>
    <row r="63" spans="1:2" ht="15" customHeight="1">
      <c r="A63" s="25" t="str">
        <f>'Trial Balance'!A257&amp;"-"&amp;'Trial Balance'!B257</f>
        <v>4390-Miscellaneous Non-Operating Income</v>
      </c>
      <c r="B63" s="339">
        <f>'Trial Balance'!D257</f>
        <v>0</v>
      </c>
    </row>
    <row r="64" spans="1:2" ht="15" customHeight="1">
      <c r="A64" s="25" t="str">
        <f>'Trial Balance'!A258&amp;"-"&amp;'Trial Balance'!B258</f>
        <v>4395-Rate-Payer Benefit Including Interest</v>
      </c>
      <c r="B64" s="339">
        <f>'Trial Balance'!D258</f>
        <v>0</v>
      </c>
    </row>
    <row r="65" spans="1:2" ht="15" customHeight="1" thickBot="1">
      <c r="A65" s="25" t="str">
        <f>'Trial Balance'!A259&amp;"-"&amp;'Trial Balance'!B259</f>
        <v>4398-Foreign Exchange Gains and Losses, Including Amortization</v>
      </c>
      <c r="B65" s="339">
        <f>'Trial Balance'!D259</f>
        <v>0</v>
      </c>
    </row>
    <row r="66" spans="1:2" ht="15" customHeight="1" thickBot="1">
      <c r="A66" s="30" t="s">
        <v>82</v>
      </c>
      <c r="B66" s="341">
        <f>SUM(B46:B65)</f>
        <v>-26636.5</v>
      </c>
    </row>
    <row r="67" spans="1:2" s="18" customFormat="1" ht="15" customHeight="1">
      <c r="A67" s="538"/>
      <c r="B67" s="539"/>
    </row>
    <row r="68" spans="1:2" s="18" customFormat="1" ht="15" customHeight="1">
      <c r="A68" s="542" t="s">
        <v>83</v>
      </c>
      <c r="B68" s="542"/>
    </row>
    <row r="69" spans="1:2" s="18" customFormat="1" ht="15" customHeight="1">
      <c r="A69" s="25" t="str">
        <f>'Trial Balance'!A261&amp;"-"&amp;'Trial Balance'!B261</f>
        <v>4405-Interest and Dividend Income</v>
      </c>
      <c r="B69" s="339">
        <f>'Trial Balance'!D261</f>
        <v>-26582.99</v>
      </c>
    </row>
    <row r="70" spans="1:2" ht="15" customHeight="1" thickBot="1">
      <c r="A70" s="25" t="str">
        <f>'Trial Balance'!A262&amp;"-"&amp;'Trial Balance'!B262</f>
        <v>4415-Equity in Earnings of Subsidiary Companies</v>
      </c>
      <c r="B70" s="339">
        <f>'Trial Balance'!D262</f>
        <v>0</v>
      </c>
    </row>
    <row r="71" spans="1:2" ht="15" customHeight="1" thickBot="1">
      <c r="A71" s="30" t="s">
        <v>84</v>
      </c>
      <c r="B71" s="341">
        <f>SUM(B69:B70)</f>
        <v>-26582.99</v>
      </c>
    </row>
    <row r="72" spans="1:2" s="18" customFormat="1" ht="15" customHeight="1">
      <c r="A72" s="538"/>
      <c r="B72" s="539"/>
    </row>
    <row r="73" spans="1:2" s="18" customFormat="1" ht="15" customHeight="1">
      <c r="A73" s="542" t="s">
        <v>85</v>
      </c>
      <c r="B73" s="542"/>
    </row>
    <row r="74" spans="1:2" ht="15" customHeight="1">
      <c r="A74" s="25" t="str">
        <f>'Trial Balance'!A264&amp;"-"&amp;'Trial Balance'!B264</f>
        <v>4705-Power Purchased</v>
      </c>
      <c r="B74" s="339">
        <f>'Trial Balance'!D264</f>
        <v>6728402.75</v>
      </c>
    </row>
    <row r="75" spans="1:2" ht="15" customHeight="1">
      <c r="A75" s="25" t="str">
        <f>'Trial Balance'!A265&amp;"-"&amp;'Trial Balance'!B265</f>
        <v>4708-WMS</v>
      </c>
      <c r="B75" s="339">
        <f>'Trial Balance'!D265</f>
        <v>620540.14</v>
      </c>
    </row>
    <row r="76" spans="1:2" ht="15" customHeight="1">
      <c r="A76" s="25" t="str">
        <f>'Trial Balance'!A266&amp;"-"&amp;'Trial Balance'!B266</f>
        <v>4710-Cost of Power Adjustments</v>
      </c>
      <c r="B76" s="339">
        <f>'Trial Balance'!D266</f>
        <v>0</v>
      </c>
    </row>
    <row r="77" spans="1:2" ht="15" customHeight="1">
      <c r="A77" s="25" t="str">
        <f>'Trial Balance'!A267&amp;"-"&amp;'Trial Balance'!B267</f>
        <v>4712-0</v>
      </c>
      <c r="B77" s="339">
        <f>'Trial Balance'!D267</f>
        <v>0</v>
      </c>
    </row>
    <row r="78" spans="1:2" ht="15" customHeight="1">
      <c r="A78" s="25" t="str">
        <f>'Trial Balance'!A268&amp;"-"&amp;'Trial Balance'!B268</f>
        <v>4714-NW</v>
      </c>
      <c r="B78" s="339">
        <f>'Trial Balance'!D268</f>
        <v>592957.87</v>
      </c>
    </row>
    <row r="79" spans="1:2" ht="15" customHeight="1">
      <c r="A79" s="25" t="str">
        <f>'Trial Balance'!A269&amp;"-"&amp;'Trial Balance'!B269</f>
        <v>4715-System Control and Load Dispatching</v>
      </c>
      <c r="B79" s="339">
        <f>'Trial Balance'!D269</f>
        <v>0</v>
      </c>
    </row>
    <row r="80" spans="1:2" ht="15" customHeight="1">
      <c r="A80" s="25" t="str">
        <f>'Trial Balance'!A270&amp;"-"&amp;'Trial Balance'!B270</f>
        <v>4716-NCN</v>
      </c>
      <c r="B80" s="339">
        <f>'Trial Balance'!D270</f>
        <v>539937.7</v>
      </c>
    </row>
    <row r="81" spans="1:2" ht="15" customHeight="1">
      <c r="A81" s="25" t="str">
        <f>'Trial Balance'!A271&amp;"-"&amp;'Trial Balance'!B271</f>
        <v>4720-Other Expenses</v>
      </c>
      <c r="B81" s="339">
        <f>'Trial Balance'!D271</f>
        <v>0</v>
      </c>
    </row>
    <row r="82" spans="1:2" ht="15" customHeight="1">
      <c r="A82" s="25" t="str">
        <f>'Trial Balance'!A272&amp;"-"&amp;'Trial Balance'!B272</f>
        <v>4725-Competition Transition Expense</v>
      </c>
      <c r="B82" s="339">
        <f>'Trial Balance'!D272</f>
        <v>0</v>
      </c>
    </row>
    <row r="83" spans="1:2" ht="15" customHeight="1">
      <c r="A83" s="25" t="str">
        <f>'Trial Balance'!A273&amp;"-"&amp;'Trial Balance'!B273</f>
        <v>4730-Rural Rate Assistance Expense</v>
      </c>
      <c r="B83" s="339">
        <f>'Trial Balance'!D273</f>
        <v>121334.64</v>
      </c>
    </row>
    <row r="84" spans="1:2" ht="15" customHeight="1" thickBot="1">
      <c r="A84" s="25" t="str">
        <f>'Trial Balance'!A274&amp;"-"&amp;'Trial Balance'!B274</f>
        <v>4750-LV Charges</v>
      </c>
      <c r="B84" s="339">
        <f>'Trial Balance'!D274</f>
        <v>168167.99</v>
      </c>
    </row>
    <row r="85" spans="1:2" ht="15" customHeight="1" thickBot="1">
      <c r="A85" s="30" t="s">
        <v>519</v>
      </c>
      <c r="B85" s="341">
        <f>SUM(B74:B84)</f>
        <v>8771341.09</v>
      </c>
    </row>
    <row r="86" spans="1:2" s="18" customFormat="1" ht="15" customHeight="1">
      <c r="A86" s="538"/>
      <c r="B86" s="539"/>
    </row>
    <row r="87" spans="1:2" s="18" customFormat="1" ht="15" customHeight="1">
      <c r="A87" s="542" t="s">
        <v>520</v>
      </c>
      <c r="B87" s="542"/>
    </row>
    <row r="88" spans="1:2" ht="15" customHeight="1">
      <c r="A88" s="25" t="str">
        <f>'Trial Balance'!A276&amp;"-"&amp;'Trial Balance'!B276</f>
        <v>5005-Operation Supervision and Engineering</v>
      </c>
      <c r="B88" s="339">
        <f>'Trial Balance'!D276</f>
        <v>89638.7</v>
      </c>
    </row>
    <row r="89" spans="1:2" ht="15" customHeight="1">
      <c r="A89" s="25" t="str">
        <f>'Trial Balance'!A277&amp;"-"&amp;'Trial Balance'!B277</f>
        <v>5010-Load Dispatching</v>
      </c>
      <c r="B89" s="339">
        <f>'Trial Balance'!D277</f>
        <v>0</v>
      </c>
    </row>
    <row r="90" spans="1:2" ht="15" customHeight="1">
      <c r="A90" s="25" t="str">
        <f>'Trial Balance'!A278&amp;"-"&amp;'Trial Balance'!B278</f>
        <v>5012-Station Buildings and Fixtures Expense</v>
      </c>
      <c r="B90" s="339">
        <f>'Trial Balance'!D278</f>
        <v>1997.15</v>
      </c>
    </row>
    <row r="91" spans="1:2" ht="15" customHeight="1">
      <c r="A91" s="25" t="str">
        <f>'Trial Balance'!A279&amp;"-"&amp;'Trial Balance'!B279</f>
        <v>5014-Transformer Station Equipment - Operation Labour</v>
      </c>
      <c r="B91" s="339">
        <f>'Trial Balance'!D279</f>
        <v>0</v>
      </c>
    </row>
    <row r="92" spans="1:2" ht="15" customHeight="1">
      <c r="A92" s="25" t="str">
        <f>'Trial Balance'!A280&amp;"-"&amp;'Trial Balance'!B280</f>
        <v>5015-Transformer Station Equipment - Operation Supplies and Expenses</v>
      </c>
      <c r="B92" s="339">
        <f>'Trial Balance'!D280</f>
        <v>0</v>
      </c>
    </row>
    <row r="93" spans="1:2" ht="15" customHeight="1">
      <c r="A93" s="25" t="str">
        <f>'Trial Balance'!A281&amp;"-"&amp;'Trial Balance'!B281</f>
        <v>5016-Distribution Station Equipment - Operation Labour</v>
      </c>
      <c r="B93" s="339">
        <f>'Trial Balance'!D281</f>
        <v>2332</v>
      </c>
    </row>
    <row r="94" spans="1:2" ht="15" customHeight="1">
      <c r="A94" s="25" t="str">
        <f>'Trial Balance'!A282&amp;"-"&amp;'Trial Balance'!B282</f>
        <v>5017-Distribution Station Equipment - Operation Supplies and Expenses</v>
      </c>
      <c r="B94" s="339">
        <f>'Trial Balance'!D282</f>
        <v>0</v>
      </c>
    </row>
    <row r="95" spans="1:2" ht="15" customHeight="1">
      <c r="A95" s="25" t="str">
        <f>'Trial Balance'!A283&amp;"-"&amp;'Trial Balance'!B283</f>
        <v>5020-Overhead Distribution Lines and Feeders - Operation Labour</v>
      </c>
      <c r="B95" s="339">
        <f>'Trial Balance'!D283</f>
        <v>8348.12</v>
      </c>
    </row>
    <row r="96" spans="1:2" ht="15" customHeight="1">
      <c r="A96" s="25" t="str">
        <f>'Trial Balance'!A284&amp;"-"&amp;'Trial Balance'!B284</f>
        <v>5025-Overhead Distribution Lines and Feeders - Operation Supplies and Expenses</v>
      </c>
      <c r="B96" s="339">
        <f>'Trial Balance'!D284</f>
        <v>0</v>
      </c>
    </row>
    <row r="97" spans="1:2" ht="15" customHeight="1">
      <c r="A97" s="25" t="str">
        <f>'Trial Balance'!A285&amp;"-"&amp;'Trial Balance'!B285</f>
        <v>5030-Overhead Subtransmission Feeders - Operation</v>
      </c>
      <c r="B97" s="339">
        <f>'Trial Balance'!D285</f>
        <v>0</v>
      </c>
    </row>
    <row r="98" spans="1:2" ht="15" customHeight="1">
      <c r="A98" s="25" t="str">
        <f>'Trial Balance'!A286&amp;"-"&amp;'Trial Balance'!B286</f>
        <v>5035-Overhead Distribution Transformers - Operation</v>
      </c>
      <c r="B98" s="339">
        <f>'Trial Balance'!D286</f>
        <v>3507.28</v>
      </c>
    </row>
    <row r="99" spans="1:2" ht="15" customHeight="1">
      <c r="A99" s="25" t="str">
        <f>'Trial Balance'!A287&amp;"-"&amp;'Trial Balance'!B287</f>
        <v>5040-Underground Distribution Lines and Feeders - Operation Labour</v>
      </c>
      <c r="B99" s="339">
        <f>'Trial Balance'!D287</f>
        <v>0</v>
      </c>
    </row>
    <row r="100" spans="1:2" ht="15" customHeight="1">
      <c r="A100" s="25" t="str">
        <f>'Trial Balance'!A288&amp;"-"&amp;'Trial Balance'!B288</f>
        <v>5045-Underground Distribution Lines and Feeders - Operation Supplies and Expenses</v>
      </c>
      <c r="B100" s="339">
        <f>'Trial Balance'!D288</f>
        <v>0</v>
      </c>
    </row>
    <row r="101" spans="1:2" ht="15" customHeight="1">
      <c r="A101" s="25" t="str">
        <f>'Trial Balance'!A289&amp;"-"&amp;'Trial Balance'!B289</f>
        <v>5050-Underground Subtransmission Feeders - Operation</v>
      </c>
      <c r="B101" s="339">
        <f>'Trial Balance'!D289</f>
        <v>0</v>
      </c>
    </row>
    <row r="102" spans="1:2" ht="15" customHeight="1">
      <c r="A102" s="25" t="str">
        <f>'Trial Balance'!A290&amp;"-"&amp;'Trial Balance'!B290</f>
        <v>5055-Underground Distribution Transformers - Operation</v>
      </c>
      <c r="B102" s="339">
        <f>'Trial Balance'!D290</f>
        <v>0</v>
      </c>
    </row>
    <row r="103" spans="1:2" ht="15" customHeight="1">
      <c r="A103" s="25" t="str">
        <f>'Trial Balance'!A291&amp;"-"&amp;'Trial Balance'!B291</f>
        <v>5060-Street Lighting and Signal System Expense</v>
      </c>
      <c r="B103" s="339">
        <f>'Trial Balance'!D291</f>
        <v>0</v>
      </c>
    </row>
    <row r="104" spans="1:2" ht="15" customHeight="1">
      <c r="A104" s="25" t="str">
        <f>'Trial Balance'!A292&amp;"-"&amp;'Trial Balance'!B292</f>
        <v>5065-Meter Expense</v>
      </c>
      <c r="B104" s="339">
        <f>'Trial Balance'!D292</f>
        <v>552.37</v>
      </c>
    </row>
    <row r="105" spans="1:2" ht="15" customHeight="1">
      <c r="A105" s="25" t="str">
        <f>'Trial Balance'!A293&amp;"-"&amp;'Trial Balance'!B293</f>
        <v>5070-Customer Premises - Operation Labour</v>
      </c>
      <c r="B105" s="339">
        <f>'Trial Balance'!D293</f>
        <v>492.74</v>
      </c>
    </row>
    <row r="106" spans="1:2" ht="15" customHeight="1">
      <c r="A106" s="25" t="str">
        <f>'Trial Balance'!A294&amp;"-"&amp;'Trial Balance'!B294</f>
        <v>5075-Customer Premises - Materials and Expenses</v>
      </c>
      <c r="B106" s="339">
        <f>'Trial Balance'!D294</f>
        <v>0</v>
      </c>
    </row>
    <row r="107" spans="1:2" ht="15" customHeight="1">
      <c r="A107" s="25" t="str">
        <f>'Trial Balance'!A295&amp;"-"&amp;'Trial Balance'!B295</f>
        <v>5085-Miscellaneous Distribution Expense</v>
      </c>
      <c r="B107" s="339">
        <f>'Trial Balance'!D295</f>
        <v>59439.97</v>
      </c>
    </row>
    <row r="108" spans="1:2" ht="15" customHeight="1">
      <c r="A108" s="25" t="str">
        <f>'Trial Balance'!A296&amp;"-"&amp;'Trial Balance'!B296</f>
        <v>5090-Underground Distribution Lines and Feeders - Rental Paid</v>
      </c>
      <c r="B108" s="339">
        <f>'Trial Balance'!D296</f>
        <v>0</v>
      </c>
    </row>
    <row r="109" spans="1:2" ht="15" customHeight="1">
      <c r="A109" s="25" t="str">
        <f>'Trial Balance'!A297&amp;"-"&amp;'Trial Balance'!B297</f>
        <v>5095-Overhead Distribution Lines and Feeders - Rental Paid</v>
      </c>
      <c r="B109" s="339">
        <f>'Trial Balance'!D297</f>
        <v>23189.19</v>
      </c>
    </row>
    <row r="110" spans="1:2" ht="15" customHeight="1" thickBot="1">
      <c r="A110" s="25" t="str">
        <f>'Trial Balance'!A298&amp;"-"&amp;'Trial Balance'!B298</f>
        <v>5096-Other Rent</v>
      </c>
      <c r="B110" s="339">
        <f>'Trial Balance'!D298</f>
        <v>0</v>
      </c>
    </row>
    <row r="111" spans="1:2" ht="15" customHeight="1" thickBot="1">
      <c r="A111" s="30" t="s">
        <v>523</v>
      </c>
      <c r="B111" s="341">
        <f>SUM(B88:B110)</f>
        <v>189497.52</v>
      </c>
    </row>
    <row r="112" spans="1:2" s="18" customFormat="1" ht="15" customHeight="1">
      <c r="A112" s="538"/>
      <c r="B112" s="539"/>
    </row>
    <row r="113" spans="1:2" s="18" customFormat="1" ht="15" customHeight="1">
      <c r="A113" s="542" t="s">
        <v>524</v>
      </c>
      <c r="B113" s="542"/>
    </row>
    <row r="114" spans="1:2" ht="15" customHeight="1">
      <c r="A114" s="25" t="str">
        <f>'Trial Balance'!A300&amp;"-"&amp;'Trial Balance'!B300</f>
        <v>5105-Maintenance Supervision and Engineering</v>
      </c>
      <c r="B114" s="339">
        <f>'Trial Balance'!D300</f>
        <v>0</v>
      </c>
    </row>
    <row r="115" spans="1:2" ht="15" customHeight="1">
      <c r="A115" s="25" t="str">
        <f>'Trial Balance'!A301&amp;"-"&amp;'Trial Balance'!B301</f>
        <v>5110-Maintenance of Structures</v>
      </c>
      <c r="B115" s="339">
        <f>'Trial Balance'!D301</f>
        <v>0</v>
      </c>
    </row>
    <row r="116" spans="1:2" ht="15" customHeight="1">
      <c r="A116" s="25" t="str">
        <f>'Trial Balance'!A302&amp;"-"&amp;'Trial Balance'!B302</f>
        <v>5112-Maintenance of Transformer Station Equipment</v>
      </c>
      <c r="B116" s="339">
        <f>'Trial Balance'!D302</f>
        <v>0</v>
      </c>
    </row>
    <row r="117" spans="1:2" ht="15" customHeight="1">
      <c r="A117" s="25" t="str">
        <f>'Trial Balance'!A303&amp;"-"&amp;'Trial Balance'!B303</f>
        <v>5114-Mtaint Dist Stn Equip</v>
      </c>
      <c r="B117" s="339">
        <f>'Trial Balance'!D303</f>
        <v>47463.17</v>
      </c>
    </row>
    <row r="118" spans="1:2" ht="15" customHeight="1">
      <c r="A118" s="25" t="str">
        <f>'Trial Balance'!A304&amp;"-"&amp;'Trial Balance'!B304</f>
        <v>5120-Maintenance of Poles, Towers and Fixtures</v>
      </c>
      <c r="B118" s="339">
        <f>'Trial Balance'!D304</f>
        <v>16332.05</v>
      </c>
    </row>
    <row r="119" spans="1:2" ht="15" customHeight="1">
      <c r="A119" s="25" t="str">
        <f>'Trial Balance'!A305&amp;"-"&amp;'Trial Balance'!B305</f>
        <v>5125-Maintenance of Overhead Conductors and Devices</v>
      </c>
      <c r="B119" s="339">
        <f>'Trial Balance'!D305</f>
        <v>79060.82</v>
      </c>
    </row>
    <row r="120" spans="1:2" ht="15" customHeight="1">
      <c r="A120" s="25" t="str">
        <f>'Trial Balance'!A306&amp;"-"&amp;'Trial Balance'!B306</f>
        <v>5130-Maintenance of Overhead Services</v>
      </c>
      <c r="B120" s="339">
        <f>'Trial Balance'!D306</f>
        <v>34539.24</v>
      </c>
    </row>
    <row r="121" spans="1:2" ht="15" customHeight="1">
      <c r="A121" s="25" t="str">
        <f>'Trial Balance'!A307&amp;"-"&amp;'Trial Balance'!B307</f>
        <v>5135-Overhead Distribution Lines and Feeders - Right of Way</v>
      </c>
      <c r="B121" s="339">
        <f>'Trial Balance'!D307</f>
        <v>42189.14</v>
      </c>
    </row>
    <row r="122" spans="1:2" ht="15" customHeight="1">
      <c r="A122" s="25" t="str">
        <f>'Trial Balance'!A308&amp;"-"&amp;'Trial Balance'!B308</f>
        <v>5145-Maintenance of Underground Conduit</v>
      </c>
      <c r="B122" s="339">
        <f>'Trial Balance'!D308</f>
        <v>2234.74</v>
      </c>
    </row>
    <row r="123" spans="1:2" ht="15" customHeight="1">
      <c r="A123" s="25" t="str">
        <f>'Trial Balance'!A309&amp;"-"&amp;'Trial Balance'!B309</f>
        <v>5150-Maintenance of Underground Conductors and Devices</v>
      </c>
      <c r="B123" s="339">
        <f>'Trial Balance'!D309</f>
        <v>8913.79</v>
      </c>
    </row>
    <row r="124" spans="1:2" ht="15" customHeight="1">
      <c r="A124" s="25" t="str">
        <f>'Trial Balance'!A310&amp;"-"&amp;'Trial Balance'!B310</f>
        <v>5155-Maintenance of Underground Services</v>
      </c>
      <c r="B124" s="339">
        <f>'Trial Balance'!D310</f>
        <v>11669.82</v>
      </c>
    </row>
    <row r="125" spans="1:2" ht="15" customHeight="1">
      <c r="A125" s="25" t="str">
        <f>'Trial Balance'!A311&amp;"-"&amp;'Trial Balance'!B311</f>
        <v>5160-Maintenance of Line Transformers</v>
      </c>
      <c r="B125" s="339">
        <f>'Trial Balance'!D311</f>
        <v>11623.83</v>
      </c>
    </row>
    <row r="126" spans="1:2" ht="15" customHeight="1">
      <c r="A126" s="25" t="str">
        <f>'Trial Balance'!A312&amp;"-"&amp;'Trial Balance'!B312</f>
        <v>5165-Maintenance of Street Lighting and Signal Systems</v>
      </c>
      <c r="B126" s="339">
        <f>'Trial Balance'!D312</f>
        <v>0</v>
      </c>
    </row>
    <row r="127" spans="1:2" ht="15" customHeight="1">
      <c r="A127" s="25" t="str">
        <f>'Trial Balance'!A313&amp;"-"&amp;'Trial Balance'!B313</f>
        <v>5170-Sentinel Lights - Labour</v>
      </c>
      <c r="B127" s="339">
        <f>'Trial Balance'!D313</f>
        <v>0</v>
      </c>
    </row>
    <row r="128" spans="1:2" ht="15" customHeight="1">
      <c r="A128" s="25" t="str">
        <f>'Trial Balance'!A314&amp;"-"&amp;'Trial Balance'!B314</f>
        <v>5172-Sentinel Lights - Materials and Expenses</v>
      </c>
      <c r="B128" s="339">
        <f>'Trial Balance'!D314</f>
        <v>0</v>
      </c>
    </row>
    <row r="129" spans="1:2" ht="15" customHeight="1">
      <c r="A129" s="25" t="str">
        <f>'Trial Balance'!A315&amp;"-"&amp;'Trial Balance'!B315</f>
        <v>5175-Maintenance of Meters</v>
      </c>
      <c r="B129" s="339">
        <f>'Trial Balance'!D315</f>
        <v>14521.13</v>
      </c>
    </row>
    <row r="130" spans="1:2" ht="15" customHeight="1">
      <c r="A130" s="25" t="str">
        <f>'Trial Balance'!A316&amp;"-"&amp;'Trial Balance'!B316</f>
        <v>5178-Customer Installations Expenses - Leased Property</v>
      </c>
      <c r="B130" s="339">
        <f>'Trial Balance'!D316</f>
        <v>0</v>
      </c>
    </row>
    <row r="131" spans="1:2" ht="15" customHeight="1" thickBot="1">
      <c r="A131" s="25" t="str">
        <f>'Trial Balance'!A317&amp;"-"&amp;'Trial Balance'!B317</f>
        <v>5195-Maintenance of Other Installations on Customer Premises</v>
      </c>
      <c r="B131" s="339">
        <f>'Trial Balance'!D317</f>
        <v>0</v>
      </c>
    </row>
    <row r="132" spans="1:2" ht="15" customHeight="1" thickBot="1">
      <c r="A132" s="30" t="s">
        <v>88</v>
      </c>
      <c r="B132" s="341">
        <f>SUM(B114:B131)</f>
        <v>268547.73</v>
      </c>
    </row>
    <row r="133" spans="1:2" s="18" customFormat="1" ht="15" customHeight="1">
      <c r="A133" s="538"/>
      <c r="B133" s="539"/>
    </row>
    <row r="134" spans="1:2" s="18" customFormat="1" ht="15" customHeight="1">
      <c r="A134" s="540" t="s">
        <v>89</v>
      </c>
      <c r="B134" s="541"/>
    </row>
    <row r="135" spans="1:2" ht="15" customHeight="1">
      <c r="A135" s="25" t="str">
        <f>'Trial Balance'!A323&amp;"-"&amp;'Trial Balance'!B323</f>
        <v>5305-Supervision</v>
      </c>
      <c r="B135" s="339">
        <f>'Trial Balance'!D323</f>
        <v>0</v>
      </c>
    </row>
    <row r="136" spans="1:2" ht="15" customHeight="1">
      <c r="A136" s="25" t="str">
        <f>'Trial Balance'!A324&amp;"-"&amp;'Trial Balance'!B324</f>
        <v>5310-Meter Reading Expense</v>
      </c>
      <c r="B136" s="339">
        <f>'Trial Balance'!D324</f>
        <v>64414.83</v>
      </c>
    </row>
    <row r="137" spans="1:2" ht="15" customHeight="1">
      <c r="A137" s="25" t="str">
        <f>'Trial Balance'!A325&amp;"-"&amp;'Trial Balance'!B325</f>
        <v>5315-Customer Billing</v>
      </c>
      <c r="B137" s="339">
        <f>'Trial Balance'!D325</f>
        <v>268398.58</v>
      </c>
    </row>
    <row r="138" spans="1:2" ht="15" customHeight="1">
      <c r="A138" s="25" t="str">
        <f>'Trial Balance'!A326&amp;"-"&amp;'Trial Balance'!B326</f>
        <v>5320-Collecting</v>
      </c>
      <c r="B138" s="339">
        <f>'Trial Balance'!D326</f>
        <v>40881.71</v>
      </c>
    </row>
    <row r="139" spans="1:2" ht="15" customHeight="1">
      <c r="A139" s="25" t="str">
        <f>'Trial Balance'!A327&amp;"-"&amp;'Trial Balance'!B327</f>
        <v>5325-Collecting - Cash Over and Short</v>
      </c>
      <c r="B139" s="339">
        <f>'Trial Balance'!D327</f>
        <v>546.8</v>
      </c>
    </row>
    <row r="140" spans="1:2" ht="15" customHeight="1">
      <c r="A140" s="25" t="str">
        <f>'Trial Balance'!A328&amp;"-"&amp;'Trial Balance'!B328</f>
        <v>5330-Collection Charges</v>
      </c>
      <c r="B140" s="339">
        <f>'Trial Balance'!D328</f>
        <v>0</v>
      </c>
    </row>
    <row r="141" spans="1:2" ht="15" customHeight="1">
      <c r="A141" s="25" t="str">
        <f>'Trial Balance'!A329&amp;"-"&amp;'Trial Balance'!B329</f>
        <v>5335-Bad Debt Expense</v>
      </c>
      <c r="B141" s="339">
        <f>'Trial Balance'!D329</f>
        <v>21172.08</v>
      </c>
    </row>
    <row r="142" spans="1:2" ht="15" customHeight="1" thickBot="1">
      <c r="A142" s="25" t="str">
        <f>'Trial Balance'!A330&amp;"-"&amp;'Trial Balance'!B330</f>
        <v>5340-Miscellaneous Customer Accounts Expenses</v>
      </c>
      <c r="B142" s="339">
        <f>'Trial Balance'!D330</f>
        <v>0</v>
      </c>
    </row>
    <row r="143" spans="1:2" ht="15" customHeight="1" thickBot="1">
      <c r="A143" s="30" t="s">
        <v>97</v>
      </c>
      <c r="B143" s="341">
        <f>SUM(B135:B142)</f>
        <v>395414.00000000006</v>
      </c>
    </row>
    <row r="144" spans="1:2" s="18" customFormat="1" ht="15" customHeight="1">
      <c r="A144" s="538"/>
      <c r="B144" s="539"/>
    </row>
    <row r="145" spans="1:2" s="18" customFormat="1" ht="15" customHeight="1">
      <c r="A145" s="540" t="s">
        <v>98</v>
      </c>
      <c r="B145" s="541"/>
    </row>
    <row r="146" spans="1:2" ht="15" customHeight="1">
      <c r="A146" s="25" t="str">
        <f>'Trial Balance'!A332&amp;"-"&amp;'Trial Balance'!B332</f>
        <v>5405-Supervision</v>
      </c>
      <c r="B146" s="339">
        <f>'Trial Balance'!D332</f>
        <v>0</v>
      </c>
    </row>
    <row r="147" spans="1:2" ht="15" customHeight="1">
      <c r="A147" s="25" t="str">
        <f>'Trial Balance'!A333&amp;"-"&amp;'Trial Balance'!B333</f>
        <v>5410-Community Relations - Sundry</v>
      </c>
      <c r="B147" s="339">
        <f>'Trial Balance'!D333</f>
        <v>485.87</v>
      </c>
    </row>
    <row r="148" spans="1:2" ht="15" customHeight="1">
      <c r="A148" s="25" t="str">
        <f>'Trial Balance'!A334&amp;"-"&amp;'Trial Balance'!B334</f>
        <v>5415-Energy Conservation</v>
      </c>
      <c r="B148" s="339">
        <f>'Trial Balance'!D334</f>
        <v>0</v>
      </c>
    </row>
    <row r="149" spans="1:2" ht="15" customHeight="1">
      <c r="A149" s="25" t="str">
        <f>'Trial Balance'!A335&amp;"-"&amp;'Trial Balance'!B335</f>
        <v>5420-Community Safety Program</v>
      </c>
      <c r="B149" s="339">
        <f>'Trial Balance'!D335</f>
        <v>0</v>
      </c>
    </row>
    <row r="150" spans="1:2" ht="15" customHeight="1" thickBot="1">
      <c r="A150" s="25" t="str">
        <f>'Trial Balance'!A336&amp;"-"&amp;'Trial Balance'!B336</f>
        <v>5425-Miscellaneous Customer Service and Informational Expenses</v>
      </c>
      <c r="B150" s="339">
        <f>'Trial Balance'!D336</f>
        <v>0</v>
      </c>
    </row>
    <row r="151" spans="1:2" ht="15" customHeight="1" thickBot="1">
      <c r="A151" s="30" t="s">
        <v>99</v>
      </c>
      <c r="B151" s="341">
        <f>SUM(B146:B150)</f>
        <v>485.87</v>
      </c>
    </row>
    <row r="152" spans="1:2" s="18" customFormat="1" ht="15" customHeight="1">
      <c r="A152" s="538"/>
      <c r="B152" s="539"/>
    </row>
    <row r="153" spans="1:2" s="18" customFormat="1" ht="15" customHeight="1">
      <c r="A153" s="540" t="s">
        <v>100</v>
      </c>
      <c r="B153" s="541"/>
    </row>
    <row r="154" spans="1:2" ht="15" customHeight="1">
      <c r="A154" s="25" t="str">
        <f>'Trial Balance'!A343&amp;"-"&amp;'Trial Balance'!B343</f>
        <v>5605-Executive Salaries and Expenses</v>
      </c>
      <c r="B154" s="339">
        <f>'Trial Balance'!D343</f>
        <v>0</v>
      </c>
    </row>
    <row r="155" spans="1:2" ht="15" customHeight="1">
      <c r="A155" s="25" t="str">
        <f>'Trial Balance'!A344&amp;"-"&amp;'Trial Balance'!B344</f>
        <v>5610-Management Salaries and Expenses</v>
      </c>
      <c r="B155" s="339">
        <f>'Trial Balance'!D344</f>
        <v>0</v>
      </c>
    </row>
    <row r="156" spans="1:2" ht="15" customHeight="1">
      <c r="A156" s="25" t="str">
        <f>'Trial Balance'!A345&amp;"-"&amp;'Trial Balance'!B345</f>
        <v>5615-General Administrative Salaries and Expenses</v>
      </c>
      <c r="B156" s="339">
        <f>'Trial Balance'!D345</f>
        <v>308369.28</v>
      </c>
    </row>
    <row r="157" spans="1:2" ht="15" customHeight="1">
      <c r="A157" s="25" t="str">
        <f>'Trial Balance'!A346&amp;"-"&amp;'Trial Balance'!B346</f>
        <v>5620-Office Supplies and Expenses</v>
      </c>
      <c r="B157" s="339">
        <f>'Trial Balance'!D346</f>
        <v>8952.12</v>
      </c>
    </row>
    <row r="158" spans="1:2" ht="15" customHeight="1">
      <c r="A158" s="25" t="str">
        <f>'Trial Balance'!A347&amp;"-"&amp;'Trial Balance'!B347</f>
        <v>5625-Administrative Expense Transferred-Credit</v>
      </c>
      <c r="B158" s="339">
        <f>'Trial Balance'!D347</f>
        <v>59587.7</v>
      </c>
    </row>
    <row r="159" spans="1:2" ht="15" customHeight="1">
      <c r="A159" s="25" t="str">
        <f>'Trial Balance'!A348&amp;"-"&amp;'Trial Balance'!B348</f>
        <v>5630-Outside Services Employed</v>
      </c>
      <c r="B159" s="339">
        <f>'Trial Balance'!D348</f>
        <v>59948.22</v>
      </c>
    </row>
    <row r="160" spans="1:2" ht="15" customHeight="1">
      <c r="A160" s="25" t="str">
        <f>'Trial Balance'!A349&amp;"-"&amp;'Trial Balance'!B349</f>
        <v>5635-Property Insurance</v>
      </c>
      <c r="B160" s="339">
        <f>'Trial Balance'!D349</f>
        <v>33409.4</v>
      </c>
    </row>
    <row r="161" spans="1:2" ht="15" customHeight="1">
      <c r="A161" s="25" t="str">
        <f>'Trial Balance'!A350&amp;"-"&amp;'Trial Balance'!B350</f>
        <v>5640-Injuries and Damages</v>
      </c>
      <c r="B161" s="339">
        <f>'Trial Balance'!D350</f>
        <v>0</v>
      </c>
    </row>
    <row r="162" spans="1:2" ht="15" customHeight="1">
      <c r="A162" s="25" t="str">
        <f>'Trial Balance'!A351&amp;"-"&amp;'Trial Balance'!B351</f>
        <v>5645-Employee Pensions and Benefits</v>
      </c>
      <c r="B162" s="339">
        <f>'Trial Balance'!D351</f>
        <v>0</v>
      </c>
    </row>
    <row r="163" spans="1:2" ht="15" customHeight="1">
      <c r="A163" s="25" t="str">
        <f>'Trial Balance'!A352&amp;"-"&amp;'Trial Balance'!B352</f>
        <v>5650-Franchise Requirements</v>
      </c>
      <c r="B163" s="339">
        <f>'Trial Balance'!D352</f>
        <v>0</v>
      </c>
    </row>
    <row r="164" spans="1:2" ht="15" customHeight="1">
      <c r="A164" s="25" t="str">
        <f>'Trial Balance'!A353&amp;"-"&amp;'Trial Balance'!B353</f>
        <v>5655-Regulatory Expenses</v>
      </c>
      <c r="B164" s="339">
        <f>'Trial Balance'!D353</f>
        <v>26875.74</v>
      </c>
    </row>
    <row r="165" spans="1:2" ht="15" customHeight="1">
      <c r="A165" s="25" t="str">
        <f>'Trial Balance'!A354&amp;"-"&amp;'Trial Balance'!B354</f>
        <v>5660-General Advertising Expenses</v>
      </c>
      <c r="B165" s="339">
        <f>'Trial Balance'!D354</f>
        <v>0</v>
      </c>
    </row>
    <row r="166" spans="1:2" ht="15" customHeight="1">
      <c r="A166" s="25" t="str">
        <f>'Trial Balance'!A355&amp;"-"&amp;'Trial Balance'!B355</f>
        <v>5665-Miscellaneous Expenses</v>
      </c>
      <c r="B166" s="339">
        <f>'Trial Balance'!D355</f>
        <v>91860.81</v>
      </c>
    </row>
    <row r="167" spans="1:2" ht="15" customHeight="1">
      <c r="A167" s="25" t="str">
        <f>'Trial Balance'!A356&amp;"-"&amp;'Trial Balance'!B356</f>
        <v>5670-Rent  </v>
      </c>
      <c r="B167" s="339">
        <f>'Trial Balance'!D356</f>
        <v>8170.68</v>
      </c>
    </row>
    <row r="168" spans="1:2" ht="15" customHeight="1">
      <c r="A168" s="25" t="str">
        <f>'Trial Balance'!A357&amp;"-"&amp;'Trial Balance'!B357</f>
        <v>5675-Maintenance of General Plant</v>
      </c>
      <c r="B168" s="339">
        <f>'Trial Balance'!D357</f>
        <v>31951.35</v>
      </c>
    </row>
    <row r="169" spans="1:2" ht="15" customHeight="1">
      <c r="A169" s="25" t="str">
        <f>'Trial Balance'!A358&amp;"-"&amp;'Trial Balance'!B358</f>
        <v>5680-Electrical Safety Authority Fees</v>
      </c>
      <c r="B169" s="339">
        <f>'Trial Balance'!D358</f>
        <v>0</v>
      </c>
    </row>
    <row r="170" spans="1:2" ht="15" customHeight="1">
      <c r="A170" s="25" t="str">
        <f>'Trial Balance'!A360&amp;"-"&amp;'Trial Balance'!B360</f>
        <v>5685-Independent Market Operator Fees and Penalties</v>
      </c>
      <c r="B170" s="339">
        <f>'Trial Balance'!D360</f>
        <v>0</v>
      </c>
    </row>
    <row r="171" spans="1:2" ht="15" customHeight="1" thickBot="1">
      <c r="A171" s="25" t="str">
        <f>'Trial Balance'!A361&amp;"-"&amp;'Trial Balance'!B361</f>
        <v>5695-OM&amp;A Contra Account</v>
      </c>
      <c r="B171" s="339">
        <f>'Trial Balance'!D361</f>
        <v>0</v>
      </c>
    </row>
    <row r="172" spans="1:2" ht="15" customHeight="1" thickBot="1">
      <c r="A172" s="30" t="s">
        <v>76</v>
      </c>
      <c r="B172" s="341">
        <f>SUM(B154:B171)</f>
        <v>629125.3</v>
      </c>
    </row>
    <row r="173" spans="1:2" s="18" customFormat="1" ht="15" customHeight="1">
      <c r="A173" s="538"/>
      <c r="B173" s="539"/>
    </row>
    <row r="174" spans="1:2" s="18" customFormat="1" ht="15" customHeight="1">
      <c r="A174" s="540" t="s">
        <v>77</v>
      </c>
      <c r="B174" s="541"/>
    </row>
    <row r="175" spans="1:2" s="18" customFormat="1" ht="15" customHeight="1">
      <c r="A175" s="25" t="str">
        <f>'Trial Balance'!A363&amp;"-"&amp;'Trial Balance'!B363</f>
        <v>5705-Amortization Expense - Property, Plant and Equipment</v>
      </c>
      <c r="B175" s="339">
        <f>'Trial Balance'!D363</f>
        <v>228995.99</v>
      </c>
    </row>
    <row r="176" spans="1:2" s="18" customFormat="1" ht="15" customHeight="1">
      <c r="A176" s="25" t="str">
        <f>'Trial Balance'!A364&amp;"-"&amp;'Trial Balance'!B364</f>
        <v>5710-Amortization of Limited Term Electric Plant</v>
      </c>
      <c r="B176" s="339">
        <f>'Trial Balance'!D364</f>
        <v>0</v>
      </c>
    </row>
    <row r="177" spans="1:2" s="18" customFormat="1" ht="15" customHeight="1">
      <c r="A177" s="25" t="str">
        <f>'Trial Balance'!A365&amp;"-"&amp;'Trial Balance'!B365</f>
        <v>5715-Amortization of Intangibles and Other Electric Plant</v>
      </c>
      <c r="B177" s="339">
        <f>'Trial Balance'!D365</f>
        <v>0</v>
      </c>
    </row>
    <row r="178" spans="1:2" s="18" customFormat="1" ht="15" customHeight="1">
      <c r="A178" s="25" t="str">
        <f>'Trial Balance'!A366&amp;"-"&amp;'Trial Balance'!B366</f>
        <v>5720-Amortization of Electric Plant Acquisition Adjustments</v>
      </c>
      <c r="B178" s="339">
        <f>'Trial Balance'!D366</f>
        <v>0</v>
      </c>
    </row>
    <row r="179" spans="1:2" s="18" customFormat="1" ht="15" customHeight="1">
      <c r="A179" s="25" t="str">
        <f>'Trial Balance'!A367&amp;"-"&amp;'Trial Balance'!B367</f>
        <v>5725-Miscellaneous Amortization</v>
      </c>
      <c r="B179" s="339">
        <f>'Trial Balance'!D367</f>
        <v>0</v>
      </c>
    </row>
    <row r="180" spans="1:2" s="18" customFormat="1" ht="15" customHeight="1">
      <c r="A180" s="25" t="str">
        <f>'Trial Balance'!A368&amp;"-"&amp;'Trial Balance'!B368</f>
        <v>5730-Amortization of Unrecovered Plant and Regulatory Study Costs</v>
      </c>
      <c r="B180" s="339">
        <f>'Trial Balance'!D368</f>
        <v>0</v>
      </c>
    </row>
    <row r="181" spans="1:2" s="18" customFormat="1" ht="15" customHeight="1">
      <c r="A181" s="25" t="str">
        <f>'Trial Balance'!A369&amp;"-"&amp;'Trial Balance'!B369</f>
        <v>5735-Amortization of Deferred Development Costs</v>
      </c>
      <c r="B181" s="339">
        <f>'Trial Balance'!D369</f>
        <v>0</v>
      </c>
    </row>
    <row r="182" spans="1:2" ht="15" customHeight="1" thickBot="1">
      <c r="A182" s="25" t="str">
        <f>'Trial Balance'!A370&amp;"-"&amp;'Trial Balance'!B370</f>
        <v>5740-Amortization of Deferred Charges</v>
      </c>
      <c r="B182" s="339">
        <f>'Trial Balance'!D370</f>
        <v>0</v>
      </c>
    </row>
    <row r="183" spans="1:2" ht="15" customHeight="1" thickBot="1">
      <c r="A183" s="30" t="s">
        <v>78</v>
      </c>
      <c r="B183" s="341">
        <f>SUM(B175:B182)</f>
        <v>228995.99</v>
      </c>
    </row>
    <row r="184" spans="1:2" s="18" customFormat="1" ht="15" customHeight="1">
      <c r="A184" s="538"/>
      <c r="B184" s="539"/>
    </row>
    <row r="185" spans="1:2" s="18" customFormat="1" ht="15" customHeight="1">
      <c r="A185" s="540" t="s">
        <v>79</v>
      </c>
      <c r="B185" s="541"/>
    </row>
    <row r="186" spans="1:2" ht="15" customHeight="1">
      <c r="A186" s="25" t="str">
        <f>'Trial Balance'!A372&amp;"-"&amp;'Trial Balance'!B372</f>
        <v>6005-Interest on Long Term Debt</v>
      </c>
      <c r="B186" s="339">
        <f>'Trial Balance'!D372</f>
        <v>0</v>
      </c>
    </row>
    <row r="187" spans="1:2" ht="15" customHeight="1">
      <c r="A187" s="25" t="str">
        <f>'Trial Balance'!A373&amp;"-"&amp;'Trial Balance'!B373</f>
        <v>6010-Amortization of Debt Discount and Expense</v>
      </c>
      <c r="B187" s="339">
        <f>'Trial Balance'!D373</f>
        <v>0</v>
      </c>
    </row>
    <row r="188" spans="1:2" ht="15" customHeight="1">
      <c r="A188" s="25" t="str">
        <f>'Trial Balance'!A374&amp;"-"&amp;'Trial Balance'!B374</f>
        <v>6015-Amortization of Premium on Debt-Credit</v>
      </c>
      <c r="B188" s="339">
        <f>'Trial Balance'!D374</f>
        <v>0</v>
      </c>
    </row>
    <row r="189" spans="1:2" ht="15" customHeight="1">
      <c r="A189" s="25" t="str">
        <f>'Trial Balance'!A375&amp;"-"&amp;'Trial Balance'!B375</f>
        <v>6020-Amortization of Loss on Reacquired Debt</v>
      </c>
      <c r="B189" s="339">
        <f>'Trial Balance'!D375</f>
        <v>0</v>
      </c>
    </row>
    <row r="190" spans="1:2" ht="15" customHeight="1">
      <c r="A190" s="25" t="str">
        <f>'Trial Balance'!A376&amp;"-"&amp;'Trial Balance'!B376</f>
        <v>6025-Amortization of Gain on Reacquired Debt-Credit</v>
      </c>
      <c r="B190" s="339">
        <f>'Trial Balance'!D376</f>
        <v>0</v>
      </c>
    </row>
    <row r="191" spans="1:2" ht="15" customHeight="1">
      <c r="A191" s="25" t="str">
        <f>'Trial Balance'!A377&amp;"-"&amp;'Trial Balance'!B377</f>
        <v>6030-Interest on Debt to Associated Companies</v>
      </c>
      <c r="B191" s="339">
        <f>'Trial Balance'!D377</f>
        <v>58051.27</v>
      </c>
    </row>
    <row r="192" spans="1:2" ht="15" customHeight="1">
      <c r="A192" s="25" t="str">
        <f>'Trial Balance'!A378&amp;"-"&amp;'Trial Balance'!B378</f>
        <v>6035-Other Interest Expense</v>
      </c>
      <c r="B192" s="339">
        <f>'Trial Balance'!D378</f>
        <v>31742.78</v>
      </c>
    </row>
    <row r="193" spans="1:2" ht="15" customHeight="1">
      <c r="A193" s="25" t="str">
        <f>'Trial Balance'!A379&amp;"-"&amp;'Trial Balance'!B379</f>
        <v>6040-Allowance for Borrowed Funds Used During Construction-Credit</v>
      </c>
      <c r="B193" s="339">
        <f>'Trial Balance'!D379</f>
        <v>0</v>
      </c>
    </row>
    <row r="194" spans="1:2" ht="15" customHeight="1">
      <c r="A194" s="25" t="str">
        <f>'Trial Balance'!A380&amp;"-"&amp;'Trial Balance'!B380</f>
        <v>6042-Allowance for Other Funds Used During Construction</v>
      </c>
      <c r="B194" s="339">
        <f>'Trial Balance'!D380</f>
        <v>0</v>
      </c>
    </row>
    <row r="195" spans="1:2" ht="15" customHeight="1" thickBot="1">
      <c r="A195" s="25" t="str">
        <f>'Trial Balance'!A381&amp;"-"&amp;'Trial Balance'!B381</f>
        <v>6045-Interest Expense on Capital Lease Obligations</v>
      </c>
      <c r="B195" s="339">
        <f>'Trial Balance'!D381</f>
        <v>0</v>
      </c>
    </row>
    <row r="196" spans="1:2" ht="15" customHeight="1" thickBot="1">
      <c r="A196" s="30" t="s">
        <v>521</v>
      </c>
      <c r="B196" s="341">
        <f>SUM(B186:B195)</f>
        <v>89794.04999999999</v>
      </c>
    </row>
    <row r="197" spans="1:2" s="18" customFormat="1" ht="15" customHeight="1">
      <c r="A197" s="538"/>
      <c r="B197" s="539"/>
    </row>
    <row r="198" spans="1:2" s="18" customFormat="1" ht="15" customHeight="1">
      <c r="A198" s="540" t="s">
        <v>522</v>
      </c>
      <c r="B198" s="541"/>
    </row>
    <row r="199" spans="1:2" ht="15" customHeight="1" thickBot="1">
      <c r="A199" s="25" t="str">
        <f>'Trial Balance'!A383&amp;"-"&amp;'Trial Balance'!B383</f>
        <v>6105-Taxes Other Than Income Taxes</v>
      </c>
      <c r="B199" s="339">
        <f>'Trial Balance'!D383</f>
        <v>21292.42</v>
      </c>
    </row>
    <row r="200" spans="1:2" ht="15" customHeight="1" thickBot="1">
      <c r="A200" s="30" t="s">
        <v>525</v>
      </c>
      <c r="B200" s="341">
        <f>SUM(B199)</f>
        <v>21292.42</v>
      </c>
    </row>
    <row r="201" spans="1:2" s="18" customFormat="1" ht="15" customHeight="1">
      <c r="A201" s="538"/>
      <c r="B201" s="539"/>
    </row>
    <row r="202" spans="1:2" s="18" customFormat="1" ht="15" customHeight="1">
      <c r="A202" s="540" t="s">
        <v>526</v>
      </c>
      <c r="B202" s="541"/>
    </row>
    <row r="203" spans="1:2" ht="15" customHeight="1">
      <c r="A203" s="25" t="str">
        <f>'Trial Balance'!A384&amp;"-"&amp;'Trial Balance'!B384</f>
        <v>6110-Income Taxes</v>
      </c>
      <c r="B203" s="339">
        <f>'Trial Balance'!D384</f>
        <v>23799</v>
      </c>
    </row>
    <row r="204" spans="1:2" ht="15" customHeight="1" thickBot="1">
      <c r="A204" s="25" t="str">
        <f>'Trial Balance'!A385&amp;"-"&amp;'Trial Balance'!B385</f>
        <v>6115-Provision for Future Income Taxes</v>
      </c>
      <c r="B204" s="339">
        <f>'Trial Balance'!D385</f>
        <v>0</v>
      </c>
    </row>
    <row r="205" spans="1:2" ht="15" customHeight="1" thickBot="1">
      <c r="A205" s="30" t="s">
        <v>527</v>
      </c>
      <c r="B205" s="341">
        <f>SUM(B203:B204)</f>
        <v>23799</v>
      </c>
    </row>
    <row r="206" spans="1:2" s="18" customFormat="1" ht="15" customHeight="1">
      <c r="A206" s="538"/>
      <c r="B206" s="539"/>
    </row>
    <row r="207" spans="1:2" s="18" customFormat="1" ht="15" customHeight="1">
      <c r="A207" s="540" t="s">
        <v>508</v>
      </c>
      <c r="B207" s="541"/>
    </row>
    <row r="208" spans="1:2" ht="15" customHeight="1">
      <c r="A208" s="25" t="str">
        <f>'Trial Balance'!A387&amp;"-"&amp;'Trial Balance'!B387</f>
        <v>6205-Donations</v>
      </c>
      <c r="B208" s="339">
        <f>'Trial Balance'!D387</f>
        <v>115</v>
      </c>
    </row>
    <row r="209" spans="1:2" ht="15" customHeight="1">
      <c r="A209" s="25" t="str">
        <f>'Trial Balance'!A388&amp;"-"&amp;'Trial Balance'!B388</f>
        <v>6210-Life Insurance</v>
      </c>
      <c r="B209" s="339">
        <f>'Trial Balance'!D388</f>
        <v>0</v>
      </c>
    </row>
    <row r="210" spans="1:2" ht="15" customHeight="1">
      <c r="A210" s="25" t="str">
        <f>'Trial Balance'!A389&amp;"-"&amp;'Trial Balance'!B389</f>
        <v>6215-Penalties</v>
      </c>
      <c r="B210" s="339">
        <f>'Trial Balance'!D389</f>
        <v>996.87</v>
      </c>
    </row>
    <row r="211" spans="1:7" ht="15" customHeight="1" thickBot="1">
      <c r="A211" s="25" t="str">
        <f>'Trial Balance'!A390&amp;"-"&amp;'Trial Balance'!B390</f>
        <v>6225-Other Deductions</v>
      </c>
      <c r="B211" s="339">
        <f>'Trial Balance'!D390</f>
        <v>0</v>
      </c>
      <c r="D211" s="10"/>
      <c r="E211" s="10"/>
      <c r="F211" s="10"/>
      <c r="G211" s="10"/>
    </row>
    <row r="212" spans="1:2" ht="15" customHeight="1" thickBot="1">
      <c r="A212" s="30" t="s">
        <v>509</v>
      </c>
      <c r="B212" s="341">
        <f>SUM(B208:B211)</f>
        <v>1111.87</v>
      </c>
    </row>
    <row r="213" spans="1:7" s="10" customFormat="1" ht="15" customHeight="1" thickBot="1">
      <c r="A213" s="538"/>
      <c r="B213" s="539"/>
      <c r="D213"/>
      <c r="E213"/>
      <c r="F213"/>
      <c r="G213"/>
    </row>
    <row r="214" spans="1:2" ht="18.75" customHeight="1" thickBot="1">
      <c r="A214" s="31" t="s">
        <v>776</v>
      </c>
      <c r="B214" s="342">
        <f>B24+B31+B43+B66+B71+B85+B111+B132+B143+B151+B172+B183+B196+B200+B205+B212</f>
        <v>-214014.4699999987</v>
      </c>
    </row>
    <row r="215" spans="1:2" ht="15">
      <c r="A215" s="9"/>
      <c r="B215" s="343"/>
    </row>
    <row r="216" spans="1:2" ht="15">
      <c r="A216" s="9"/>
      <c r="B216" s="355"/>
    </row>
    <row r="217" spans="1:2" ht="15">
      <c r="A217" s="9" t="s">
        <v>865</v>
      </c>
      <c r="B217" s="343">
        <f>B214-B205</f>
        <v>-237813.4699999987</v>
      </c>
    </row>
    <row r="218" spans="1:2" ht="15">
      <c r="A218" s="9"/>
      <c r="B218" s="343"/>
    </row>
    <row r="219" spans="1:2" ht="15">
      <c r="A219" s="9"/>
      <c r="B219" s="343"/>
    </row>
    <row r="220" spans="1:2" ht="15">
      <c r="A220" s="9"/>
      <c r="B220" s="343"/>
    </row>
    <row r="221" spans="1:2" ht="15">
      <c r="A221" s="9"/>
      <c r="B221" s="343"/>
    </row>
    <row r="222" spans="1:2" ht="15">
      <c r="A222" s="9"/>
      <c r="B222" s="343"/>
    </row>
    <row r="223" spans="1:2" ht="15">
      <c r="A223" s="9"/>
      <c r="B223" s="343"/>
    </row>
    <row r="224" spans="1:2" ht="15">
      <c r="A224" s="9"/>
      <c r="B224" s="343"/>
    </row>
    <row r="225" spans="1:2" ht="15">
      <c r="A225" s="9"/>
      <c r="B225" s="343"/>
    </row>
    <row r="226" spans="1:2" ht="15">
      <c r="A226" s="9"/>
      <c r="B226" s="343"/>
    </row>
    <row r="227" spans="1:2" ht="15">
      <c r="A227" s="9"/>
      <c r="B227" s="343"/>
    </row>
    <row r="228" spans="1:2" ht="15">
      <c r="A228" s="9"/>
      <c r="B228" s="343"/>
    </row>
    <row r="229" spans="1:2" ht="15">
      <c r="A229" s="9"/>
      <c r="B229" s="343"/>
    </row>
    <row r="230" spans="1:2" ht="15">
      <c r="A230" s="9"/>
      <c r="B230" s="343"/>
    </row>
    <row r="231" spans="1:2" ht="15">
      <c r="A231" s="9"/>
      <c r="B231" s="343"/>
    </row>
    <row r="232" spans="1:2" ht="15">
      <c r="A232" s="9"/>
      <c r="B232" s="343"/>
    </row>
    <row r="233" spans="1:2" ht="15">
      <c r="A233" s="9"/>
      <c r="B233" s="343"/>
    </row>
    <row r="234" spans="1:2" ht="15">
      <c r="A234" s="9"/>
      <c r="B234" s="343"/>
    </row>
    <row r="235" spans="1:2" ht="15">
      <c r="A235" s="9"/>
      <c r="B235" s="343"/>
    </row>
    <row r="236" spans="1:2" ht="15">
      <c r="A236" s="9"/>
      <c r="B236" s="343"/>
    </row>
    <row r="237" spans="1:2" ht="15">
      <c r="A237" s="9"/>
      <c r="B237" s="343"/>
    </row>
    <row r="238" spans="1:2" ht="15">
      <c r="A238" s="9"/>
      <c r="B238" s="343"/>
    </row>
    <row r="239" spans="1:2" ht="15">
      <c r="A239" s="9"/>
      <c r="B239" s="343"/>
    </row>
    <row r="240" spans="1:2" ht="15">
      <c r="A240" s="9"/>
      <c r="B240" s="343"/>
    </row>
    <row r="241" spans="1:2" ht="15">
      <c r="A241" s="9"/>
      <c r="B241" s="343"/>
    </row>
    <row r="242" spans="1:2" ht="15">
      <c r="A242" s="9"/>
      <c r="B242" s="343"/>
    </row>
    <row r="243" spans="1:2" ht="15">
      <c r="A243" s="9"/>
      <c r="B243" s="343"/>
    </row>
    <row r="244" spans="1:2" ht="15">
      <c r="A244" s="9"/>
      <c r="B244" s="343"/>
    </row>
    <row r="245" spans="1:2" ht="15">
      <c r="A245" s="9"/>
      <c r="B245" s="343"/>
    </row>
    <row r="246" spans="1:2" ht="15">
      <c r="A246" s="9"/>
      <c r="B246" s="343"/>
    </row>
    <row r="247" spans="1:2" ht="15">
      <c r="A247" s="9"/>
      <c r="B247" s="343"/>
    </row>
    <row r="248" spans="1:2" ht="15">
      <c r="A248" s="9"/>
      <c r="B248" s="343"/>
    </row>
    <row r="249" spans="1:2" ht="15">
      <c r="A249" s="9"/>
      <c r="B249" s="343"/>
    </row>
    <row r="250" spans="1:2" ht="15">
      <c r="A250" s="9"/>
      <c r="B250" s="343"/>
    </row>
    <row r="251" spans="1:2" ht="15">
      <c r="A251" s="9"/>
      <c r="B251" s="343"/>
    </row>
    <row r="252" spans="1:2" ht="15">
      <c r="A252" s="9"/>
      <c r="B252" s="343"/>
    </row>
    <row r="253" spans="1:2" ht="15">
      <c r="A253" s="9"/>
      <c r="B253" s="343"/>
    </row>
    <row r="254" spans="1:2" ht="15">
      <c r="A254" s="9"/>
      <c r="B254" s="343"/>
    </row>
    <row r="255" spans="1:2" ht="15">
      <c r="A255" s="9"/>
      <c r="B255" s="343"/>
    </row>
    <row r="256" spans="1:2" ht="15">
      <c r="A256" s="9"/>
      <c r="B256" s="343"/>
    </row>
    <row r="257" spans="1:2" ht="15">
      <c r="A257" s="9"/>
      <c r="B257" s="343"/>
    </row>
    <row r="258" spans="1:2" ht="15">
      <c r="A258" s="9"/>
      <c r="B258" s="343"/>
    </row>
    <row r="259" spans="1:2" ht="15">
      <c r="A259" s="9"/>
      <c r="B259" s="343"/>
    </row>
    <row r="260" spans="1:2" ht="15">
      <c r="A260" s="9"/>
      <c r="B260" s="343"/>
    </row>
    <row r="261" spans="1:2" ht="15">
      <c r="A261" s="9"/>
      <c r="B261" s="343"/>
    </row>
    <row r="262" spans="1:2" ht="15">
      <c r="A262" s="9"/>
      <c r="B262" s="343"/>
    </row>
    <row r="263" spans="1:2" ht="15">
      <c r="A263" s="9"/>
      <c r="B263" s="343"/>
    </row>
    <row r="264" spans="1:2" ht="15">
      <c r="A264" s="9"/>
      <c r="B264" s="343"/>
    </row>
    <row r="265" spans="1:2" ht="15">
      <c r="A265" s="9"/>
      <c r="B265" s="343"/>
    </row>
    <row r="266" spans="1:2" ht="15">
      <c r="A266" s="9"/>
      <c r="B266" s="343"/>
    </row>
    <row r="267" spans="1:2" ht="15">
      <c r="A267" s="9"/>
      <c r="B267" s="343"/>
    </row>
    <row r="268" spans="1:2" ht="15">
      <c r="A268" s="9"/>
      <c r="B268" s="343"/>
    </row>
    <row r="269" spans="1:2" ht="15">
      <c r="A269" s="9"/>
      <c r="B269" s="343"/>
    </row>
    <row r="270" spans="1:2" ht="15">
      <c r="A270" s="9"/>
      <c r="B270" s="343"/>
    </row>
    <row r="271" spans="1:2" ht="15">
      <c r="A271" s="9"/>
      <c r="B271" s="343"/>
    </row>
    <row r="272" spans="1:2" ht="15">
      <c r="A272" s="9"/>
      <c r="B272" s="343"/>
    </row>
    <row r="273" spans="1:2" ht="15">
      <c r="A273" s="9"/>
      <c r="B273" s="343"/>
    </row>
    <row r="274" spans="1:2" ht="15">
      <c r="A274" s="9"/>
      <c r="B274" s="343"/>
    </row>
    <row r="275" spans="1:2" ht="15">
      <c r="A275" s="9"/>
      <c r="B275" s="343"/>
    </row>
    <row r="276" spans="1:2" ht="15">
      <c r="A276" s="9"/>
      <c r="B276" s="343"/>
    </row>
    <row r="277" spans="1:2" ht="15">
      <c r="A277" s="9"/>
      <c r="B277" s="343"/>
    </row>
    <row r="278" spans="1:2" ht="15">
      <c r="A278" s="9"/>
      <c r="B278" s="343"/>
    </row>
    <row r="279" spans="1:2" ht="15">
      <c r="A279" s="9"/>
      <c r="B279" s="343"/>
    </row>
    <row r="280" spans="1:2" ht="15">
      <c r="A280" s="9"/>
      <c r="B280" s="343"/>
    </row>
    <row r="281" spans="1:2" ht="15">
      <c r="A281" s="9"/>
      <c r="B281" s="343"/>
    </row>
    <row r="282" spans="1:2" ht="15">
      <c r="A282" s="9"/>
      <c r="B282" s="343"/>
    </row>
    <row r="283" spans="1:2" ht="15">
      <c r="A283" s="9"/>
      <c r="B283" s="343"/>
    </row>
    <row r="284" spans="1:2" ht="15">
      <c r="A284" s="9"/>
      <c r="B284" s="343"/>
    </row>
    <row r="285" spans="1:2" ht="15">
      <c r="A285" s="9"/>
      <c r="B285" s="343"/>
    </row>
    <row r="286" spans="1:2" ht="15">
      <c r="A286" s="9"/>
      <c r="B286" s="343"/>
    </row>
    <row r="287" spans="1:2" ht="15">
      <c r="A287" s="9"/>
      <c r="B287" s="343"/>
    </row>
    <row r="288" spans="1:2" ht="15">
      <c r="A288" s="9"/>
      <c r="B288" s="343"/>
    </row>
    <row r="289" spans="1:2" ht="15">
      <c r="A289" s="9"/>
      <c r="B289" s="343"/>
    </row>
    <row r="290" spans="1:2" ht="15">
      <c r="A290" s="9"/>
      <c r="B290" s="343"/>
    </row>
    <row r="291" spans="1:2" ht="15">
      <c r="A291" s="9"/>
      <c r="B291" s="343"/>
    </row>
    <row r="292" spans="1:2" ht="15">
      <c r="A292" s="9"/>
      <c r="B292" s="343"/>
    </row>
    <row r="293" spans="1:2" ht="15">
      <c r="A293" s="9"/>
      <c r="B293" s="343"/>
    </row>
    <row r="294" spans="1:2" ht="15">
      <c r="A294" s="9"/>
      <c r="B294" s="343"/>
    </row>
    <row r="295" spans="1:2" ht="15">
      <c r="A295" s="9"/>
      <c r="B295" s="343"/>
    </row>
    <row r="296" spans="1:2" ht="15">
      <c r="A296" s="9"/>
      <c r="B296" s="343"/>
    </row>
    <row r="297" spans="1:2" ht="15">
      <c r="A297" s="9"/>
      <c r="B297" s="343"/>
    </row>
    <row r="298" spans="1:2" ht="15">
      <c r="A298" s="9"/>
      <c r="B298" s="343"/>
    </row>
    <row r="299" spans="1:2" ht="15">
      <c r="A299" s="9"/>
      <c r="B299" s="343"/>
    </row>
    <row r="300" spans="1:2" ht="15">
      <c r="A300" s="9"/>
      <c r="B300" s="343"/>
    </row>
    <row r="301" spans="1:2" ht="15">
      <c r="A301" s="9"/>
      <c r="B301" s="343"/>
    </row>
    <row r="302" spans="1:2" ht="15">
      <c r="A302" s="9"/>
      <c r="B302" s="343"/>
    </row>
    <row r="303" spans="1:2" ht="15">
      <c r="A303" s="9"/>
      <c r="B303" s="343"/>
    </row>
    <row r="304" spans="1:2" ht="15">
      <c r="A304" s="9"/>
      <c r="B304" s="343"/>
    </row>
    <row r="305" spans="1:2" ht="15">
      <c r="A305" s="9"/>
      <c r="B305" s="343"/>
    </row>
    <row r="306" spans="1:2" ht="15">
      <c r="A306" s="9"/>
      <c r="B306" s="343"/>
    </row>
    <row r="307" spans="1:2" ht="15">
      <c r="A307" s="9"/>
      <c r="B307" s="343"/>
    </row>
    <row r="308" spans="1:2" ht="15">
      <c r="A308" s="9"/>
      <c r="B308" s="343"/>
    </row>
    <row r="309" spans="1:2" ht="15">
      <c r="A309" s="9"/>
      <c r="B309" s="343"/>
    </row>
    <row r="310" spans="1:2" ht="15">
      <c r="A310" s="9"/>
      <c r="B310" s="343"/>
    </row>
    <row r="311" spans="1:2" ht="15">
      <c r="A311" s="9"/>
      <c r="B311" s="343"/>
    </row>
    <row r="312" spans="1:2" ht="15">
      <c r="A312" s="9"/>
      <c r="B312" s="343"/>
    </row>
    <row r="313" spans="1:2" ht="15">
      <c r="A313" s="9"/>
      <c r="B313" s="343"/>
    </row>
    <row r="314" spans="1:2" ht="15">
      <c r="A314" s="9"/>
      <c r="B314" s="343"/>
    </row>
    <row r="315" spans="1:2" ht="15">
      <c r="A315" s="9"/>
      <c r="B315" s="343"/>
    </row>
    <row r="316" spans="1:2" ht="15">
      <c r="A316" s="9"/>
      <c r="B316" s="343"/>
    </row>
    <row r="317" spans="1:2" ht="15">
      <c r="A317" s="9"/>
      <c r="B317" s="343"/>
    </row>
    <row r="318" spans="1:2" ht="15">
      <c r="A318" s="9"/>
      <c r="B318" s="343"/>
    </row>
    <row r="319" spans="1:2" ht="15">
      <c r="A319" s="9"/>
      <c r="B319" s="343"/>
    </row>
    <row r="320" spans="1:2" ht="15">
      <c r="A320" s="9"/>
      <c r="B320" s="343"/>
    </row>
    <row r="321" spans="1:2" ht="15">
      <c r="A321" s="9"/>
      <c r="B321" s="343"/>
    </row>
    <row r="322" spans="1:2" ht="15">
      <c r="A322" s="9"/>
      <c r="B322" s="343"/>
    </row>
    <row r="323" spans="1:2" ht="15">
      <c r="A323" s="9"/>
      <c r="B323" s="343"/>
    </row>
    <row r="324" spans="1:2" ht="15">
      <c r="A324" s="9"/>
      <c r="B324" s="343"/>
    </row>
    <row r="325" spans="1:2" ht="15">
      <c r="A325" s="9"/>
      <c r="B325" s="343"/>
    </row>
    <row r="326" spans="1:2" ht="15">
      <c r="A326" s="9"/>
      <c r="B326" s="343"/>
    </row>
    <row r="327" spans="1:2" ht="15">
      <c r="A327" s="9"/>
      <c r="B327" s="343"/>
    </row>
    <row r="328" spans="1:2" ht="15">
      <c r="A328" s="9"/>
      <c r="B328" s="343"/>
    </row>
    <row r="329" spans="1:2" ht="15">
      <c r="A329" s="9"/>
      <c r="B329" s="343"/>
    </row>
    <row r="330" spans="1:2" ht="15">
      <c r="A330" s="9"/>
      <c r="B330" s="343"/>
    </row>
  </sheetData>
  <sheetProtection/>
  <mergeCells count="36">
    <mergeCell ref="A1:B1"/>
    <mergeCell ref="A2:B2"/>
    <mergeCell ref="A3:B3"/>
    <mergeCell ref="A32:B32"/>
    <mergeCell ref="A33:B33"/>
    <mergeCell ref="A4:B4"/>
    <mergeCell ref="A6:B6"/>
    <mergeCell ref="A25:B25"/>
    <mergeCell ref="A26:B26"/>
    <mergeCell ref="A44:B44"/>
    <mergeCell ref="A152:B152"/>
    <mergeCell ref="A173:B173"/>
    <mergeCell ref="A87:B87"/>
    <mergeCell ref="A112:B112"/>
    <mergeCell ref="A113:B113"/>
    <mergeCell ref="A67:B67"/>
    <mergeCell ref="A68:B68"/>
    <mergeCell ref="A72:B72"/>
    <mergeCell ref="A73:B73"/>
    <mergeCell ref="A86:B86"/>
    <mergeCell ref="A45:B45"/>
    <mergeCell ref="A174:B174"/>
    <mergeCell ref="A153:B153"/>
    <mergeCell ref="A133:B133"/>
    <mergeCell ref="A144:B144"/>
    <mergeCell ref="A134:B134"/>
    <mergeCell ref="A145:B145"/>
    <mergeCell ref="A184:B184"/>
    <mergeCell ref="A185:B185"/>
    <mergeCell ref="A197:B197"/>
    <mergeCell ref="A198:B198"/>
    <mergeCell ref="A213:B213"/>
    <mergeCell ref="A201:B201"/>
    <mergeCell ref="A202:B202"/>
    <mergeCell ref="A206:B206"/>
    <mergeCell ref="A207:B207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Footer>&amp;L&amp;A</oddFooter>
  </headerFooter>
  <rowBreaks count="5" manualBreakCount="5">
    <brk id="44" max="255" man="1"/>
    <brk id="86" max="255" man="1"/>
    <brk id="112" max="255" man="1"/>
    <brk id="152" max="255" man="1"/>
    <brk id="18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0"/>
  <sheetViews>
    <sheetView showGridLines="0" zoomScalePageLayoutView="0" workbookViewId="0" topLeftCell="A1">
      <selection activeCell="B221" sqref="B221"/>
    </sheetView>
  </sheetViews>
  <sheetFormatPr defaultColWidth="9.140625" defaultRowHeight="12.75"/>
  <cols>
    <col min="1" max="1" width="73.28125" style="24" customWidth="1"/>
    <col min="2" max="2" width="20.8515625" style="354" customWidth="1"/>
    <col min="5" max="5" width="14.00390625" style="0" bestFit="1" customWidth="1"/>
    <col min="6" max="6" width="12.57421875" style="0" customWidth="1"/>
  </cols>
  <sheetData>
    <row r="1" spans="1:2" ht="12.75">
      <c r="A1" s="519" t="str">
        <f>'Trial Balance'!A1:F1</f>
        <v>Rideau St. Lawrence Distribution Inc.</v>
      </c>
      <c r="B1" s="519"/>
    </row>
    <row r="2" spans="1:2" ht="12.75">
      <c r="A2" s="519" t="str">
        <f>'Trial Balance'!A2:F2</f>
        <v> License Number ED-2003-0003, File Number EB-2011-0274</v>
      </c>
      <c r="B2" s="519"/>
    </row>
    <row r="3" spans="1:2" ht="15.75">
      <c r="A3" s="537" t="str">
        <f>Notes!B4</f>
        <v>Rideau St. Lawrence Distribution Inc.</v>
      </c>
      <c r="B3" s="537"/>
    </row>
    <row r="4" spans="1:2" ht="15.75">
      <c r="A4" s="537" t="s">
        <v>190</v>
      </c>
      <c r="B4" s="537"/>
    </row>
    <row r="5" spans="1:2" ht="15" customHeight="1">
      <c r="A5" s="62" t="s">
        <v>510</v>
      </c>
      <c r="B5" s="344" t="s">
        <v>150</v>
      </c>
    </row>
    <row r="6" spans="1:2" s="18" customFormat="1" ht="15" customHeight="1">
      <c r="A6" s="535" t="s">
        <v>145</v>
      </c>
      <c r="B6" s="535"/>
    </row>
    <row r="7" spans="1:6" ht="15" customHeight="1">
      <c r="A7" s="25" t="str">
        <f>'Trial Balance'!A8&amp;"-"&amp;'Trial Balance'!B8</f>
        <v>1005-Cash</v>
      </c>
      <c r="B7" s="345">
        <f>'Trial Balance'!F8</f>
        <v>510963.88</v>
      </c>
      <c r="E7" s="248"/>
      <c r="F7" s="250"/>
    </row>
    <row r="8" spans="1:6" ht="15" customHeight="1">
      <c r="A8" s="25" t="str">
        <f>'Trial Balance'!A9&amp;"-"&amp;'Trial Balance'!B9</f>
        <v>1010-Cash Advances and Working Funds</v>
      </c>
      <c r="B8" s="345">
        <f>'Trial Balance'!F9</f>
        <v>950</v>
      </c>
      <c r="E8" s="248"/>
      <c r="F8" s="250"/>
    </row>
    <row r="9" spans="1:6" ht="15" customHeight="1">
      <c r="A9" s="25" t="str">
        <f>'Trial Balance'!A10&amp;"-"&amp;'Trial Balance'!B10</f>
        <v>1020-Interest Special Deposits</v>
      </c>
      <c r="B9" s="345">
        <f>'Trial Balance'!F10</f>
        <v>0</v>
      </c>
      <c r="E9" s="248"/>
      <c r="F9" s="250"/>
    </row>
    <row r="10" spans="1:6" ht="15" customHeight="1">
      <c r="A10" s="25" t="str">
        <f>'Trial Balance'!A11&amp;"-"&amp;'Trial Balance'!B11</f>
        <v>1030-Dividend Special Deposits</v>
      </c>
      <c r="B10" s="345">
        <f>'Trial Balance'!F11</f>
        <v>0</v>
      </c>
      <c r="E10" s="248"/>
      <c r="F10" s="250"/>
    </row>
    <row r="11" spans="1:6" ht="15" customHeight="1">
      <c r="A11" s="25" t="str">
        <f>'Trial Balance'!A12&amp;"-"&amp;'Trial Balance'!B12</f>
        <v>1040-Other Special Deposits</v>
      </c>
      <c r="B11" s="345">
        <f>'Trial Balance'!F12</f>
        <v>0</v>
      </c>
      <c r="E11" s="248"/>
      <c r="F11" s="250"/>
    </row>
    <row r="12" spans="1:6" ht="15" customHeight="1">
      <c r="A12" s="25" t="str">
        <f>'Trial Balance'!A13&amp;"-"&amp;'Trial Balance'!B13</f>
        <v>1060-Term Deposits</v>
      </c>
      <c r="B12" s="345">
        <f>'Trial Balance'!F13</f>
        <v>8446.88</v>
      </c>
      <c r="E12" s="248"/>
      <c r="F12" s="250"/>
    </row>
    <row r="13" spans="1:6" ht="15" customHeight="1">
      <c r="A13" s="25" t="str">
        <f>'Trial Balance'!A14&amp;"-"&amp;'Trial Balance'!B14</f>
        <v>1070-Current Investments</v>
      </c>
      <c r="B13" s="345">
        <f>'Trial Balance'!F14</f>
        <v>0</v>
      </c>
      <c r="E13" s="248"/>
      <c r="F13" s="250"/>
    </row>
    <row r="14" spans="1:6" ht="15" customHeight="1">
      <c r="A14" s="25" t="str">
        <f>'Trial Balance'!A15&amp;"-"&amp;'Trial Balance'!B15</f>
        <v>1100-Customer Accounts Receivable</v>
      </c>
      <c r="B14" s="345">
        <f>'Trial Balance'!F15</f>
        <v>967238.45</v>
      </c>
      <c r="E14" s="248"/>
      <c r="F14" s="250"/>
    </row>
    <row r="15" spans="1:6" ht="15" customHeight="1">
      <c r="A15" s="25" t="str">
        <f>'Trial Balance'!A16&amp;"-"&amp;'Trial Balance'!B16</f>
        <v>1102-Accounts Receivable - Services</v>
      </c>
      <c r="B15" s="345">
        <f>'Trial Balance'!F16</f>
        <v>83948.93</v>
      </c>
      <c r="E15" s="248"/>
      <c r="F15" s="250"/>
    </row>
    <row r="16" spans="1:6" ht="15" customHeight="1">
      <c r="A16" s="25" t="str">
        <f>'Trial Balance'!A17&amp;"-"&amp;'Trial Balance'!B17</f>
        <v>1104-Accounts Receivable - Recoverable Work</v>
      </c>
      <c r="B16" s="345">
        <f>'Trial Balance'!F17</f>
        <v>0</v>
      </c>
      <c r="E16" s="248"/>
      <c r="F16" s="250"/>
    </row>
    <row r="17" spans="1:6" ht="15" customHeight="1">
      <c r="A17" s="25" t="str">
        <f>'Trial Balance'!A18&amp;"-"&amp;'Trial Balance'!B18</f>
        <v>1105-Accounts Receivable - Merchandise, Jobbing, etc.</v>
      </c>
      <c r="B17" s="345">
        <f>'Trial Balance'!F18</f>
        <v>0</v>
      </c>
      <c r="E17" s="248"/>
      <c r="F17" s="250"/>
    </row>
    <row r="18" spans="1:6" ht="15" customHeight="1">
      <c r="A18" s="25" t="str">
        <f>'Trial Balance'!A19&amp;"-"&amp;'Trial Balance'!B19</f>
        <v>1110-Other Accounts Receivable</v>
      </c>
      <c r="B18" s="345">
        <f>'Trial Balance'!F19</f>
        <v>41419.36</v>
      </c>
      <c r="E18" s="248"/>
      <c r="F18" s="250"/>
    </row>
    <row r="19" spans="1:6" ht="15" customHeight="1">
      <c r="A19" s="25" t="str">
        <f>'Trial Balance'!A20&amp;"-"&amp;'Trial Balance'!B20</f>
        <v>1120-Accrued Utility Revenues</v>
      </c>
      <c r="B19" s="345">
        <f>'Trial Balance'!F20</f>
        <v>1111371</v>
      </c>
      <c r="E19" s="248"/>
      <c r="F19" s="250"/>
    </row>
    <row r="20" spans="1:6" ht="15" customHeight="1">
      <c r="A20" s="25" t="str">
        <f>'Trial Balance'!A21&amp;"-"&amp;'Trial Balance'!B21</f>
        <v>1130-Accumulated Provision for Uncollectable Accounts -- Credit</v>
      </c>
      <c r="B20" s="345">
        <f>'Trial Balance'!F21</f>
        <v>-39270.69</v>
      </c>
      <c r="E20" s="248"/>
      <c r="F20" s="250"/>
    </row>
    <row r="21" spans="1:6" ht="15" customHeight="1">
      <c r="A21" s="25" t="str">
        <f>'Trial Balance'!A22&amp;"-"&amp;'Trial Balance'!B22</f>
        <v>1140-Interest and Dividends Receivable</v>
      </c>
      <c r="B21" s="345">
        <f>'Trial Balance'!F22</f>
        <v>0</v>
      </c>
      <c r="E21" s="248"/>
      <c r="F21" s="250"/>
    </row>
    <row r="22" spans="1:6" ht="15" customHeight="1">
      <c r="A22" s="25" t="str">
        <f>'Trial Balance'!A23&amp;"-"&amp;'Trial Balance'!B23</f>
        <v>1150-Rents Receivable</v>
      </c>
      <c r="B22" s="345">
        <f>'Trial Balance'!F23</f>
        <v>0</v>
      </c>
      <c r="E22" s="248"/>
      <c r="F22" s="250"/>
    </row>
    <row r="23" spans="1:6" ht="15" customHeight="1">
      <c r="A23" s="25" t="str">
        <f>'Trial Balance'!A24&amp;"-"&amp;'Trial Balance'!B24</f>
        <v>1170-Notes Receivable</v>
      </c>
      <c r="B23" s="345">
        <f>'Trial Balance'!F24</f>
        <v>0</v>
      </c>
      <c r="E23" s="248"/>
      <c r="F23" s="250"/>
    </row>
    <row r="24" spans="1:6" ht="15" customHeight="1">
      <c r="A24" s="25" t="str">
        <f>'Trial Balance'!A25&amp;"-"&amp;'Trial Balance'!B25</f>
        <v>1180-Prepayments</v>
      </c>
      <c r="B24" s="345">
        <f>'Trial Balance'!F25</f>
        <v>42844.21</v>
      </c>
      <c r="E24" s="248"/>
      <c r="F24" s="250"/>
    </row>
    <row r="25" spans="1:6" ht="15" customHeight="1">
      <c r="A25" s="25" t="str">
        <f>'Trial Balance'!A26&amp;"-"&amp;'Trial Balance'!B26</f>
        <v>1190-Miscellaneous Current and Accrued Assets</v>
      </c>
      <c r="B25" s="345">
        <f>'Trial Balance'!F26</f>
        <v>0</v>
      </c>
      <c r="E25" s="248"/>
      <c r="F25" s="250"/>
    </row>
    <row r="26" spans="1:6" ht="15" customHeight="1">
      <c r="A26" s="25" t="str">
        <f>'Trial Balance'!A27&amp;"-"&amp;'Trial Balance'!B27</f>
        <v>1200-Accounts Receivable from Associated Companies</v>
      </c>
      <c r="B26" s="345">
        <f>'Trial Balance'!F27</f>
        <v>0</v>
      </c>
      <c r="E26" s="248"/>
      <c r="F26" s="250"/>
    </row>
    <row r="27" spans="1:6" ht="15" customHeight="1" thickBot="1">
      <c r="A27" s="25" t="str">
        <f>'Trial Balance'!A28&amp;"-"&amp;'Trial Balance'!B28</f>
        <v>1210-Notes  Receivable from Associated Companies</v>
      </c>
      <c r="B27" s="345">
        <f>'Trial Balance'!F28</f>
        <v>0</v>
      </c>
      <c r="E27" s="248"/>
      <c r="F27" s="250"/>
    </row>
    <row r="28" spans="1:6" ht="15" customHeight="1" thickBot="1">
      <c r="A28" s="26" t="s">
        <v>146</v>
      </c>
      <c r="B28" s="346">
        <f>SUM(B7:B27)</f>
        <v>2727912.02</v>
      </c>
      <c r="E28" s="248"/>
      <c r="F28" s="250"/>
    </row>
    <row r="29" spans="1:6" s="18" customFormat="1" ht="8.25" customHeight="1">
      <c r="A29" s="536"/>
      <c r="B29" s="536"/>
      <c r="E29" s="248"/>
      <c r="F29" s="250"/>
    </row>
    <row r="30" spans="1:6" s="18" customFormat="1" ht="15" customHeight="1">
      <c r="A30" s="534" t="s">
        <v>147</v>
      </c>
      <c r="B30" s="534"/>
      <c r="E30" s="248"/>
      <c r="F30" s="250"/>
    </row>
    <row r="31" spans="1:6" ht="15" customHeight="1">
      <c r="A31" s="25" t="str">
        <f>'Trial Balance'!A30&amp;"-"&amp;'Trial Balance'!B30</f>
        <v>1305-Fuel Stock</v>
      </c>
      <c r="B31" s="345">
        <f>'Trial Balance'!F30</f>
        <v>0</v>
      </c>
      <c r="E31" s="248"/>
      <c r="F31" s="250"/>
    </row>
    <row r="32" spans="1:6" ht="15" customHeight="1">
      <c r="A32" s="25" t="str">
        <f>'Trial Balance'!A31&amp;"-"&amp;'Trial Balance'!B31</f>
        <v>1330-Plant Materials and Operating Supplies</v>
      </c>
      <c r="B32" s="345">
        <f>'Trial Balance'!F31</f>
        <v>230905.75</v>
      </c>
      <c r="E32" s="248"/>
      <c r="F32" s="250"/>
    </row>
    <row r="33" spans="1:6" ht="15" customHeight="1">
      <c r="A33" s="25" t="str">
        <f>'Trial Balance'!A32&amp;"-"&amp;'Trial Balance'!B32</f>
        <v>1340-Merchandise</v>
      </c>
      <c r="B33" s="345">
        <f>'Trial Balance'!F32</f>
        <v>0</v>
      </c>
      <c r="E33" s="248"/>
      <c r="F33" s="250"/>
    </row>
    <row r="34" spans="1:6" ht="15" customHeight="1" thickBot="1">
      <c r="A34" s="25" t="str">
        <f>'Trial Balance'!A33&amp;"-"&amp;'Trial Balance'!B33</f>
        <v>1350-Other Material and Supplies</v>
      </c>
      <c r="B34" s="345">
        <f>'Trial Balance'!F33</f>
        <v>0</v>
      </c>
      <c r="E34" s="248"/>
      <c r="F34" s="250"/>
    </row>
    <row r="35" spans="1:6" ht="15" customHeight="1" thickBot="1">
      <c r="A35" s="27" t="s">
        <v>101</v>
      </c>
      <c r="B35" s="346">
        <f>SUM(B31:B34)</f>
        <v>230905.75</v>
      </c>
      <c r="E35" s="248"/>
      <c r="F35" s="250"/>
    </row>
    <row r="36" spans="1:6" s="18" customFormat="1" ht="15" customHeight="1">
      <c r="A36" s="22"/>
      <c r="B36" s="347"/>
      <c r="E36" s="248"/>
      <c r="F36" s="250"/>
    </row>
    <row r="37" spans="1:6" s="18" customFormat="1" ht="15" customHeight="1">
      <c r="A37" s="534" t="s">
        <v>102</v>
      </c>
      <c r="B37" s="534"/>
      <c r="E37" s="248"/>
      <c r="F37" s="250"/>
    </row>
    <row r="38" spans="1:6" ht="15" customHeight="1">
      <c r="A38" s="25" t="str">
        <f>'Trial Balance'!A35&amp;"-"&amp;'Trial Balance'!B35</f>
        <v>1405-Long Term Investments in Non-Associated Companies</v>
      </c>
      <c r="B38" s="345">
        <f>'Trial Balance'!F35</f>
        <v>0</v>
      </c>
      <c r="E38" s="248"/>
      <c r="F38" s="250"/>
    </row>
    <row r="39" spans="1:6" ht="15" customHeight="1">
      <c r="A39" s="25" t="str">
        <f>'Trial Balance'!A36&amp;"-"&amp;'Trial Balance'!B36</f>
        <v>1408-Long Term Receivable - Street Lighting Transfer</v>
      </c>
      <c r="B39" s="345">
        <f>'Trial Balance'!F36</f>
        <v>0</v>
      </c>
      <c r="E39" s="248"/>
      <c r="F39" s="250"/>
    </row>
    <row r="40" spans="1:6" ht="15" customHeight="1">
      <c r="A40" s="25" t="str">
        <f>'Trial Balance'!A37&amp;"-"&amp;'Trial Balance'!B37</f>
        <v>1410-Other Special or Collateral Funds</v>
      </c>
      <c r="B40" s="345">
        <f>'Trial Balance'!F37</f>
        <v>0</v>
      </c>
      <c r="E40" s="248"/>
      <c r="F40" s="250"/>
    </row>
    <row r="41" spans="1:6" ht="15" customHeight="1">
      <c r="A41" s="25" t="str">
        <f>'Trial Balance'!A38&amp;"-"&amp;'Trial Balance'!B38</f>
        <v>1415-Sinking Funds</v>
      </c>
      <c r="B41" s="345">
        <f>'Trial Balance'!F38</f>
        <v>0</v>
      </c>
      <c r="E41" s="248"/>
      <c r="F41" s="250"/>
    </row>
    <row r="42" spans="1:6" ht="15" customHeight="1">
      <c r="A42" s="25" t="str">
        <f>'Trial Balance'!A39&amp;"-"&amp;'Trial Balance'!B39</f>
        <v>1425-Unamortized Debt Expense</v>
      </c>
      <c r="B42" s="345">
        <f>'Trial Balance'!F39</f>
        <v>0</v>
      </c>
      <c r="E42" s="248"/>
      <c r="F42" s="250"/>
    </row>
    <row r="43" spans="1:6" ht="15" customHeight="1">
      <c r="A43" s="25" t="str">
        <f>'Trial Balance'!A40&amp;"-"&amp;'Trial Balance'!B40</f>
        <v>1445-Unamortized Discount on Long-Term Debt--Debit</v>
      </c>
      <c r="B43" s="345">
        <f>'Trial Balance'!F40</f>
        <v>0</v>
      </c>
      <c r="E43" s="248"/>
      <c r="F43" s="250"/>
    </row>
    <row r="44" spans="1:6" ht="15" customHeight="1">
      <c r="A44" s="25" t="str">
        <f>'Trial Balance'!A41&amp;"-"&amp;'Trial Balance'!B41</f>
        <v>1455-Unamortized Deferred Foreign Currency Translation Gains and Losses</v>
      </c>
      <c r="B44" s="345">
        <f>'Trial Balance'!F41</f>
        <v>0</v>
      </c>
      <c r="E44" s="248"/>
      <c r="F44" s="250"/>
    </row>
    <row r="45" spans="1:6" ht="15" customHeight="1">
      <c r="A45" s="25" t="str">
        <f>'Trial Balance'!A42&amp;"-"&amp;'Trial Balance'!B42</f>
        <v>1460-Other Non-Current Assets</v>
      </c>
      <c r="B45" s="345">
        <f>'Trial Balance'!F42</f>
        <v>0</v>
      </c>
      <c r="E45" s="248"/>
      <c r="F45" s="250"/>
    </row>
    <row r="46" spans="1:6" ht="15" customHeight="1">
      <c r="A46" s="25" t="str">
        <f>'Trial Balance'!A43&amp;"-"&amp;'Trial Balance'!B43</f>
        <v>1465-O.M.E.R.S. Past Service Costs</v>
      </c>
      <c r="B46" s="345">
        <f>'Trial Balance'!F43</f>
        <v>0</v>
      </c>
      <c r="E46" s="248"/>
      <c r="F46" s="250"/>
    </row>
    <row r="47" spans="1:6" ht="15" customHeight="1">
      <c r="A47" s="25" t="str">
        <f>'Trial Balance'!A44&amp;"-"&amp;'Trial Balance'!B44</f>
        <v>1470-Past Service Costs - Employee Future Benefits</v>
      </c>
      <c r="B47" s="345">
        <f>'Trial Balance'!F44</f>
        <v>0</v>
      </c>
      <c r="E47" s="248"/>
      <c r="F47" s="250"/>
    </row>
    <row r="48" spans="1:6" ht="15" customHeight="1">
      <c r="A48" s="25" t="str">
        <f>'Trial Balance'!A45&amp;"-"&amp;'Trial Balance'!B45</f>
        <v>1475-Past Service Costs -Other Pension Plans</v>
      </c>
      <c r="B48" s="345">
        <f>'Trial Balance'!F45</f>
        <v>0</v>
      </c>
      <c r="E48" s="248"/>
      <c r="F48" s="250"/>
    </row>
    <row r="49" spans="1:6" ht="15" customHeight="1">
      <c r="A49" s="25" t="str">
        <f>'Trial Balance'!A46&amp;"-"&amp;'Trial Balance'!B46</f>
        <v>1480-Portfolio Investments - Associated Companies</v>
      </c>
      <c r="B49" s="345">
        <f>'Trial Balance'!F46</f>
        <v>0</v>
      </c>
      <c r="E49" s="248"/>
      <c r="F49" s="250"/>
    </row>
    <row r="50" spans="1:6" ht="15" customHeight="1">
      <c r="A50" s="25" t="str">
        <f>'Trial Balance'!A47&amp;"-"&amp;'Trial Balance'!B47</f>
        <v>1485-Investment In Subsidiary Companies - Significant Influence</v>
      </c>
      <c r="B50" s="345">
        <f>'Trial Balance'!F47</f>
        <v>0</v>
      </c>
      <c r="E50" s="248"/>
      <c r="F50" s="250"/>
    </row>
    <row r="51" spans="1:6" ht="15" customHeight="1" thickBot="1">
      <c r="A51" s="25" t="str">
        <f>'Trial Balance'!A48&amp;"-"&amp;'Trial Balance'!B48</f>
        <v>1490-Investment in Subsidiary Companies</v>
      </c>
      <c r="B51" s="345">
        <f>'Trial Balance'!F48</f>
        <v>0</v>
      </c>
      <c r="E51" s="248"/>
      <c r="F51" s="250"/>
    </row>
    <row r="52" spans="1:6" ht="15" customHeight="1" thickBot="1">
      <c r="A52" s="27" t="s">
        <v>103</v>
      </c>
      <c r="B52" s="346">
        <f>SUM(B38:B51)</f>
        <v>0</v>
      </c>
      <c r="E52" s="248"/>
      <c r="F52" s="250"/>
    </row>
    <row r="53" spans="1:6" s="18" customFormat="1" ht="15" customHeight="1">
      <c r="A53" s="22"/>
      <c r="B53" s="347"/>
      <c r="E53" s="248"/>
      <c r="F53" s="250"/>
    </row>
    <row r="54" spans="1:6" s="18" customFormat="1" ht="15" customHeight="1">
      <c r="A54" s="534" t="s">
        <v>104</v>
      </c>
      <c r="B54" s="534"/>
      <c r="E54" s="248"/>
      <c r="F54" s="250"/>
    </row>
    <row r="55" spans="1:6" ht="15" customHeight="1">
      <c r="A55" s="25" t="str">
        <f>'Trial Balance'!A50&amp;"-"&amp;'Trial Balance'!B50</f>
        <v>1505-Unrecovered Plant and Regulatory Study Costs</v>
      </c>
      <c r="B55" s="345">
        <f>'Trial Balance'!F50</f>
        <v>0</v>
      </c>
      <c r="E55" s="248"/>
      <c r="F55" s="250"/>
    </row>
    <row r="56" spans="1:6" ht="15" customHeight="1">
      <c r="A56" s="25" t="str">
        <f>'Trial Balance'!A51&amp;"-"&amp;'Trial Balance'!B51</f>
        <v>1508-Other Regulatory Assets</v>
      </c>
      <c r="B56" s="345">
        <f>'Trial Balance'!F51</f>
        <v>9653.66</v>
      </c>
      <c r="E56" s="248"/>
      <c r="F56" s="250"/>
    </row>
    <row r="57" spans="1:6" ht="15" customHeight="1">
      <c r="A57" s="25" t="str">
        <f>'Trial Balance'!A52&amp;"-"&amp;'Trial Balance'!B52</f>
        <v>1510-Preliminary Survey and Investigation Charges</v>
      </c>
      <c r="B57" s="345">
        <f>'Trial Balance'!F52</f>
        <v>0</v>
      </c>
      <c r="E57" s="248"/>
      <c r="F57" s="250"/>
    </row>
    <row r="58" spans="1:6" ht="15" customHeight="1">
      <c r="A58" s="25" t="str">
        <f>'Trial Balance'!A53&amp;"-"&amp;'Trial Balance'!B53</f>
        <v>1515-Emission Allowance Inventory</v>
      </c>
      <c r="B58" s="345">
        <f>'Trial Balance'!F53</f>
        <v>0</v>
      </c>
      <c r="E58" s="248"/>
      <c r="F58" s="250"/>
    </row>
    <row r="59" spans="1:6" ht="15" customHeight="1">
      <c r="A59" s="25" t="str">
        <f>'Trial Balance'!A54&amp;"-"&amp;'Trial Balance'!B54</f>
        <v>1516-Emission Allowance Withheld</v>
      </c>
      <c r="B59" s="345">
        <f>'Trial Balance'!F54</f>
        <v>0</v>
      </c>
      <c r="E59" s="248"/>
      <c r="F59" s="250"/>
    </row>
    <row r="60" spans="1:6" ht="15" customHeight="1">
      <c r="A60" s="25" t="str">
        <f>'Trial Balance'!A55&amp;"-"&amp;'Trial Balance'!B55</f>
        <v>1518-RCVA Retail</v>
      </c>
      <c r="B60" s="345">
        <f>'Trial Balance'!F55</f>
        <v>4013.05</v>
      </c>
      <c r="E60" s="248"/>
      <c r="F60" s="250"/>
    </row>
    <row r="61" spans="1:6" ht="15" customHeight="1">
      <c r="A61" s="25" t="str">
        <f>'Trial Balance'!A57&amp;"-"&amp;'Trial Balance'!B57</f>
        <v>1525-Miscellaneous Deferred Debits</v>
      </c>
      <c r="B61" s="345">
        <f>'Trial Balance'!F57</f>
        <v>0</v>
      </c>
      <c r="E61" s="248"/>
      <c r="F61" s="250"/>
    </row>
    <row r="62" spans="1:6" ht="15" customHeight="1">
      <c r="A62" s="25" t="str">
        <f>'Trial Balance'!A58&amp;"-"&amp;'Trial Balance'!B58</f>
        <v>1530-Deferred Losses from Disposition of Utility Plant</v>
      </c>
      <c r="B62" s="345">
        <f>'Trial Balance'!F58</f>
        <v>0</v>
      </c>
      <c r="E62" s="248"/>
      <c r="F62" s="250"/>
    </row>
    <row r="63" spans="1:6" ht="15" customHeight="1">
      <c r="A63" s="25" t="str">
        <f>'Trial Balance'!A59&amp;"-"&amp;'Trial Balance'!B59</f>
        <v>1540-Deferred Losses from Disposition of Utility Plant</v>
      </c>
      <c r="B63" s="345">
        <f>'Trial Balance'!F59</f>
        <v>0</v>
      </c>
      <c r="E63" s="248"/>
      <c r="F63" s="250"/>
    </row>
    <row r="64" spans="1:6" ht="15" customHeight="1">
      <c r="A64" s="25" t="str">
        <f>'Trial Balance'!A60&amp;"-"&amp;'Trial Balance'!B60</f>
        <v>1545-Development Charge Deposits/ Receivables</v>
      </c>
      <c r="B64" s="345">
        <f>'Trial Balance'!F60</f>
        <v>0</v>
      </c>
      <c r="E64" s="248"/>
      <c r="F64" s="250"/>
    </row>
    <row r="65" spans="1:6" ht="15" customHeight="1">
      <c r="A65" s="25" t="str">
        <f>'Trial Balance'!A61&amp;"-"&amp;'Trial Balance'!B61</f>
        <v>1548-RCVA - Service Transaction Request (STR)</v>
      </c>
      <c r="B65" s="345">
        <f>'Trial Balance'!F61</f>
        <v>70571.63</v>
      </c>
      <c r="E65" s="248"/>
      <c r="F65" s="250"/>
    </row>
    <row r="66" spans="1:6" ht="15" customHeight="1">
      <c r="A66" s="25" t="str">
        <f>'Trial Balance'!A62&amp;"-"&amp;'Trial Balance'!B62</f>
        <v>1550-LV Charges - Variance</v>
      </c>
      <c r="B66" s="345">
        <f>'Trial Balance'!F62</f>
        <v>81900.28</v>
      </c>
      <c r="E66" s="248"/>
      <c r="F66" s="250"/>
    </row>
    <row r="67" spans="1:6" ht="15" customHeight="1">
      <c r="A67" s="25" t="str">
        <f>'Trial Balance'!A63&amp;"-"&amp;'Trial Balance'!B63</f>
        <v>1555-Smart Meters Recovery</v>
      </c>
      <c r="B67" s="345">
        <f>'Trial Balance'!F63</f>
        <v>818653.49</v>
      </c>
      <c r="E67" s="248"/>
      <c r="F67" s="250"/>
    </row>
    <row r="68" spans="1:6" ht="15" customHeight="1">
      <c r="A68" s="25" t="str">
        <f>'Trial Balance'!A64&amp;"-"&amp;'Trial Balance'!B64</f>
        <v>1556-Smart Meters OM &amp; A</v>
      </c>
      <c r="B68" s="345">
        <f>'Trial Balance'!F64</f>
        <v>874.65</v>
      </c>
      <c r="E68" s="248"/>
      <c r="F68" s="250"/>
    </row>
    <row r="69" spans="1:6" ht="15" customHeight="1">
      <c r="A69" s="25" t="str">
        <f>'Trial Balance'!A65&amp;"-"&amp;'Trial Balance'!B65</f>
        <v>1562-Deferred PILs</v>
      </c>
      <c r="B69" s="345">
        <f>'Trial Balance'!F65</f>
        <v>39394.94</v>
      </c>
      <c r="E69" s="248"/>
      <c r="F69" s="250"/>
    </row>
    <row r="70" spans="1:6" ht="15" customHeight="1">
      <c r="A70" s="25" t="str">
        <f>'Trial Balance'!A66&amp;"-"&amp;'Trial Balance'!B66</f>
        <v>1563-Deferred PILs - Contra</v>
      </c>
      <c r="B70" s="345">
        <f>'Trial Balance'!F66</f>
        <v>-39394.94</v>
      </c>
      <c r="E70" s="248"/>
      <c r="F70" s="250"/>
    </row>
    <row r="71" spans="1:6" ht="15" customHeight="1">
      <c r="A71" s="25" t="str">
        <f>'Trial Balance'!A67&amp;"-"&amp;'Trial Balance'!B67</f>
        <v>1565-C &amp; DM Costs</v>
      </c>
      <c r="B71" s="345">
        <f>'Trial Balance'!F67</f>
        <v>0</v>
      </c>
      <c r="E71" s="248"/>
      <c r="F71" s="250"/>
    </row>
    <row r="72" spans="1:6" ht="15" customHeight="1">
      <c r="A72" s="25" t="str">
        <f>'Trial Balance'!A68&amp;"-"&amp;'Trial Balance'!B68</f>
        <v>1566-C &amp; DM Costs Contra - SM Costs to Fixed Assets</v>
      </c>
      <c r="B72" s="345">
        <f>'Trial Balance'!F68</f>
        <v>0</v>
      </c>
      <c r="E72" s="248"/>
      <c r="F72" s="250"/>
    </row>
    <row r="73" spans="1:6" ht="15" customHeight="1">
      <c r="A73" s="25" t="str">
        <f>'Trial Balance'!A69&amp;"-"&amp;'Trial Balance'!B69</f>
        <v>1570-Qualifying Transition Costs</v>
      </c>
      <c r="B73" s="345">
        <f>'Trial Balance'!F69</f>
        <v>0</v>
      </c>
      <c r="E73" s="248"/>
      <c r="F73" s="250"/>
    </row>
    <row r="74" spans="1:6" ht="15" customHeight="1">
      <c r="A74" s="25" t="str">
        <f>'Trial Balance'!A70&amp;"-"&amp;'Trial Balance'!B70</f>
        <v>1571-Pre Market CofP Variance</v>
      </c>
      <c r="B74" s="345">
        <f>'Trial Balance'!F70</f>
        <v>0</v>
      </c>
      <c r="E74" s="248"/>
      <c r="F74" s="250"/>
    </row>
    <row r="75" spans="1:6" ht="15" customHeight="1">
      <c r="A75" s="25" t="str">
        <f>'Trial Balance'!A71&amp;"-"&amp;'Trial Balance'!B71</f>
        <v>1572-Extraordinary Event Losses</v>
      </c>
      <c r="B75" s="345">
        <f>'Trial Balance'!F71</f>
        <v>0</v>
      </c>
      <c r="E75" s="248"/>
      <c r="F75" s="250"/>
    </row>
    <row r="76" spans="1:6" ht="15" customHeight="1">
      <c r="A76" s="25" t="str">
        <f>'Trial Balance'!A72&amp;"-"&amp;'Trial Balance'!B72</f>
        <v>1574-Deferred Rate Impact Amounts</v>
      </c>
      <c r="B76" s="345">
        <f>'Trial Balance'!F72</f>
        <v>0</v>
      </c>
      <c r="E76" s="248"/>
      <c r="F76" s="250"/>
    </row>
    <row r="77" spans="1:6" ht="15" customHeight="1">
      <c r="A77" s="25" t="str">
        <f>'Trial Balance'!A73&amp;"-"&amp;'Trial Balance'!B73</f>
        <v>1580-RSVA - Wholesale Market Services</v>
      </c>
      <c r="B77" s="345">
        <f>'Trial Balance'!F73</f>
        <v>-285935.54</v>
      </c>
      <c r="E77" s="248"/>
      <c r="F77" s="250"/>
    </row>
    <row r="78" spans="1:6" ht="15" customHeight="1">
      <c r="A78" s="25" t="str">
        <f>'Trial Balance'!A74&amp;"-"&amp;'Trial Balance'!B74</f>
        <v>1582-RSVA - One-Time</v>
      </c>
      <c r="B78" s="345">
        <f>'Trial Balance'!F74</f>
        <v>7450.84</v>
      </c>
      <c r="E78" s="248"/>
      <c r="F78" s="250"/>
    </row>
    <row r="79" spans="1:6" ht="15" customHeight="1">
      <c r="A79" s="25" t="str">
        <f>'Trial Balance'!A75&amp;"-"&amp;'Trial Balance'!B75</f>
        <v>1584-RSVA - Network Charges</v>
      </c>
      <c r="B79" s="345">
        <f>'Trial Balance'!F75</f>
        <v>-184906.14</v>
      </c>
      <c r="E79" s="248"/>
      <c r="F79" s="250"/>
    </row>
    <row r="80" spans="1:6" ht="15" customHeight="1">
      <c r="A80" s="25" t="str">
        <f>'Trial Balance'!A76&amp;"-"&amp;'Trial Balance'!B76</f>
        <v>1586-RSVA - Connection Charges</v>
      </c>
      <c r="B80" s="345">
        <f>'Trial Balance'!F76</f>
        <v>-191841.95</v>
      </c>
      <c r="E80" s="248"/>
      <c r="F80" s="250"/>
    </row>
    <row r="81" spans="1:6" ht="15" customHeight="1">
      <c r="A81" s="25" t="str">
        <f>'Trial Balance'!A77&amp;"-"&amp;'Trial Balance'!B77</f>
        <v>1588-RSVA - Commodity (Power)</v>
      </c>
      <c r="B81" s="345">
        <f>'Trial Balance'!F77</f>
        <v>908940.52</v>
      </c>
      <c r="E81" s="248"/>
      <c r="F81" s="250"/>
    </row>
    <row r="82" spans="1:6" ht="15" customHeight="1">
      <c r="A82" s="25" t="str">
        <f>'Trial Balance'!A78&amp;"-"&amp;'Trial Balance'!B78</f>
        <v>1590-Recovery of Regulatory Assets (25% of 2002 bal.)</v>
      </c>
      <c r="B82" s="345">
        <f>'Trial Balance'!F78</f>
        <v>-90146.39</v>
      </c>
      <c r="E82" s="248"/>
      <c r="F82" s="250"/>
    </row>
    <row r="83" spans="1:6" ht="15" customHeight="1">
      <c r="A83" s="25" t="str">
        <f>'Trial Balance'!A79&amp;"-"&amp;'Trial Balance'!B79</f>
        <v>1592-PILs and Tax Variance for 2006 &amp; Subsequent Years</v>
      </c>
      <c r="B83" s="345">
        <f>'Trial Balance'!F79</f>
        <v>0</v>
      </c>
      <c r="E83" s="248"/>
      <c r="F83" s="250"/>
    </row>
    <row r="84" spans="1:6" ht="15" customHeight="1" thickBot="1">
      <c r="A84" s="25" t="str">
        <f>'Trial Balance'!A80&amp;"-"&amp;'Trial Balance'!B80</f>
        <v>1595-Disposition and Recovery of Regulatory Balances</v>
      </c>
      <c r="B84" s="345">
        <f>'Trial Balance'!F80</f>
        <v>16671.46</v>
      </c>
      <c r="E84" s="248"/>
      <c r="F84" s="250"/>
    </row>
    <row r="85" spans="1:6" ht="15" customHeight="1" thickBot="1">
      <c r="A85" s="27" t="s">
        <v>151</v>
      </c>
      <c r="B85" s="346">
        <f>SUM(B55:B84)</f>
        <v>1165899.56</v>
      </c>
      <c r="E85" s="248"/>
      <c r="F85" s="250"/>
    </row>
    <row r="86" spans="1:6" s="18" customFormat="1" ht="15" customHeight="1">
      <c r="A86" s="22"/>
      <c r="B86" s="347"/>
      <c r="E86" s="248"/>
      <c r="F86" s="250"/>
    </row>
    <row r="87" spans="1:6" s="18" customFormat="1" ht="15" customHeight="1">
      <c r="A87" s="534" t="s">
        <v>152</v>
      </c>
      <c r="B87" s="534"/>
      <c r="E87" s="248"/>
      <c r="F87" s="250"/>
    </row>
    <row r="88" spans="1:6" ht="15" customHeight="1">
      <c r="A88" s="25" t="str">
        <f>'Trial Balance'!A82&amp;"-"&amp;'Trial Balance'!B82</f>
        <v>1610-Intangible Assets</v>
      </c>
      <c r="B88" s="345">
        <f>'Trial Balance'!F82</f>
        <v>0</v>
      </c>
      <c r="E88" s="248"/>
      <c r="F88" s="250"/>
    </row>
    <row r="89" spans="1:6" ht="15" customHeight="1">
      <c r="A89" s="25" t="str">
        <f>'Trial Balance'!A83&amp;"-"&amp;'Trial Balance'!B83</f>
        <v>1805-Land</v>
      </c>
      <c r="B89" s="345">
        <f>'Trial Balance'!F83</f>
        <v>84205.25</v>
      </c>
      <c r="E89" s="248"/>
      <c r="F89" s="250"/>
    </row>
    <row r="90" spans="1:6" ht="15" customHeight="1">
      <c r="A90" s="25" t="str">
        <f>'Trial Balance'!A84&amp;"-"&amp;'Trial Balance'!B84</f>
        <v>1806-Land Rights</v>
      </c>
      <c r="B90" s="345">
        <f>'Trial Balance'!F84</f>
        <v>0</v>
      </c>
      <c r="E90" s="248"/>
      <c r="F90" s="250"/>
    </row>
    <row r="91" spans="1:6" ht="15" customHeight="1">
      <c r="A91" s="25" t="str">
        <f>'Trial Balance'!A85&amp;"-"&amp;'Trial Balance'!B85</f>
        <v>1808-Buildings and Fixtures</v>
      </c>
      <c r="B91" s="345">
        <f>'Trial Balance'!F85</f>
        <v>82287.41</v>
      </c>
      <c r="E91" s="248"/>
      <c r="F91" s="250"/>
    </row>
    <row r="92" spans="1:6" ht="15" customHeight="1">
      <c r="A92" s="25" t="str">
        <f>'Trial Balance'!A86&amp;"-"&amp;'Trial Balance'!B86</f>
        <v>1810-Leasehold Improvements</v>
      </c>
      <c r="B92" s="345">
        <f>'Trial Balance'!F86</f>
        <v>0</v>
      </c>
      <c r="E92" s="248"/>
      <c r="F92" s="250"/>
    </row>
    <row r="93" spans="1:6" ht="15" customHeight="1">
      <c r="A93" s="25" t="str">
        <f>'Trial Balance'!A87&amp;"-"&amp;'Trial Balance'!B87</f>
        <v>1815-Transformer Station Equipment - Normally Primary above 50 kV</v>
      </c>
      <c r="B93" s="345">
        <f>'Trial Balance'!F87</f>
        <v>0</v>
      </c>
      <c r="E93" s="248"/>
      <c r="F93" s="250"/>
    </row>
    <row r="94" spans="1:6" ht="15" customHeight="1">
      <c r="A94" s="25" t="str">
        <f>'Trial Balance'!A88&amp;"-"&amp;'Trial Balance'!B88</f>
        <v>1820-Distribution Station Equipment - Normally Primary below 50 kV</v>
      </c>
      <c r="B94" s="345">
        <f>'Trial Balance'!F88</f>
        <v>663460.76</v>
      </c>
      <c r="E94" s="248"/>
      <c r="F94" s="250"/>
    </row>
    <row r="95" spans="1:6" ht="15" customHeight="1">
      <c r="A95" s="25" t="str">
        <f>'Trial Balance'!A89&amp;"-"&amp;'Trial Balance'!B89</f>
        <v>1825-Storage Battery Equipment</v>
      </c>
      <c r="B95" s="345">
        <f>'Trial Balance'!F89</f>
        <v>0</v>
      </c>
      <c r="E95" s="248"/>
      <c r="F95" s="250"/>
    </row>
    <row r="96" spans="1:6" ht="15" customHeight="1">
      <c r="A96" s="25" t="str">
        <f>'Trial Balance'!A90&amp;"-"&amp;'Trial Balance'!B90</f>
        <v>1830-Poles, Towers and Fixtures</v>
      </c>
      <c r="B96" s="345">
        <f>'Trial Balance'!F90</f>
        <v>427683.87</v>
      </c>
      <c r="E96" s="248"/>
      <c r="F96" s="250"/>
    </row>
    <row r="97" spans="1:6" ht="15" customHeight="1">
      <c r="A97" s="25" t="str">
        <f>'Trial Balance'!A91&amp;"-"&amp;'Trial Balance'!B91</f>
        <v>1835-Overhead Conductors and Devices</v>
      </c>
      <c r="B97" s="345">
        <f>'Trial Balance'!F91</f>
        <v>1744679.51</v>
      </c>
      <c r="E97" s="248"/>
      <c r="F97" s="250"/>
    </row>
    <row r="98" spans="1:6" ht="15" customHeight="1">
      <c r="A98" s="25" t="str">
        <f>'Trial Balance'!A92&amp;"-"&amp;'Trial Balance'!B92</f>
        <v>1840-Underground Conduit</v>
      </c>
      <c r="B98" s="345">
        <f>'Trial Balance'!F92</f>
        <v>463826.49000000005</v>
      </c>
      <c r="E98" s="248"/>
      <c r="F98" s="250"/>
    </row>
    <row r="99" spans="1:6" ht="15" customHeight="1">
      <c r="A99" s="25" t="str">
        <f>'Trial Balance'!A93&amp;"-"&amp;'Trial Balance'!B93</f>
        <v>1845-Underground Conductors and Devices</v>
      </c>
      <c r="B99" s="345">
        <f>'Trial Balance'!F93</f>
        <v>351173.88000000006</v>
      </c>
      <c r="E99" s="248"/>
      <c r="F99" s="250"/>
    </row>
    <row r="100" spans="1:6" ht="15" customHeight="1">
      <c r="A100" s="25" t="str">
        <f>'Trial Balance'!A94&amp;"-"&amp;'Trial Balance'!B94</f>
        <v>1850-Line Transformers</v>
      </c>
      <c r="B100" s="345">
        <f>'Trial Balance'!F94</f>
        <v>946852.4400000001</v>
      </c>
      <c r="E100" s="248"/>
      <c r="F100" s="250"/>
    </row>
    <row r="101" spans="1:6" ht="15" customHeight="1">
      <c r="A101" s="25" t="str">
        <f>'Trial Balance'!A95&amp;"-"&amp;'Trial Balance'!B95</f>
        <v>1855-Services</v>
      </c>
      <c r="B101" s="345">
        <f>'Trial Balance'!F95</f>
        <v>244897.81999999998</v>
      </c>
      <c r="E101" s="248"/>
      <c r="F101" s="250"/>
    </row>
    <row r="102" spans="1:6" ht="15" customHeight="1">
      <c r="A102" s="25" t="str">
        <f>'Trial Balance'!A96&amp;"-"&amp;'Trial Balance'!B96</f>
        <v>1860-Meters</v>
      </c>
      <c r="B102" s="345">
        <f>'Trial Balance'!F96</f>
        <v>412858.02</v>
      </c>
      <c r="E102" s="248"/>
      <c r="F102" s="250"/>
    </row>
    <row r="103" spans="1:6" ht="15" customHeight="1" thickBot="1">
      <c r="A103" s="25" t="str">
        <f>'Trial Balance'!A97&amp;"-"&amp;'Trial Balance'!B97</f>
        <v>1865-Other Installations on Customer's Premises</v>
      </c>
      <c r="B103" s="345">
        <f>'Trial Balance'!F97</f>
        <v>0</v>
      </c>
      <c r="E103" s="248"/>
      <c r="F103" s="250"/>
    </row>
    <row r="104" spans="1:6" ht="15" customHeight="1" thickBot="1">
      <c r="A104" s="28" t="s">
        <v>80</v>
      </c>
      <c r="B104" s="346">
        <f>SUM(B88:B103)</f>
        <v>5421925.450000001</v>
      </c>
      <c r="E104" s="248"/>
      <c r="F104" s="250"/>
    </row>
    <row r="105" spans="1:6" s="18" customFormat="1" ht="15" customHeight="1">
      <c r="A105" s="21"/>
      <c r="B105" s="347"/>
      <c r="E105" s="248"/>
      <c r="F105" s="250"/>
    </row>
    <row r="106" spans="1:6" s="18" customFormat="1" ht="15" customHeight="1">
      <c r="A106" s="534" t="s">
        <v>81</v>
      </c>
      <c r="B106" s="534"/>
      <c r="E106" s="248"/>
      <c r="F106" s="250"/>
    </row>
    <row r="107" spans="1:6" ht="15" customHeight="1">
      <c r="A107" s="25" t="str">
        <f>'Trial Balance'!A98&amp;"-"&amp;'Trial Balance'!B98</f>
        <v>1905-Land</v>
      </c>
      <c r="B107" s="345">
        <f>'Trial Balance'!F98</f>
        <v>0</v>
      </c>
      <c r="E107" s="248"/>
      <c r="F107" s="250"/>
    </row>
    <row r="108" spans="1:6" ht="15" customHeight="1">
      <c r="A108" s="25" t="str">
        <f>'Trial Balance'!A99&amp;"-"&amp;'Trial Balance'!B99</f>
        <v>1906-Land Rights</v>
      </c>
      <c r="B108" s="345">
        <f>'Trial Balance'!F99</f>
        <v>0</v>
      </c>
      <c r="E108" s="248"/>
      <c r="F108" s="250"/>
    </row>
    <row r="109" spans="1:6" ht="15" customHeight="1">
      <c r="A109" s="25" t="str">
        <f>'Trial Balance'!A100&amp;"-"&amp;'Trial Balance'!B100</f>
        <v>1908-Buildings and Fixtures</v>
      </c>
      <c r="B109" s="345">
        <f>'Trial Balance'!F100</f>
        <v>0</v>
      </c>
      <c r="E109" s="248"/>
      <c r="F109" s="250"/>
    </row>
    <row r="110" spans="1:6" ht="15" customHeight="1">
      <c r="A110" s="25" t="str">
        <f>'Trial Balance'!A101&amp;"-"&amp;'Trial Balance'!B101</f>
        <v>1910-Leasehold Improvements</v>
      </c>
      <c r="B110" s="345">
        <f>'Trial Balance'!F101</f>
        <v>8796.45</v>
      </c>
      <c r="E110" s="248"/>
      <c r="F110" s="250"/>
    </row>
    <row r="111" spans="1:6" ht="15" customHeight="1">
      <c r="A111" s="25" t="str">
        <f>'Trial Balance'!A102&amp;"-"&amp;'Trial Balance'!B102</f>
        <v>1915-Office Furniture and Equipment</v>
      </c>
      <c r="B111" s="345">
        <f>'Trial Balance'!F102</f>
        <v>0</v>
      </c>
      <c r="E111" s="248"/>
      <c r="F111" s="250"/>
    </row>
    <row r="112" spans="1:6" ht="15" customHeight="1">
      <c r="A112" s="25" t="str">
        <f>'Trial Balance'!A103&amp;"-"&amp;'Trial Balance'!B103</f>
        <v>1920-Computer Equipment - Hardware</v>
      </c>
      <c r="B112" s="345">
        <f>'Trial Balance'!F103</f>
        <v>151382.71999999997</v>
      </c>
      <c r="E112" s="248"/>
      <c r="F112" s="250"/>
    </row>
    <row r="113" spans="1:6" ht="15" customHeight="1">
      <c r="A113" s="25" t="str">
        <f>'Trial Balance'!A104&amp;"-"&amp;'Trial Balance'!B104</f>
        <v>1925-Computer Software</v>
      </c>
      <c r="B113" s="345">
        <f>'Trial Balance'!F104</f>
        <v>119602.53</v>
      </c>
      <c r="E113" s="248"/>
      <c r="F113" s="250"/>
    </row>
    <row r="114" spans="1:6" ht="15" customHeight="1">
      <c r="A114" s="25" t="str">
        <f>'Trial Balance'!A105&amp;"-"&amp;'Trial Balance'!B105</f>
        <v>1930-Transportation Equipment</v>
      </c>
      <c r="B114" s="345">
        <f>'Trial Balance'!F105</f>
        <v>289160.77999999997</v>
      </c>
      <c r="E114" s="248"/>
      <c r="F114" s="250"/>
    </row>
    <row r="115" spans="1:6" ht="15" customHeight="1">
      <c r="A115" s="25" t="str">
        <f>'Trial Balance'!A106&amp;"-"&amp;'Trial Balance'!B106</f>
        <v>1935-Stores Equipment</v>
      </c>
      <c r="B115" s="345">
        <f>'Trial Balance'!F106</f>
        <v>0</v>
      </c>
      <c r="E115" s="248"/>
      <c r="F115" s="250"/>
    </row>
    <row r="116" spans="1:6" ht="15" customHeight="1">
      <c r="A116" s="25" t="str">
        <f>'Trial Balance'!A107&amp;"-"&amp;'Trial Balance'!B107</f>
        <v>1940-Tools, Shop and Garage Equipment</v>
      </c>
      <c r="B116" s="345">
        <f>'Trial Balance'!F107</f>
        <v>129208.53</v>
      </c>
      <c r="E116" s="248"/>
      <c r="F116" s="250"/>
    </row>
    <row r="117" spans="1:6" ht="15" customHeight="1">
      <c r="A117" s="25" t="str">
        <f>'Trial Balance'!A108&amp;"-"&amp;'Trial Balance'!B108</f>
        <v>1945-Measurement and Testing Equipment</v>
      </c>
      <c r="B117" s="345">
        <f>'Trial Balance'!F108</f>
        <v>0</v>
      </c>
      <c r="E117" s="248"/>
      <c r="F117" s="250"/>
    </row>
    <row r="118" spans="1:6" ht="15" customHeight="1">
      <c r="A118" s="25" t="str">
        <f>'Trial Balance'!A109&amp;"-"&amp;'Trial Balance'!B109</f>
        <v>1950-Power Operated Equipment</v>
      </c>
      <c r="B118" s="345">
        <f>'Trial Balance'!F109</f>
        <v>0</v>
      </c>
      <c r="E118" s="248"/>
      <c r="F118" s="250"/>
    </row>
    <row r="119" spans="1:6" ht="15" customHeight="1">
      <c r="A119" s="25" t="str">
        <f>'Trial Balance'!A110&amp;"-"&amp;'Trial Balance'!B110</f>
        <v>1955-Communication Equipment</v>
      </c>
      <c r="B119" s="345">
        <f>'Trial Balance'!F110</f>
        <v>0</v>
      </c>
      <c r="E119" s="248"/>
      <c r="F119" s="250"/>
    </row>
    <row r="120" spans="1:6" ht="15" customHeight="1">
      <c r="A120" s="25" t="str">
        <f>'Trial Balance'!A111&amp;"-"&amp;'Trial Balance'!B111</f>
        <v>1960-Miscellaneous Equipment</v>
      </c>
      <c r="B120" s="345">
        <f>'Trial Balance'!F111</f>
        <v>0</v>
      </c>
      <c r="E120" s="248"/>
      <c r="F120" s="250"/>
    </row>
    <row r="121" spans="1:6" ht="15" customHeight="1">
      <c r="A121" s="25" t="str">
        <f>'Trial Balance'!A112&amp;"-"&amp;'Trial Balance'!B112</f>
        <v>1970-Load Management Controls - Customer Premises </v>
      </c>
      <c r="B121" s="345">
        <f>'Trial Balance'!F112</f>
        <v>0</v>
      </c>
      <c r="E121" s="248"/>
      <c r="F121" s="250"/>
    </row>
    <row r="122" spans="1:6" ht="15" customHeight="1">
      <c r="A122" s="25" t="str">
        <f>'Trial Balance'!A113&amp;"-"&amp;'Trial Balance'!B113</f>
        <v>1975-Load Management Controls - Utility Premises</v>
      </c>
      <c r="B122" s="345">
        <f>'Trial Balance'!F113</f>
        <v>0</v>
      </c>
      <c r="E122" s="248"/>
      <c r="F122" s="250"/>
    </row>
    <row r="123" spans="1:6" ht="15" customHeight="1">
      <c r="A123" s="25" t="str">
        <f>'Trial Balance'!A114&amp;"-"&amp;'Trial Balance'!B114</f>
        <v>1980-System Supervisory Equipment</v>
      </c>
      <c r="B123" s="345">
        <f>'Trial Balance'!F114</f>
        <v>0</v>
      </c>
      <c r="E123" s="248"/>
      <c r="F123" s="250"/>
    </row>
    <row r="124" spans="1:6" ht="15" customHeight="1">
      <c r="A124" s="25" t="str">
        <f>'Trial Balance'!A115&amp;"-"&amp;'Trial Balance'!B115</f>
        <v>1985-Sentinel Lighting Rentals</v>
      </c>
      <c r="B124" s="345">
        <f>'Trial Balance'!F115</f>
        <v>0</v>
      </c>
      <c r="E124" s="248"/>
      <c r="F124" s="250"/>
    </row>
    <row r="125" spans="1:6" ht="15" customHeight="1">
      <c r="A125" s="25" t="str">
        <f>'Trial Balance'!A116&amp;"-"&amp;'Trial Balance'!B116</f>
        <v>1990-Other Tangible Property</v>
      </c>
      <c r="B125" s="345">
        <f>'Trial Balance'!F116</f>
        <v>0</v>
      </c>
      <c r="E125" s="248"/>
      <c r="F125" s="250"/>
    </row>
    <row r="126" spans="1:6" ht="15" customHeight="1" thickBot="1">
      <c r="A126" s="25" t="str">
        <f>'Trial Balance'!A117&amp;"-"&amp;'Trial Balance'!B117</f>
        <v>1995-Contributions and Grants</v>
      </c>
      <c r="B126" s="345">
        <f>'Trial Balance'!F117</f>
        <v>-360987.58999999997</v>
      </c>
      <c r="E126" s="248"/>
      <c r="F126" s="250"/>
    </row>
    <row r="127" spans="1:6" ht="15" customHeight="1" thickBot="1">
      <c r="A127" s="28" t="s">
        <v>141</v>
      </c>
      <c r="B127" s="346">
        <f>SUM(B107:B126)</f>
        <v>337163.42000000004</v>
      </c>
      <c r="E127" s="248"/>
      <c r="F127" s="250"/>
    </row>
    <row r="128" spans="1:6" s="18" customFormat="1" ht="15" customHeight="1">
      <c r="A128" s="21"/>
      <c r="B128" s="347"/>
      <c r="E128" s="248"/>
      <c r="F128" s="250"/>
    </row>
    <row r="129" spans="1:6" s="18" customFormat="1" ht="15" customHeight="1">
      <c r="A129" s="534" t="s">
        <v>142</v>
      </c>
      <c r="B129" s="534"/>
      <c r="E129" s="248"/>
      <c r="F129" s="250"/>
    </row>
    <row r="130" spans="1:6" ht="15" customHeight="1">
      <c r="A130" s="25" t="str">
        <f>'Trial Balance'!A119&amp;"-"&amp;'Trial Balance'!B119</f>
        <v>2005-Property Under Capital Leases</v>
      </c>
      <c r="B130" s="345">
        <f>'Trial Balance'!F119</f>
        <v>0</v>
      </c>
      <c r="E130" s="248"/>
      <c r="F130" s="250"/>
    </row>
    <row r="131" spans="1:6" ht="15" customHeight="1">
      <c r="A131" s="25" t="str">
        <f>'Trial Balance'!A120&amp;"-"&amp;'Trial Balance'!B120</f>
        <v>2010-Electric Plant Purchased or Sold</v>
      </c>
      <c r="B131" s="345">
        <f>'Trial Balance'!F120</f>
        <v>0</v>
      </c>
      <c r="E131" s="248"/>
      <c r="F131" s="250"/>
    </row>
    <row r="132" spans="1:6" ht="15" customHeight="1">
      <c r="A132" s="25" t="str">
        <f>'Trial Balance'!A121&amp;"-"&amp;'Trial Balance'!B121</f>
        <v>2020-Experimental Electric Plant Unclassified</v>
      </c>
      <c r="B132" s="345">
        <f>'Trial Balance'!F121</f>
        <v>0</v>
      </c>
      <c r="E132" s="248"/>
      <c r="F132" s="250"/>
    </row>
    <row r="133" spans="1:6" ht="15" customHeight="1">
      <c r="A133" s="25" t="str">
        <f>'Trial Balance'!A122&amp;"-"&amp;'Trial Balance'!B122</f>
        <v>2030-Electric Plant and Equipment Leased to Others</v>
      </c>
      <c r="B133" s="345">
        <f>'Trial Balance'!F122</f>
        <v>0</v>
      </c>
      <c r="E133" s="248"/>
      <c r="F133" s="250"/>
    </row>
    <row r="134" spans="1:6" ht="15" customHeight="1">
      <c r="A134" s="25" t="str">
        <f>'Trial Balance'!A123&amp;"-"&amp;'Trial Balance'!B123</f>
        <v>2040-Electric Plant Held for Future Use</v>
      </c>
      <c r="B134" s="345">
        <f>'Trial Balance'!F123</f>
        <v>0</v>
      </c>
      <c r="E134" s="248"/>
      <c r="F134" s="250"/>
    </row>
    <row r="135" spans="1:6" ht="15" customHeight="1">
      <c r="A135" s="25" t="str">
        <f>'Trial Balance'!A124&amp;"-"&amp;'Trial Balance'!B124</f>
        <v>2050-Completed Construction Not Classified--Electric</v>
      </c>
      <c r="B135" s="345">
        <f>'Trial Balance'!F124</f>
        <v>0</v>
      </c>
      <c r="E135" s="248"/>
      <c r="F135" s="250"/>
    </row>
    <row r="136" spans="1:6" ht="15" customHeight="1">
      <c r="A136" s="25" t="str">
        <f>'Trial Balance'!A125&amp;"-"&amp;'Trial Balance'!B125</f>
        <v>2055-Construction Work in Progress--Electric</v>
      </c>
      <c r="B136" s="345">
        <f>'Trial Balance'!F125</f>
        <v>0</v>
      </c>
      <c r="E136" s="248"/>
      <c r="F136" s="250"/>
    </row>
    <row r="137" spans="1:6" ht="15" customHeight="1">
      <c r="A137" s="25" t="str">
        <f>'Trial Balance'!A126&amp;"-"&amp;'Trial Balance'!B126</f>
        <v>2060-Electric Plant Acquisition Adjustment</v>
      </c>
      <c r="B137" s="345">
        <f>'Trial Balance'!F126</f>
        <v>0</v>
      </c>
      <c r="E137" s="248"/>
      <c r="F137" s="250"/>
    </row>
    <row r="138" spans="1:6" ht="15" customHeight="1">
      <c r="A138" s="25" t="str">
        <f>'Trial Balance'!A127&amp;"-"&amp;'Trial Balance'!B127</f>
        <v>2065-Other Electric Plant Adjustment</v>
      </c>
      <c r="B138" s="345">
        <f>'Trial Balance'!F127</f>
        <v>0</v>
      </c>
      <c r="E138" s="248"/>
      <c r="F138" s="250"/>
    </row>
    <row r="139" spans="1:6" ht="15" customHeight="1">
      <c r="A139" s="25" t="str">
        <f>'Trial Balance'!A128&amp;"-"&amp;'Trial Balance'!B128</f>
        <v>2070-Other Utility Plant</v>
      </c>
      <c r="B139" s="345">
        <f>'Trial Balance'!F128</f>
        <v>0</v>
      </c>
      <c r="E139" s="248"/>
      <c r="F139" s="250"/>
    </row>
    <row r="140" spans="1:6" ht="15" customHeight="1" thickBot="1">
      <c r="A140" s="25" t="str">
        <f>'Trial Balance'!A129&amp;"-"&amp;'Trial Balance'!B129</f>
        <v>2075-Non-Utility Property Owned or Under Capital Lease</v>
      </c>
      <c r="B140" s="345">
        <f>'Trial Balance'!F129</f>
        <v>0</v>
      </c>
      <c r="E140" s="248"/>
      <c r="F140" s="250"/>
    </row>
    <row r="141" spans="1:6" ht="15" customHeight="1" thickBot="1">
      <c r="A141" s="28" t="s">
        <v>143</v>
      </c>
      <c r="B141" s="346">
        <f>SUM(B130:B140)</f>
        <v>0</v>
      </c>
      <c r="E141" s="248"/>
      <c r="F141" s="250"/>
    </row>
    <row r="142" spans="1:6" s="18" customFormat="1" ht="15" customHeight="1">
      <c r="A142" s="21"/>
      <c r="B142" s="347"/>
      <c r="E142" s="248"/>
      <c r="F142" s="250"/>
    </row>
    <row r="143" spans="1:6" s="18" customFormat="1" ht="15" customHeight="1">
      <c r="A143" s="534" t="s">
        <v>144</v>
      </c>
      <c r="B143" s="534"/>
      <c r="E143" s="248"/>
      <c r="F143" s="250"/>
    </row>
    <row r="144" spans="1:6" ht="15" customHeight="1">
      <c r="A144" s="25" t="str">
        <f>'Trial Balance'!A131&amp;"-"&amp;'Trial Balance'!B131</f>
        <v>2105-Accumulated Amortization of Electric Utility Plant - Property, Plant and Equipment</v>
      </c>
      <c r="B144" s="345">
        <f>'Trial Balance'!F131</f>
        <v>-1643983.35</v>
      </c>
      <c r="E144" s="248"/>
      <c r="F144" s="250"/>
    </row>
    <row r="145" spans="1:6" ht="15" customHeight="1">
      <c r="A145" s="25" t="str">
        <f>'Trial Balance'!A132&amp;"-"&amp;'Trial Balance'!B132</f>
        <v>2120-Accumulated Amortization of Electric Utility Plant - Intangibles</v>
      </c>
      <c r="B145" s="345">
        <f>'Trial Balance'!F132</f>
        <v>0</v>
      </c>
      <c r="E145" s="248"/>
      <c r="F145" s="250"/>
    </row>
    <row r="146" spans="1:6" ht="15" customHeight="1">
      <c r="A146" s="25" t="str">
        <f>'Trial Balance'!A133&amp;"-"&amp;'Trial Balance'!B133</f>
        <v>2140-Accumulated Amortization of Electric Plant Acquisition Adjustment</v>
      </c>
      <c r="B146" s="345">
        <f>'Trial Balance'!F133</f>
        <v>0</v>
      </c>
      <c r="E146" s="248"/>
      <c r="F146" s="250"/>
    </row>
    <row r="147" spans="1:6" ht="15" customHeight="1">
      <c r="A147" s="25" t="str">
        <f>'Trial Balance'!A134&amp;"-"&amp;'Trial Balance'!B134</f>
        <v>2160-Accumulated Amortization of Other Utility Plant</v>
      </c>
      <c r="B147" s="345">
        <f>'Trial Balance'!F134</f>
        <v>0</v>
      </c>
      <c r="E147" s="248"/>
      <c r="F147" s="250"/>
    </row>
    <row r="148" spans="1:6" ht="15" customHeight="1" thickBot="1">
      <c r="A148" s="25" t="str">
        <f>'Trial Balance'!A135&amp;"-"&amp;'Trial Balance'!B135</f>
        <v>2180-Accumulated Amortization of Non-Utility Property</v>
      </c>
      <c r="B148" s="345">
        <f>'Trial Balance'!F135</f>
        <v>0</v>
      </c>
      <c r="E148" s="248"/>
      <c r="F148" s="250"/>
    </row>
    <row r="149" spans="1:6" ht="15" customHeight="1" thickBot="1">
      <c r="A149" s="205" t="s">
        <v>148</v>
      </c>
      <c r="B149" s="348">
        <f>SUM(B144:B148)</f>
        <v>-1643983.35</v>
      </c>
      <c r="E149" s="248"/>
      <c r="F149" s="250"/>
    </row>
    <row r="150" spans="1:6" ht="15" customHeight="1" thickBot="1">
      <c r="A150" s="202"/>
      <c r="B150" s="347"/>
      <c r="E150" s="248"/>
      <c r="F150" s="250"/>
    </row>
    <row r="151" spans="1:6" ht="15" customHeight="1" thickBot="1">
      <c r="A151" s="203" t="s">
        <v>247</v>
      </c>
      <c r="B151" s="349">
        <f>B28+B35+B52+B85+B104+B127+B141+B149</f>
        <v>8239822.8500000015</v>
      </c>
      <c r="E151" s="248"/>
      <c r="F151" s="250"/>
    </row>
    <row r="152" spans="1:6" s="18" customFormat="1" ht="15" customHeight="1">
      <c r="A152" s="22"/>
      <c r="B152" s="347"/>
      <c r="E152" s="248"/>
      <c r="F152" s="250"/>
    </row>
    <row r="153" spans="1:6" s="18" customFormat="1" ht="15" customHeight="1">
      <c r="A153" s="534" t="s">
        <v>149</v>
      </c>
      <c r="B153" s="534"/>
      <c r="E153" s="248"/>
      <c r="F153" s="250"/>
    </row>
    <row r="154" spans="1:6" ht="15" customHeight="1">
      <c r="A154" s="25" t="str">
        <f>'Trial Balance'!A137&amp;"-"&amp;'Trial Balance'!B137</f>
        <v>2205-Accounts Payable</v>
      </c>
      <c r="B154" s="345">
        <f>-'Trial Balance'!F137</f>
        <v>45485.14</v>
      </c>
      <c r="E154" s="248"/>
      <c r="F154" s="250"/>
    </row>
    <row r="155" spans="1:6" ht="15" customHeight="1">
      <c r="A155" s="25" t="str">
        <f>'Trial Balance'!A138&amp;"-"&amp;'Trial Balance'!B138</f>
        <v>2208-Customer Credit Balances</v>
      </c>
      <c r="B155" s="345">
        <f>-'Trial Balance'!F138</f>
        <v>88418.1</v>
      </c>
      <c r="E155" s="248"/>
      <c r="F155" s="250"/>
    </row>
    <row r="156" spans="1:6" ht="15" customHeight="1">
      <c r="A156" s="25" t="str">
        <f>'Trial Balance'!A139&amp;"-"&amp;'Trial Balance'!B139</f>
        <v>2210-Current Portion of Customer Deposits </v>
      </c>
      <c r="B156" s="345">
        <f>-'Trial Balance'!F139</f>
        <v>79000</v>
      </c>
      <c r="E156" s="248"/>
      <c r="F156" s="250"/>
    </row>
    <row r="157" spans="1:6" ht="15" customHeight="1">
      <c r="A157" s="25" t="str">
        <f>'Trial Balance'!A140&amp;"-"&amp;'Trial Balance'!B140</f>
        <v>2215-Dividends Declared</v>
      </c>
      <c r="B157" s="345">
        <f>-'Trial Balance'!F140</f>
        <v>0</v>
      </c>
      <c r="E157" s="248"/>
      <c r="F157" s="250"/>
    </row>
    <row r="158" spans="1:6" ht="15" customHeight="1">
      <c r="A158" s="25" t="str">
        <f>'Trial Balance'!A141&amp;"-"&amp;'Trial Balance'!B141</f>
        <v>2220-Miscellaneous Current and Accrued Liabilities</v>
      </c>
      <c r="B158" s="345">
        <f>-'Trial Balance'!F141</f>
        <v>1282669.62</v>
      </c>
      <c r="E158" s="248"/>
      <c r="F158" s="250"/>
    </row>
    <row r="159" spans="1:6" ht="15" customHeight="1">
      <c r="A159" s="25" t="str">
        <f>'Trial Balance'!A142&amp;"-"&amp;'Trial Balance'!B142</f>
        <v>2225-Notes and Loans Payable</v>
      </c>
      <c r="B159" s="345">
        <f>-'Trial Balance'!F142</f>
        <v>1078402.77</v>
      </c>
      <c r="E159" s="248"/>
      <c r="F159" s="250"/>
    </row>
    <row r="160" spans="1:6" ht="15" customHeight="1">
      <c r="A160" s="25" t="str">
        <f>'Trial Balance'!A143&amp;"-"&amp;'Trial Balance'!B143</f>
        <v>2240-Accounts Payable to Associated Companies</v>
      </c>
      <c r="B160" s="345">
        <f>-'Trial Balance'!F143</f>
        <v>654543.36</v>
      </c>
      <c r="E160" s="248"/>
      <c r="F160" s="250"/>
    </row>
    <row r="161" spans="1:6" ht="15" customHeight="1">
      <c r="A161" s="25" t="str">
        <f>'Trial Balance'!A144&amp;"-"&amp;'Trial Balance'!B144</f>
        <v>2242-Notes Payable to Associated Companies</v>
      </c>
      <c r="B161" s="345">
        <f>-'Trial Balance'!F144</f>
        <v>1163352.49</v>
      </c>
      <c r="E161" s="248"/>
      <c r="F161" s="250"/>
    </row>
    <row r="162" spans="1:6" ht="15" customHeight="1">
      <c r="A162" s="25" t="str">
        <f>'Trial Balance'!A145&amp;"-"&amp;'Trial Balance'!B145</f>
        <v>2250-Debt Retirement  Charges (DRC) Payable</v>
      </c>
      <c r="B162" s="345">
        <f>-'Trial Balance'!F145</f>
        <v>70290.34</v>
      </c>
      <c r="E162" s="248"/>
      <c r="F162" s="250"/>
    </row>
    <row r="163" spans="1:6" ht="15" customHeight="1">
      <c r="A163" s="25" t="str">
        <f>'Trial Balance'!A146&amp;"-"&amp;'Trial Balance'!B146</f>
        <v>2252-Transmission Charges Payable</v>
      </c>
      <c r="B163" s="345">
        <f>-'Trial Balance'!F146</f>
        <v>0</v>
      </c>
      <c r="E163" s="248"/>
      <c r="F163" s="250"/>
    </row>
    <row r="164" spans="1:6" ht="15" customHeight="1">
      <c r="A164" s="25" t="str">
        <f>'Trial Balance'!A147&amp;"-"&amp;'Trial Balance'!B147</f>
        <v>2254-Electric Safety Authority Fees Payable</v>
      </c>
      <c r="B164" s="345">
        <f>-'Trial Balance'!F147</f>
        <v>0</v>
      </c>
      <c r="E164" s="248"/>
      <c r="F164" s="250"/>
    </row>
    <row r="165" spans="1:6" ht="15" customHeight="1">
      <c r="A165" s="25" t="str">
        <f>'Trial Balance'!A148&amp;"-"&amp;'Trial Balance'!B148</f>
        <v>2256-Independent Market Operator Fees and Penalties Payable</v>
      </c>
      <c r="B165" s="345">
        <f>-'Trial Balance'!F148</f>
        <v>0</v>
      </c>
      <c r="E165" s="248"/>
      <c r="F165" s="250"/>
    </row>
    <row r="166" spans="1:6" ht="15" customHeight="1">
      <c r="A166" s="25" t="str">
        <f>'Trial Balance'!A149&amp;"-"&amp;'Trial Balance'!B149</f>
        <v>2260-Current Portion of Long Term Debt</v>
      </c>
      <c r="B166" s="345">
        <f>-'Trial Balance'!F149</f>
        <v>117500</v>
      </c>
      <c r="E166" s="248"/>
      <c r="F166" s="250"/>
    </row>
    <row r="167" spans="1:6" ht="15" customHeight="1">
      <c r="A167" s="25" t="str">
        <f>'Trial Balance'!A150&amp;"-"&amp;'Trial Balance'!B150</f>
        <v>2262-Ontario Hydro Debt - Current Portion</v>
      </c>
      <c r="B167" s="345">
        <f>-'Trial Balance'!F150</f>
        <v>0</v>
      </c>
      <c r="E167" s="248"/>
      <c r="F167" s="250"/>
    </row>
    <row r="168" spans="1:6" ht="15" customHeight="1">
      <c r="A168" s="25" t="str">
        <f>'Trial Balance'!A151&amp;"-"&amp;'Trial Balance'!B151</f>
        <v>2264-Pensions and Employee Benefits - Current Portion</v>
      </c>
      <c r="B168" s="345">
        <f>-'Trial Balance'!F151</f>
        <v>0</v>
      </c>
      <c r="E168" s="248"/>
      <c r="F168" s="250"/>
    </row>
    <row r="169" spans="1:6" ht="15" customHeight="1">
      <c r="A169" s="25" t="str">
        <f>'Trial Balance'!A152&amp;"-"&amp;'Trial Balance'!B152</f>
        <v>2268-Accrued Interest on Long Term Debt</v>
      </c>
      <c r="B169" s="345">
        <f>-'Trial Balance'!F152</f>
        <v>0</v>
      </c>
      <c r="E169" s="248"/>
      <c r="F169" s="250"/>
    </row>
    <row r="170" spans="1:6" ht="15" customHeight="1">
      <c r="A170" s="25" t="str">
        <f>'Trial Balance'!A153&amp;"-"&amp;'Trial Balance'!B153</f>
        <v>2270-Matured Long Term Debt</v>
      </c>
      <c r="B170" s="345">
        <f>-'Trial Balance'!F153</f>
        <v>0</v>
      </c>
      <c r="E170" s="248"/>
      <c r="F170" s="250"/>
    </row>
    <row r="171" spans="1:6" ht="15" customHeight="1">
      <c r="A171" s="25" t="str">
        <f>'Trial Balance'!A154&amp;"-"&amp;'Trial Balance'!B154</f>
        <v>2272-Matured Interest on Long Term Debt</v>
      </c>
      <c r="B171" s="345">
        <f>-'Trial Balance'!F154</f>
        <v>0</v>
      </c>
      <c r="E171" s="248"/>
      <c r="F171" s="250"/>
    </row>
    <row r="172" spans="1:6" ht="15" customHeight="1">
      <c r="A172" s="25" t="str">
        <f>'Trial Balance'!A155&amp;"-"&amp;'Trial Balance'!B155</f>
        <v>2285-Obligations Under Capital Leases--Current</v>
      </c>
      <c r="B172" s="345">
        <f>-'Trial Balance'!F155</f>
        <v>0</v>
      </c>
      <c r="E172" s="248"/>
      <c r="F172" s="250"/>
    </row>
    <row r="173" spans="1:6" ht="15" customHeight="1">
      <c r="A173" s="25" t="str">
        <f>'Trial Balance'!A156&amp;"-"&amp;'Trial Balance'!B156</f>
        <v>2290-Commodity Taxes</v>
      </c>
      <c r="B173" s="345">
        <f>-'Trial Balance'!F156</f>
        <v>-2225.67</v>
      </c>
      <c r="E173" s="248"/>
      <c r="F173" s="250"/>
    </row>
    <row r="174" spans="1:6" ht="15" customHeight="1">
      <c r="A174" s="25" t="str">
        <f>'Trial Balance'!A157&amp;"-"&amp;'Trial Balance'!B157</f>
        <v>2292-Payroll Deductions / Expenses Payable</v>
      </c>
      <c r="B174" s="345">
        <f>-'Trial Balance'!F157</f>
        <v>15765.62</v>
      </c>
      <c r="E174" s="248"/>
      <c r="F174" s="250"/>
    </row>
    <row r="175" spans="1:6" ht="15" customHeight="1">
      <c r="A175" s="25" t="str">
        <f>'Trial Balance'!A158&amp;"-"&amp;'Trial Balance'!B158</f>
        <v>2294-Accrual for Taxes, "Payments in Lieu" of Taxes, Etc.</v>
      </c>
      <c r="B175" s="345">
        <f>-'Trial Balance'!F158</f>
        <v>306</v>
      </c>
      <c r="E175" s="248"/>
      <c r="F175" s="250"/>
    </row>
    <row r="176" spans="1:6" ht="15" customHeight="1" thickBot="1">
      <c r="A176" s="25" t="str">
        <f>'Trial Balance'!A159&amp;"-"&amp;'Trial Balance'!B159</f>
        <v>2296-Future Income Taxes - Current</v>
      </c>
      <c r="B176" s="345">
        <f>-'Trial Balance'!F159</f>
        <v>0</v>
      </c>
      <c r="E176" s="248"/>
      <c r="F176" s="250"/>
    </row>
    <row r="177" spans="1:6" ht="15" customHeight="1" thickBot="1">
      <c r="A177" s="28" t="s">
        <v>506</v>
      </c>
      <c r="B177" s="346">
        <f>SUM(B154:B176)</f>
        <v>4593507.77</v>
      </c>
      <c r="E177" s="248"/>
      <c r="F177" s="250"/>
    </row>
    <row r="178" spans="1:6" s="18" customFormat="1" ht="15" customHeight="1">
      <c r="A178" s="21"/>
      <c r="B178" s="347"/>
      <c r="E178" s="248"/>
      <c r="F178" s="250"/>
    </row>
    <row r="179" spans="1:6" s="18" customFormat="1" ht="15" customHeight="1">
      <c r="A179" s="534" t="s">
        <v>507</v>
      </c>
      <c r="B179" s="534"/>
      <c r="E179" s="248"/>
      <c r="F179" s="250"/>
    </row>
    <row r="180" spans="1:6" ht="15" customHeight="1">
      <c r="A180" s="25" t="str">
        <f>'Trial Balance'!A161&amp;"-"&amp;'Trial Balance'!B161</f>
        <v>2305-Accumulated Provision for Injuries and Damages</v>
      </c>
      <c r="B180" s="345">
        <f>-'Trial Balance'!F161</f>
        <v>0</v>
      </c>
      <c r="E180" s="248"/>
      <c r="F180" s="250"/>
    </row>
    <row r="181" spans="1:6" ht="15" customHeight="1">
      <c r="A181" s="25" t="str">
        <f>'Trial Balance'!A162&amp;"-"&amp;'Trial Balance'!B162</f>
        <v>2306-Employee Future Benefits</v>
      </c>
      <c r="B181" s="345">
        <f>-'Trial Balance'!F162</f>
        <v>0</v>
      </c>
      <c r="E181" s="248"/>
      <c r="F181" s="250"/>
    </row>
    <row r="182" spans="1:6" ht="15" customHeight="1">
      <c r="A182" s="25" t="str">
        <f>'Trial Balance'!A163&amp;"-"&amp;'Trial Balance'!B163</f>
        <v>2308-Other Pensions - Past Service Liability</v>
      </c>
      <c r="B182" s="345">
        <f>-'Trial Balance'!F163</f>
        <v>0</v>
      </c>
      <c r="E182" s="248"/>
      <c r="F182" s="250"/>
    </row>
    <row r="183" spans="1:6" ht="15" customHeight="1">
      <c r="A183" s="25" t="str">
        <f>'Trial Balance'!A164&amp;"-"&amp;'Trial Balance'!B164</f>
        <v>2310-Vested Sick Leave Liability</v>
      </c>
      <c r="B183" s="345">
        <f>-'Trial Balance'!F164</f>
        <v>0</v>
      </c>
      <c r="E183" s="248"/>
      <c r="F183" s="250"/>
    </row>
    <row r="184" spans="1:6" ht="15" customHeight="1">
      <c r="A184" s="25" t="str">
        <f>'Trial Balance'!A165&amp;"-"&amp;'Trial Balance'!B165</f>
        <v>2315-Accumulated Provision for Rate Refunds</v>
      </c>
      <c r="B184" s="345">
        <f>-'Trial Balance'!F165</f>
        <v>0</v>
      </c>
      <c r="E184" s="248"/>
      <c r="F184" s="250"/>
    </row>
    <row r="185" spans="1:6" ht="15" customHeight="1">
      <c r="A185" s="25" t="str">
        <f>'Trial Balance'!A166&amp;"-"&amp;'Trial Balance'!B166</f>
        <v>2320-Other Miscellaneous Non-Current Liabilities</v>
      </c>
      <c r="B185" s="345">
        <f>-'Trial Balance'!F166</f>
        <v>0</v>
      </c>
      <c r="E185" s="248"/>
      <c r="F185" s="250"/>
    </row>
    <row r="186" spans="1:6" ht="15" customHeight="1">
      <c r="A186" s="25" t="str">
        <f>'Trial Balance'!A167&amp;"-"&amp;'Trial Balance'!B167</f>
        <v>2325-Obligations Under Capital Lease--Non-Current</v>
      </c>
      <c r="B186" s="345">
        <f>-'Trial Balance'!F167</f>
        <v>0</v>
      </c>
      <c r="E186" s="248"/>
      <c r="F186" s="250"/>
    </row>
    <row r="187" spans="1:6" ht="15" customHeight="1">
      <c r="A187" s="25" t="str">
        <f>'Trial Balance'!A168&amp;"-"&amp;'Trial Balance'!B168</f>
        <v>2330-Devolpment Charge Fund</v>
      </c>
      <c r="B187" s="345">
        <f>-'Trial Balance'!F168</f>
        <v>0</v>
      </c>
      <c r="E187" s="248"/>
      <c r="F187" s="250"/>
    </row>
    <row r="188" spans="1:6" ht="15" customHeight="1">
      <c r="A188" s="25" t="str">
        <f>'Trial Balance'!A169&amp;"-"&amp;'Trial Balance'!B169</f>
        <v>2335-Long Term Customer Deposits</v>
      </c>
      <c r="B188" s="345">
        <f>-'Trial Balance'!F169</f>
        <v>51127.18</v>
      </c>
      <c r="E188" s="248"/>
      <c r="F188" s="250"/>
    </row>
    <row r="189" spans="1:6" ht="15" customHeight="1">
      <c r="A189" s="25" t="str">
        <f>'Trial Balance'!A170&amp;"-"&amp;'Trial Balance'!B170</f>
        <v>2340-Collateral Funds Liability</v>
      </c>
      <c r="B189" s="345">
        <f>-'Trial Balance'!F170</f>
        <v>0</v>
      </c>
      <c r="E189" s="248"/>
      <c r="F189" s="250"/>
    </row>
    <row r="190" spans="1:6" ht="15" customHeight="1">
      <c r="A190" s="25" t="str">
        <f>'Trial Balance'!A171&amp;"-"&amp;'Trial Balance'!B171</f>
        <v>2345-Unamortized Premium on Long Term Debt</v>
      </c>
      <c r="B190" s="345">
        <f>-'Trial Balance'!F171</f>
        <v>0</v>
      </c>
      <c r="E190" s="248"/>
      <c r="F190" s="250"/>
    </row>
    <row r="191" spans="1:6" ht="15" customHeight="1">
      <c r="A191" s="25" t="str">
        <f>'Trial Balance'!A172&amp;"-"&amp;'Trial Balance'!B172</f>
        <v>2348-O.M.E.R.S. - Past Service Liability - Long Term Portion</v>
      </c>
      <c r="B191" s="345">
        <f>-'Trial Balance'!F172</f>
        <v>0</v>
      </c>
      <c r="E191" s="248"/>
      <c r="F191" s="250"/>
    </row>
    <row r="192" spans="1:6" ht="15" customHeight="1">
      <c r="A192" s="25" t="str">
        <f>'Trial Balance'!A173&amp;"-"&amp;'Trial Balance'!B173</f>
        <v>2350-Future Income Tax - Non-Current</v>
      </c>
      <c r="B192" s="345">
        <f>-'Trial Balance'!F173</f>
        <v>0</v>
      </c>
      <c r="E192" s="248"/>
      <c r="F192" s="250"/>
    </row>
    <row r="193" spans="1:6" ht="15" customHeight="1">
      <c r="A193" s="25" t="str">
        <f>'Trial Balance'!A175&amp;"-"&amp;'Trial Balance'!B175</f>
        <v>2405-Other Regulatory Liabilities</v>
      </c>
      <c r="B193" s="345">
        <f>-'Trial Balance'!F175</f>
        <v>14508</v>
      </c>
      <c r="E193" s="248"/>
      <c r="F193" s="250"/>
    </row>
    <row r="194" spans="1:6" ht="15" customHeight="1">
      <c r="A194" s="25" t="str">
        <f>'Trial Balance'!A176&amp;"-"&amp;'Trial Balance'!B176</f>
        <v>2410-Deferred Gains From Disposition of Utility Plant</v>
      </c>
      <c r="B194" s="345">
        <f>-'Trial Balance'!F176</f>
        <v>0</v>
      </c>
      <c r="E194" s="248"/>
      <c r="F194" s="250"/>
    </row>
    <row r="195" spans="1:6" ht="15" customHeight="1">
      <c r="A195" s="25" t="str">
        <f>'Trial Balance'!A177&amp;"-"&amp;'Trial Balance'!B177</f>
        <v>2415-Unamortized Gain on Reacquired Debt</v>
      </c>
      <c r="B195" s="345">
        <f>-'Trial Balance'!F177</f>
        <v>0</v>
      </c>
      <c r="E195" s="248"/>
      <c r="F195" s="250"/>
    </row>
    <row r="196" spans="1:6" ht="15" customHeight="1">
      <c r="A196" s="25" t="str">
        <f>'Trial Balance'!A178&amp;"-"&amp;'Trial Balance'!B178</f>
        <v>2425-Other Deferred Credits</v>
      </c>
      <c r="B196" s="345">
        <f>-'Trial Balance'!F178</f>
        <v>30000</v>
      </c>
      <c r="E196" s="248"/>
      <c r="F196" s="250"/>
    </row>
    <row r="197" spans="1:6" ht="15" customHeight="1" thickBot="1">
      <c r="A197" s="25" t="str">
        <f>'Trial Balance'!A179&amp;"-"&amp;'Trial Balance'!B179</f>
        <v>2435-Accrued Rate-Payer Benefit</v>
      </c>
      <c r="B197" s="345">
        <f>-'Trial Balance'!F179</f>
        <v>0</v>
      </c>
      <c r="E197" s="248"/>
      <c r="F197" s="250"/>
    </row>
    <row r="198" spans="1:6" ht="15" customHeight="1" thickBot="1">
      <c r="A198" s="28" t="s">
        <v>153</v>
      </c>
      <c r="B198" s="346">
        <f>SUM(B180:B197)</f>
        <v>95635.18</v>
      </c>
      <c r="E198" s="248"/>
      <c r="F198" s="250"/>
    </row>
    <row r="199" spans="1:6" s="18" customFormat="1" ht="15" customHeight="1">
      <c r="A199" s="21"/>
      <c r="B199" s="347"/>
      <c r="E199" s="248"/>
      <c r="F199" s="250"/>
    </row>
    <row r="200" spans="1:6" s="18" customFormat="1" ht="15" customHeight="1">
      <c r="A200" s="534" t="s">
        <v>154</v>
      </c>
      <c r="B200" s="534"/>
      <c r="E200" s="248"/>
      <c r="F200" s="250"/>
    </row>
    <row r="201" spans="1:6" s="18" customFormat="1" ht="15" customHeight="1">
      <c r="A201" s="25" t="str">
        <f>'Trial Balance'!A181&amp;"-"&amp;'Trial Balance'!B181</f>
        <v>2505-Debentures Outstanding - Long Term Portion</v>
      </c>
      <c r="B201" s="345">
        <f>-'Trial Balance'!F181</f>
        <v>0</v>
      </c>
      <c r="E201" s="248"/>
      <c r="F201" s="250"/>
    </row>
    <row r="202" spans="1:6" s="18" customFormat="1" ht="15" customHeight="1">
      <c r="A202" s="25" t="str">
        <f>'Trial Balance'!A182&amp;"-"&amp;'Trial Balance'!B182</f>
        <v>2510-Debenture Advances</v>
      </c>
      <c r="B202" s="345">
        <f>-'Trial Balance'!F182</f>
        <v>0</v>
      </c>
      <c r="E202" s="248"/>
      <c r="F202" s="250"/>
    </row>
    <row r="203" spans="1:6" s="18" customFormat="1" ht="15" customHeight="1">
      <c r="A203" s="25" t="str">
        <f>'Trial Balance'!A183&amp;"-"&amp;'Trial Balance'!B183</f>
        <v>2515-Required Bonds</v>
      </c>
      <c r="B203" s="345">
        <f>-'Trial Balance'!F183</f>
        <v>0</v>
      </c>
      <c r="E203" s="248"/>
      <c r="F203" s="250"/>
    </row>
    <row r="204" spans="1:6" s="18" customFormat="1" ht="15" customHeight="1">
      <c r="A204" s="25" t="str">
        <f>'Trial Balance'!A184&amp;"-"&amp;'Trial Balance'!B184</f>
        <v>2520-Other Long Term Debt</v>
      </c>
      <c r="B204" s="345">
        <f>-'Trial Balance'!F184</f>
        <v>0</v>
      </c>
      <c r="E204" s="248"/>
      <c r="F204" s="250"/>
    </row>
    <row r="205" spans="1:6" s="18" customFormat="1" ht="15" customHeight="1">
      <c r="A205" s="25" t="str">
        <f>'Trial Balance'!A185&amp;"-"&amp;'Trial Balance'!B185</f>
        <v>2525-Term Bank Loans - Long Term Portion</v>
      </c>
      <c r="B205" s="345">
        <f>-'Trial Balance'!F185</f>
        <v>70969.89</v>
      </c>
      <c r="E205" s="248"/>
      <c r="F205" s="250"/>
    </row>
    <row r="206" spans="1:6" s="18" customFormat="1" ht="15" customHeight="1">
      <c r="A206" s="25" t="str">
        <f>'Trial Balance'!A186&amp;"-"&amp;'Trial Balance'!B186</f>
        <v>2530-Ontario Hydro Debt Outstanding - Long Term Portion</v>
      </c>
      <c r="B206" s="345">
        <f>-'Trial Balance'!F186</f>
        <v>0</v>
      </c>
      <c r="E206" s="248"/>
      <c r="F206" s="250"/>
    </row>
    <row r="207" spans="1:6" ht="15" customHeight="1" thickBot="1">
      <c r="A207" s="25" t="str">
        <f>'Trial Balance'!A187&amp;"-"&amp;'Trial Balance'!B187</f>
        <v>2550-Advances from Associated Companies</v>
      </c>
      <c r="B207" s="345">
        <f>-'Trial Balance'!F187</f>
        <v>0</v>
      </c>
      <c r="E207" s="248"/>
      <c r="F207" s="250"/>
    </row>
    <row r="208" spans="1:6" ht="15" customHeight="1" thickBot="1">
      <c r="A208" s="28" t="s">
        <v>155</v>
      </c>
      <c r="B208" s="346">
        <f>SUM(B201:B207)</f>
        <v>70969.89</v>
      </c>
      <c r="E208" s="248"/>
      <c r="F208" s="250"/>
    </row>
    <row r="209" spans="1:6" s="18" customFormat="1" ht="15" customHeight="1">
      <c r="A209" s="21"/>
      <c r="B209" s="347"/>
      <c r="E209" s="248"/>
      <c r="F209" s="250"/>
    </row>
    <row r="210" spans="1:6" s="18" customFormat="1" ht="15" customHeight="1">
      <c r="A210" s="534" t="s">
        <v>156</v>
      </c>
      <c r="B210" s="534"/>
      <c r="E210" s="248"/>
      <c r="F210" s="250"/>
    </row>
    <row r="211" spans="1:6" ht="15" customHeight="1">
      <c r="A211" s="25" t="str">
        <f>'Trial Balance'!A189&amp;"-"&amp;'Trial Balance'!B189</f>
        <v>3005-Common Shares Issued</v>
      </c>
      <c r="B211" s="345">
        <f>-'Trial Balance'!F189</f>
        <v>2511123.49</v>
      </c>
      <c r="E211" s="248"/>
      <c r="F211" s="250"/>
    </row>
    <row r="212" spans="1:6" ht="15" customHeight="1">
      <c r="A212" s="25" t="str">
        <f>'Trial Balance'!A190&amp;"-"&amp;'Trial Balance'!B190</f>
        <v>3008-Preference Shares Issued</v>
      </c>
      <c r="B212" s="345">
        <f>-'Trial Balance'!F190</f>
        <v>0</v>
      </c>
      <c r="E212" s="248"/>
      <c r="F212" s="250"/>
    </row>
    <row r="213" spans="1:6" ht="15" customHeight="1">
      <c r="A213" s="25" t="str">
        <f>'Trial Balance'!A191&amp;"-"&amp;'Trial Balance'!B191</f>
        <v>3010-Contributed Surplus</v>
      </c>
      <c r="B213" s="345">
        <f>-'Trial Balance'!F191</f>
        <v>0</v>
      </c>
      <c r="E213" s="248"/>
      <c r="F213" s="250"/>
    </row>
    <row r="214" spans="1:6" ht="15" customHeight="1">
      <c r="A214" s="25" t="str">
        <f>'Trial Balance'!A192&amp;"-"&amp;'Trial Balance'!B192</f>
        <v>3020-Donations Received</v>
      </c>
      <c r="B214" s="345">
        <f>-'Trial Balance'!F192</f>
        <v>0</v>
      </c>
      <c r="E214" s="248"/>
      <c r="F214" s="250"/>
    </row>
    <row r="215" spans="1:6" ht="15" customHeight="1">
      <c r="A215" s="25" t="str">
        <f>'Trial Balance'!A193&amp;"-"&amp;'Trial Balance'!B193</f>
        <v>3022-Devolpment Charges Transferred to Equity</v>
      </c>
      <c r="B215" s="345">
        <f>-'Trial Balance'!F193</f>
        <v>0</v>
      </c>
      <c r="E215" s="248"/>
      <c r="F215" s="250"/>
    </row>
    <row r="216" spans="1:6" ht="15" customHeight="1">
      <c r="A216" s="25" t="str">
        <f>'Trial Balance'!A194&amp;"-"&amp;'Trial Balance'!B194</f>
        <v>3026-Capital Stock Held in Treasury</v>
      </c>
      <c r="B216" s="345">
        <f>-'Trial Balance'!F194</f>
        <v>0</v>
      </c>
      <c r="E216" s="248"/>
      <c r="F216" s="250"/>
    </row>
    <row r="217" spans="1:6" ht="15" customHeight="1">
      <c r="A217" s="25" t="str">
        <f>'Trial Balance'!A195&amp;"-"&amp;'Trial Balance'!B195</f>
        <v>3030-Miscellaneous Paid-In Capital</v>
      </c>
      <c r="B217" s="345">
        <f>-'Trial Balance'!F195</f>
        <v>0</v>
      </c>
      <c r="E217" s="248"/>
      <c r="F217" s="250"/>
    </row>
    <row r="218" spans="1:6" ht="15" customHeight="1">
      <c r="A218" s="25" t="str">
        <f>'Trial Balance'!A196&amp;"-"&amp;'Trial Balance'!B196</f>
        <v>3035-Installments Received on Capital Stock</v>
      </c>
      <c r="B218" s="345">
        <f>-'Trial Balance'!F196</f>
        <v>0</v>
      </c>
      <c r="E218" s="248"/>
      <c r="F218" s="250"/>
    </row>
    <row r="219" spans="1:6" ht="15" customHeight="1">
      <c r="A219" s="25" t="str">
        <f>'Trial Balance'!A197&amp;"-"&amp;'Trial Balance'!B197</f>
        <v>3040-Appropriated Retained Earnings</v>
      </c>
      <c r="B219" s="345">
        <f>-'Trial Balance'!F197</f>
        <v>0</v>
      </c>
      <c r="E219" s="248"/>
      <c r="F219" s="250"/>
    </row>
    <row r="220" spans="1:6" ht="15" customHeight="1">
      <c r="A220" s="25" t="str">
        <f>'Trial Balance'!A198&amp;"-"&amp;'Trial Balance'!B198</f>
        <v>3045-Unappropriated Retained Earnings</v>
      </c>
      <c r="B220" s="345">
        <f>-'Trial Balance'!F199</f>
        <v>850950.78</v>
      </c>
      <c r="E220" s="248"/>
      <c r="F220" s="250"/>
    </row>
    <row r="221" spans="1:6" ht="15" customHeight="1">
      <c r="A221" s="25" t="s">
        <v>528</v>
      </c>
      <c r="B221" s="350">
        <f>-'2009 Income Statement'!B214</f>
        <v>237635.6799999988</v>
      </c>
      <c r="E221" s="248"/>
      <c r="F221" s="250"/>
    </row>
    <row r="222" spans="1:6" ht="15" customHeight="1">
      <c r="A222" s="25" t="str">
        <f>'Trial Balance'!A200&amp;"-"&amp;'Trial Balance'!B200</f>
        <v>3047-Appropriations of Retained Earnings - Current Period</v>
      </c>
      <c r="B222" s="345">
        <f>-'Trial Balance'!F200</f>
        <v>0</v>
      </c>
      <c r="E222" s="248"/>
      <c r="F222" s="250"/>
    </row>
    <row r="223" spans="1:6" ht="15" customHeight="1">
      <c r="A223" s="25" t="str">
        <f>'Trial Balance'!A201&amp;"-"&amp;'Trial Balance'!B201</f>
        <v>3048-Dividends Payable-Preference Shares</v>
      </c>
      <c r="B223" s="345">
        <f>-'Trial Balance'!F201</f>
        <v>0</v>
      </c>
      <c r="E223" s="248"/>
      <c r="F223" s="250"/>
    </row>
    <row r="224" spans="1:6" ht="15" customHeight="1">
      <c r="A224" s="25" t="str">
        <f>'Trial Balance'!A202&amp;"-"&amp;'Trial Balance'!B202</f>
        <v>3049-Dividends Payable-Common Shares</v>
      </c>
      <c r="B224" s="345">
        <f>-'Trial Balance'!F202</f>
        <v>-120000</v>
      </c>
      <c r="E224" s="248"/>
      <c r="F224" s="250"/>
    </row>
    <row r="225" spans="1:6" ht="15" customHeight="1">
      <c r="A225" s="25" t="str">
        <f>'Trial Balance'!A203&amp;"-"&amp;'Trial Balance'!B203</f>
        <v>3055-Adjustment to Retained Earnings                 </v>
      </c>
      <c r="B225" s="345">
        <f>-'Trial Balance'!F203</f>
        <v>0</v>
      </c>
      <c r="E225" s="248"/>
      <c r="F225" s="250"/>
    </row>
    <row r="226" spans="1:6" ht="15" customHeight="1" thickBot="1">
      <c r="A226" s="25" t="str">
        <f>'Trial Balance'!A204&amp;"-"&amp;'Trial Balance'!B204</f>
        <v>3065-Unappropriated Undistributed Subsidiary Earnings</v>
      </c>
      <c r="B226" s="345">
        <f>-'Trial Balance'!F204</f>
        <v>0</v>
      </c>
      <c r="E226" s="248"/>
      <c r="F226" s="250"/>
    </row>
    <row r="227" spans="1:6" ht="15" customHeight="1" thickBot="1">
      <c r="A227" s="26" t="s">
        <v>529</v>
      </c>
      <c r="B227" s="346">
        <f>SUM(B211:B226)</f>
        <v>3479709.9499999993</v>
      </c>
      <c r="E227" s="248"/>
      <c r="F227" s="250"/>
    </row>
    <row r="228" spans="1:6" s="10" customFormat="1" ht="15" customHeight="1">
      <c r="A228" s="22"/>
      <c r="B228" s="347"/>
      <c r="E228" s="248"/>
      <c r="F228" s="250"/>
    </row>
    <row r="229" spans="1:6" s="10" customFormat="1" ht="15" customHeight="1">
      <c r="A229" s="204" t="s">
        <v>256</v>
      </c>
      <c r="B229" s="351">
        <f>B177+B198+B208+B227</f>
        <v>8239822.789999998</v>
      </c>
      <c r="E229" s="248"/>
      <c r="F229" s="250"/>
    </row>
    <row r="230" spans="1:2" s="10" customFormat="1" ht="15" customHeight="1" thickBot="1">
      <c r="A230" s="22"/>
      <c r="B230" s="347"/>
    </row>
    <row r="231" spans="1:2" ht="15" customHeight="1" thickBot="1">
      <c r="A231" s="29" t="s">
        <v>255</v>
      </c>
      <c r="B231" s="352">
        <f>B151-B229</f>
        <v>0.060000003315508366</v>
      </c>
    </row>
    <row r="232" spans="1:2" ht="15">
      <c r="A232" s="23"/>
      <c r="B232" s="353"/>
    </row>
    <row r="233" spans="1:2" ht="15">
      <c r="A233" s="23"/>
      <c r="B233" s="353"/>
    </row>
    <row r="234" spans="1:2" ht="15">
      <c r="A234" s="23"/>
      <c r="B234" s="353"/>
    </row>
    <row r="235" spans="1:2" ht="15">
      <c r="A235" s="23"/>
      <c r="B235" s="353"/>
    </row>
    <row r="236" spans="1:2" ht="15">
      <c r="A236" s="23"/>
      <c r="B236" s="353"/>
    </row>
    <row r="237" spans="1:2" ht="15">
      <c r="A237" s="23"/>
      <c r="B237" s="353"/>
    </row>
    <row r="238" spans="1:2" ht="15">
      <c r="A238" s="23"/>
      <c r="B238" s="353"/>
    </row>
    <row r="239" spans="1:2" ht="15">
      <c r="A239" s="23"/>
      <c r="B239" s="353"/>
    </row>
    <row r="240" spans="1:2" ht="15">
      <c r="A240" s="23"/>
      <c r="B240" s="353"/>
    </row>
    <row r="241" spans="1:2" ht="15">
      <c r="A241" s="23"/>
      <c r="B241" s="353"/>
    </row>
    <row r="242" spans="1:2" ht="15">
      <c r="A242" s="23"/>
      <c r="B242" s="353"/>
    </row>
    <row r="243" spans="1:2" ht="15">
      <c r="A243" s="23"/>
      <c r="B243" s="353"/>
    </row>
    <row r="244" spans="1:2" ht="15">
      <c r="A244" s="23"/>
      <c r="B244" s="353"/>
    </row>
    <row r="245" spans="1:2" ht="15">
      <c r="A245" s="23"/>
      <c r="B245" s="353"/>
    </row>
    <row r="246" spans="1:2" ht="15">
      <c r="A246" s="23"/>
      <c r="B246" s="353"/>
    </row>
    <row r="247" spans="1:2" ht="15">
      <c r="A247" s="23"/>
      <c r="B247" s="353"/>
    </row>
    <row r="248" spans="1:2" ht="15">
      <c r="A248" s="23"/>
      <c r="B248" s="353"/>
    </row>
    <row r="249" spans="1:2" ht="15">
      <c r="A249" s="23"/>
      <c r="B249" s="353"/>
    </row>
    <row r="250" spans="1:2" ht="15">
      <c r="A250" s="23"/>
      <c r="B250" s="353"/>
    </row>
    <row r="251" spans="1:2" ht="15">
      <c r="A251" s="23"/>
      <c r="B251" s="353"/>
    </row>
    <row r="252" spans="1:2" ht="15">
      <c r="A252" s="23"/>
      <c r="B252" s="353"/>
    </row>
    <row r="253" spans="1:2" ht="15">
      <c r="A253" s="23"/>
      <c r="B253" s="353"/>
    </row>
    <row r="254" spans="1:2" ht="15">
      <c r="A254" s="23"/>
      <c r="B254" s="353"/>
    </row>
    <row r="255" spans="1:2" ht="15">
      <c r="A255" s="23"/>
      <c r="B255" s="353"/>
    </row>
    <row r="256" spans="1:2" ht="15">
      <c r="A256" s="23"/>
      <c r="B256" s="353"/>
    </row>
    <row r="257" spans="1:2" ht="15">
      <c r="A257" s="23"/>
      <c r="B257" s="353"/>
    </row>
    <row r="258" spans="1:2" ht="15">
      <c r="A258" s="23"/>
      <c r="B258" s="353"/>
    </row>
    <row r="259" spans="1:2" ht="15">
      <c r="A259" s="23"/>
      <c r="B259" s="353"/>
    </row>
    <row r="260" spans="1:2" ht="15">
      <c r="A260" s="23"/>
      <c r="B260" s="353"/>
    </row>
    <row r="261" spans="1:2" ht="15">
      <c r="A261" s="23"/>
      <c r="B261" s="353"/>
    </row>
    <row r="262" spans="1:2" ht="15">
      <c r="A262" s="23"/>
      <c r="B262" s="353"/>
    </row>
    <row r="263" spans="1:2" ht="15">
      <c r="A263" s="23"/>
      <c r="B263" s="353"/>
    </row>
    <row r="264" spans="1:2" ht="15">
      <c r="A264" s="23"/>
      <c r="B264" s="353"/>
    </row>
    <row r="265" spans="1:2" ht="15">
      <c r="A265" s="23"/>
      <c r="B265" s="353"/>
    </row>
    <row r="266" spans="1:2" ht="15">
      <c r="A266" s="23"/>
      <c r="B266" s="353"/>
    </row>
    <row r="267" spans="1:2" ht="15">
      <c r="A267" s="23"/>
      <c r="B267" s="353"/>
    </row>
    <row r="268" spans="1:2" ht="15">
      <c r="A268" s="23"/>
      <c r="B268" s="353"/>
    </row>
    <row r="269" spans="1:2" ht="15">
      <c r="A269" s="23"/>
      <c r="B269" s="353"/>
    </row>
    <row r="270" spans="1:2" ht="15">
      <c r="A270" s="23"/>
      <c r="B270" s="353"/>
    </row>
    <row r="271" spans="1:2" ht="15">
      <c r="A271" s="23"/>
      <c r="B271" s="353"/>
    </row>
    <row r="272" spans="1:2" ht="15">
      <c r="A272" s="23"/>
      <c r="B272" s="353"/>
    </row>
    <row r="273" spans="1:2" ht="15">
      <c r="A273" s="23"/>
      <c r="B273" s="353"/>
    </row>
    <row r="274" spans="1:2" ht="15">
      <c r="A274" s="23"/>
      <c r="B274" s="353"/>
    </row>
    <row r="275" spans="1:2" ht="15">
      <c r="A275" s="23"/>
      <c r="B275" s="353"/>
    </row>
    <row r="276" spans="1:2" ht="15">
      <c r="A276" s="23"/>
      <c r="B276" s="353"/>
    </row>
    <row r="277" spans="1:2" ht="15">
      <c r="A277" s="23"/>
      <c r="B277" s="353"/>
    </row>
    <row r="278" spans="1:2" ht="15">
      <c r="A278" s="23"/>
      <c r="B278" s="353"/>
    </row>
    <row r="279" spans="1:2" ht="15">
      <c r="A279" s="23"/>
      <c r="B279" s="353"/>
    </row>
    <row r="280" spans="1:2" ht="15">
      <c r="A280" s="23"/>
      <c r="B280" s="353"/>
    </row>
    <row r="281" spans="1:2" ht="15">
      <c r="A281" s="23"/>
      <c r="B281" s="353"/>
    </row>
    <row r="282" spans="1:2" ht="15">
      <c r="A282" s="23"/>
      <c r="B282" s="353"/>
    </row>
    <row r="283" spans="1:2" ht="15">
      <c r="A283" s="23"/>
      <c r="B283" s="353"/>
    </row>
    <row r="284" spans="1:2" ht="15">
      <c r="A284" s="23"/>
      <c r="B284" s="353"/>
    </row>
    <row r="285" spans="1:2" ht="15">
      <c r="A285" s="23"/>
      <c r="B285" s="353"/>
    </row>
    <row r="286" spans="1:2" ht="15">
      <c r="A286" s="23"/>
      <c r="B286" s="353"/>
    </row>
    <row r="287" spans="1:2" ht="15">
      <c r="A287" s="23"/>
      <c r="B287" s="353"/>
    </row>
    <row r="288" spans="1:2" ht="15">
      <c r="A288" s="23"/>
      <c r="B288" s="353"/>
    </row>
    <row r="289" spans="1:2" ht="15">
      <c r="A289" s="23"/>
      <c r="B289" s="353"/>
    </row>
    <row r="290" spans="1:2" ht="15">
      <c r="A290" s="23"/>
      <c r="B290" s="353"/>
    </row>
    <row r="291" spans="1:2" ht="15">
      <c r="A291" s="23"/>
      <c r="B291" s="353"/>
    </row>
    <row r="292" spans="1:2" ht="15">
      <c r="A292" s="23"/>
      <c r="B292" s="353"/>
    </row>
    <row r="293" spans="1:2" ht="15">
      <c r="A293" s="23"/>
      <c r="B293" s="353"/>
    </row>
    <row r="294" spans="1:2" ht="15">
      <c r="A294" s="23"/>
      <c r="B294" s="353"/>
    </row>
    <row r="295" spans="1:2" ht="15">
      <c r="A295" s="23"/>
      <c r="B295" s="353"/>
    </row>
    <row r="296" spans="1:2" ht="15">
      <c r="A296" s="23"/>
      <c r="B296" s="353"/>
    </row>
    <row r="297" spans="1:2" ht="15">
      <c r="A297" s="23"/>
      <c r="B297" s="353"/>
    </row>
    <row r="298" spans="1:2" ht="15">
      <c r="A298" s="23"/>
      <c r="B298" s="353"/>
    </row>
    <row r="299" spans="1:2" ht="15">
      <c r="A299" s="23"/>
      <c r="B299" s="353"/>
    </row>
    <row r="300" spans="1:2" ht="15">
      <c r="A300" s="23"/>
      <c r="B300" s="353"/>
    </row>
    <row r="301" spans="1:2" ht="15">
      <c r="A301" s="23"/>
      <c r="B301" s="353"/>
    </row>
    <row r="302" spans="1:2" ht="15">
      <c r="A302" s="23"/>
      <c r="B302" s="353"/>
    </row>
    <row r="303" spans="1:2" ht="15">
      <c r="A303" s="23"/>
      <c r="B303" s="353"/>
    </row>
    <row r="304" spans="1:2" ht="15">
      <c r="A304" s="23"/>
      <c r="B304" s="353"/>
    </row>
    <row r="305" spans="1:2" ht="15">
      <c r="A305" s="23"/>
      <c r="B305" s="353"/>
    </row>
    <row r="306" spans="1:2" ht="15">
      <c r="A306" s="23"/>
      <c r="B306" s="353"/>
    </row>
    <row r="307" spans="1:2" ht="15">
      <c r="A307" s="23"/>
      <c r="B307" s="353"/>
    </row>
    <row r="308" spans="1:2" ht="15">
      <c r="A308" s="23"/>
      <c r="B308" s="353"/>
    </row>
    <row r="309" spans="1:2" ht="15">
      <c r="A309" s="23"/>
      <c r="B309" s="353"/>
    </row>
    <row r="310" spans="1:2" ht="15">
      <c r="A310" s="23"/>
      <c r="B310" s="353"/>
    </row>
    <row r="311" spans="1:2" ht="15">
      <c r="A311" s="23"/>
      <c r="B311" s="353"/>
    </row>
    <row r="312" spans="1:2" ht="15">
      <c r="A312" s="23"/>
      <c r="B312" s="353"/>
    </row>
    <row r="313" spans="1:2" ht="15">
      <c r="A313" s="23"/>
      <c r="B313" s="353"/>
    </row>
    <row r="314" spans="1:2" ht="15">
      <c r="A314" s="23"/>
      <c r="B314" s="353"/>
    </row>
    <row r="315" spans="1:2" ht="15">
      <c r="A315" s="23"/>
      <c r="B315" s="353"/>
    </row>
    <row r="316" spans="1:2" ht="15">
      <c r="A316" s="23"/>
      <c r="B316" s="353"/>
    </row>
    <row r="317" spans="1:2" ht="15">
      <c r="A317" s="23"/>
      <c r="B317" s="353"/>
    </row>
    <row r="318" spans="1:2" ht="15">
      <c r="A318" s="23"/>
      <c r="B318" s="353"/>
    </row>
    <row r="319" spans="1:2" ht="15">
      <c r="A319" s="23"/>
      <c r="B319" s="353"/>
    </row>
    <row r="320" spans="1:2" ht="15">
      <c r="A320" s="23"/>
      <c r="B320" s="353"/>
    </row>
    <row r="321" spans="1:2" ht="15">
      <c r="A321" s="23"/>
      <c r="B321" s="353"/>
    </row>
    <row r="322" spans="1:2" ht="15">
      <c r="A322" s="23"/>
      <c r="B322" s="353"/>
    </row>
    <row r="323" spans="1:2" ht="15">
      <c r="A323" s="23"/>
      <c r="B323" s="353"/>
    </row>
    <row r="324" spans="1:2" ht="15">
      <c r="A324" s="23"/>
      <c r="B324" s="353"/>
    </row>
    <row r="325" spans="1:2" ht="15">
      <c r="A325" s="23"/>
      <c r="B325" s="353"/>
    </row>
    <row r="326" spans="1:2" ht="15">
      <c r="A326" s="23"/>
      <c r="B326" s="353"/>
    </row>
    <row r="327" spans="1:2" ht="15">
      <c r="A327" s="23"/>
      <c r="B327" s="353"/>
    </row>
    <row r="328" spans="1:2" ht="15">
      <c r="A328" s="23"/>
      <c r="B328" s="353"/>
    </row>
    <row r="329" spans="1:2" ht="15">
      <c r="A329" s="23"/>
      <c r="B329" s="353"/>
    </row>
    <row r="330" spans="1:2" ht="15">
      <c r="A330" s="23"/>
      <c r="B330" s="353"/>
    </row>
    <row r="331" spans="1:2" ht="15">
      <c r="A331" s="23"/>
      <c r="B331" s="353"/>
    </row>
    <row r="332" spans="1:2" ht="15">
      <c r="A332" s="23"/>
      <c r="B332" s="353"/>
    </row>
    <row r="333" spans="1:2" ht="15">
      <c r="A333" s="23"/>
      <c r="B333" s="353"/>
    </row>
    <row r="334" spans="1:2" ht="15">
      <c r="A334" s="23"/>
      <c r="B334" s="353"/>
    </row>
    <row r="335" spans="1:2" ht="15">
      <c r="A335" s="23"/>
      <c r="B335" s="353"/>
    </row>
    <row r="336" spans="1:2" ht="15">
      <c r="A336" s="23"/>
      <c r="B336" s="353"/>
    </row>
    <row r="337" spans="1:2" ht="15">
      <c r="A337" s="23"/>
      <c r="B337" s="353"/>
    </row>
    <row r="338" spans="1:2" ht="15">
      <c r="A338" s="23"/>
      <c r="B338" s="353"/>
    </row>
    <row r="339" spans="1:2" ht="15">
      <c r="A339" s="23"/>
      <c r="B339" s="353"/>
    </row>
    <row r="340" spans="1:2" ht="15">
      <c r="A340" s="23"/>
      <c r="B340" s="353"/>
    </row>
    <row r="341" spans="1:2" ht="15">
      <c r="A341" s="23"/>
      <c r="B341" s="353"/>
    </row>
    <row r="342" spans="1:2" ht="15">
      <c r="A342" s="23"/>
      <c r="B342" s="353"/>
    </row>
    <row r="343" spans="1:2" ht="15">
      <c r="A343" s="23"/>
      <c r="B343" s="353"/>
    </row>
    <row r="344" spans="1:2" ht="15">
      <c r="A344" s="23"/>
      <c r="B344" s="353"/>
    </row>
    <row r="345" spans="1:2" ht="15">
      <c r="A345" s="23"/>
      <c r="B345" s="353"/>
    </row>
    <row r="346" spans="1:2" ht="15">
      <c r="A346" s="23"/>
      <c r="B346" s="353"/>
    </row>
    <row r="347" spans="1:2" ht="15">
      <c r="A347" s="23"/>
      <c r="B347" s="353"/>
    </row>
    <row r="348" spans="1:2" ht="15">
      <c r="A348" s="23"/>
      <c r="B348" s="353"/>
    </row>
    <row r="349" spans="1:2" ht="15">
      <c r="A349" s="23"/>
      <c r="B349" s="353"/>
    </row>
    <row r="350" spans="1:2" ht="15">
      <c r="A350" s="23"/>
      <c r="B350" s="353"/>
    </row>
  </sheetData>
  <sheetProtection/>
  <mergeCells count="17">
    <mergeCell ref="A30:B30"/>
    <mergeCell ref="A1:B1"/>
    <mergeCell ref="A2:B2"/>
    <mergeCell ref="A37:B37"/>
    <mergeCell ref="A3:B3"/>
    <mergeCell ref="A4:B4"/>
    <mergeCell ref="A6:B6"/>
    <mergeCell ref="A29:B29"/>
    <mergeCell ref="A54:B54"/>
    <mergeCell ref="A87:B87"/>
    <mergeCell ref="A106:B106"/>
    <mergeCell ref="A129:B129"/>
    <mergeCell ref="A210:B210"/>
    <mergeCell ref="A143:B143"/>
    <mergeCell ref="A153:B153"/>
    <mergeCell ref="A179:B179"/>
    <mergeCell ref="A200:B200"/>
  </mergeCells>
  <printOptions/>
  <pageMargins left="0.4724409448818898" right="0.7480314960629921" top="0.984251968503937" bottom="0.984251968503937" header="0.5118110236220472" footer="0.5118110236220472"/>
  <pageSetup fitToHeight="5" horizontalDpi="355" verticalDpi="355" orientation="portrait" scale="77" r:id="rId1"/>
  <headerFooter alignWithMargins="0">
    <oddFooter>&amp;L&amp;A</oddFooter>
  </headerFooter>
  <rowBreaks count="4" manualBreakCount="4">
    <brk id="53" max="255" man="1"/>
    <brk id="105" max="255" man="1"/>
    <brk id="152" max="255" man="1"/>
    <brk id="19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0"/>
  <sheetViews>
    <sheetView zoomScalePageLayoutView="0" workbookViewId="0" topLeftCell="A61">
      <selection activeCell="B104" sqref="B104"/>
    </sheetView>
  </sheetViews>
  <sheetFormatPr defaultColWidth="9.140625" defaultRowHeight="12.75"/>
  <cols>
    <col min="1" max="1" width="72.28125" style="0" customWidth="1"/>
    <col min="2" max="2" width="21.8515625" style="323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519" t="str">
        <f>'Trial Balance'!A1:F1</f>
        <v>Rideau St. Lawrence Distribution Inc.</v>
      </c>
      <c r="B1" s="519"/>
    </row>
    <row r="2" spans="1:2" ht="12.75">
      <c r="A2" s="519" t="str">
        <f>'Trial Balance'!A2:F2</f>
        <v> License Number ED-2003-0003, File Number EB-2011-0274</v>
      </c>
      <c r="B2" s="519"/>
    </row>
    <row r="3" spans="1:2" s="20" customFormat="1" ht="15.75">
      <c r="A3" s="537" t="str">
        <f>Notes!B4</f>
        <v>Rideau St. Lawrence Distribution Inc.</v>
      </c>
      <c r="B3" s="537"/>
    </row>
    <row r="4" spans="1:2" s="20" customFormat="1" ht="15.75">
      <c r="A4" s="543" t="s">
        <v>191</v>
      </c>
      <c r="B4" s="543"/>
    </row>
    <row r="5" spans="1:2" ht="15" customHeight="1">
      <c r="A5" s="63" t="s">
        <v>510</v>
      </c>
      <c r="B5" s="340" t="s">
        <v>150</v>
      </c>
    </row>
    <row r="6" spans="1:2" ht="15" customHeight="1">
      <c r="A6" s="542" t="s">
        <v>138</v>
      </c>
      <c r="B6" s="542"/>
    </row>
    <row r="7" spans="1:7" ht="15" customHeight="1">
      <c r="A7" s="25" t="str">
        <f>'Trial Balance'!A206&amp;"-"&amp;'Trial Balance'!B206</f>
        <v>4006-Residential Energy Sales</v>
      </c>
      <c r="B7" s="339">
        <f>'Trial Balance'!F206</f>
        <v>-2410293.09</v>
      </c>
      <c r="D7" s="11"/>
      <c r="E7" s="12"/>
      <c r="F7" s="13"/>
      <c r="G7" s="15"/>
    </row>
    <row r="8" spans="1:7" ht="15" customHeight="1">
      <c r="A8" s="25" t="str">
        <f>'Trial Balance'!A207&amp;"-"&amp;'Trial Balance'!B207</f>
        <v>4010-Commercial Energy Sales GS&lt;50 &amp; USL</v>
      </c>
      <c r="B8" s="339">
        <f>'Trial Balance'!F207</f>
        <v>-1223836.35</v>
      </c>
      <c r="D8" s="11"/>
      <c r="E8" s="12"/>
      <c r="F8" s="13"/>
      <c r="G8" s="15"/>
    </row>
    <row r="9" spans="1:7" ht="15" customHeight="1">
      <c r="A9" s="25" t="str">
        <f>'Trial Balance'!A208&amp;"-"&amp;'Trial Balance'!B208</f>
        <v>4015-Industrial Energy Sales/Intermediate</v>
      </c>
      <c r="B9" s="339">
        <f>'Trial Balance'!F208</f>
        <v>-2012543.23</v>
      </c>
      <c r="D9" s="11"/>
      <c r="E9" s="12"/>
      <c r="F9" s="13"/>
      <c r="G9" s="15"/>
    </row>
    <row r="10" spans="1:7" ht="15" customHeight="1">
      <c r="A10" s="25" t="str">
        <f>'Trial Balance'!A209&amp;"-"&amp;'Trial Balance'!B209</f>
        <v>4020-Energy Sales to Large Users</v>
      </c>
      <c r="B10" s="339">
        <f>'Trial Balance'!F209</f>
        <v>0</v>
      </c>
      <c r="D10" s="11"/>
      <c r="E10" s="12"/>
      <c r="F10" s="13"/>
      <c r="G10" s="15"/>
    </row>
    <row r="11" spans="1:7" ht="15" customHeight="1">
      <c r="A11" s="25" t="str">
        <f>'Trial Balance'!A210&amp;"-"&amp;'Trial Balance'!B210</f>
        <v>4025-Street Lighting Energy Sales</v>
      </c>
      <c r="B11" s="339">
        <f>'Trial Balance'!F210</f>
        <v>-92753.55</v>
      </c>
      <c r="D11" s="11"/>
      <c r="E11" s="12"/>
      <c r="F11" s="13"/>
      <c r="G11" s="15"/>
    </row>
    <row r="12" spans="1:7" ht="15" customHeight="1">
      <c r="A12" s="25" t="str">
        <f>'Trial Balance'!A211&amp;"-"&amp;'Trial Balance'!B211</f>
        <v>4030-Sentinel Energy Sales</v>
      </c>
      <c r="B12" s="339">
        <f>'Trial Balance'!F211</f>
        <v>-5982.54</v>
      </c>
      <c r="D12" s="11"/>
      <c r="E12" s="12"/>
      <c r="F12" s="13"/>
      <c r="G12" s="15"/>
    </row>
    <row r="13" spans="1:7" ht="15" customHeight="1">
      <c r="A13" s="25" t="str">
        <f>'Trial Balance'!A212&amp;"-"&amp;'Trial Balance'!B212</f>
        <v>4035-General Energy Sales GS&gt; 50- 2999</v>
      </c>
      <c r="B13" s="339">
        <f>'Trial Balance'!F212</f>
        <v>0</v>
      </c>
      <c r="D13" s="11"/>
      <c r="E13" s="12"/>
      <c r="F13" s="13"/>
      <c r="G13" s="15"/>
    </row>
    <row r="14" spans="1:7" ht="15" customHeight="1">
      <c r="A14" s="25" t="str">
        <f>'Trial Balance'!A213&amp;"-"&amp;'Trial Balance'!B213</f>
        <v>4040-Other Energy Sales to Public Authorities</v>
      </c>
      <c r="B14" s="339">
        <f>'Trial Balance'!F213</f>
        <v>0</v>
      </c>
      <c r="D14" s="11"/>
      <c r="E14" s="12"/>
      <c r="F14" s="13"/>
      <c r="G14" s="15"/>
    </row>
    <row r="15" spans="1:7" ht="15" customHeight="1">
      <c r="A15" s="25" t="str">
        <f>'Trial Balance'!A214&amp;"-"&amp;'Trial Balance'!B214</f>
        <v>4045-Energy Sales to Railroads and Railways</v>
      </c>
      <c r="B15" s="339">
        <f>'Trial Balance'!F214</f>
        <v>0</v>
      </c>
      <c r="D15" s="11"/>
      <c r="E15" s="12"/>
      <c r="F15" s="13"/>
      <c r="G15" s="15"/>
    </row>
    <row r="16" spans="1:7" ht="15" customHeight="1">
      <c r="A16" s="25" t="str">
        <f>'Trial Balance'!A215&amp;"-"&amp;'Trial Balance'!B215</f>
        <v>4050-Revenue Adjustment</v>
      </c>
      <c r="B16" s="339">
        <f>'Trial Balance'!F215</f>
        <v>0</v>
      </c>
      <c r="D16" s="11"/>
      <c r="E16" s="12"/>
      <c r="F16" s="13"/>
      <c r="G16" s="15"/>
    </row>
    <row r="17" spans="1:7" ht="15" customHeight="1">
      <c r="A17" s="25" t="str">
        <f>'Trial Balance'!A216&amp;"-"&amp;'Trial Balance'!B216</f>
        <v>4055-Energy Sales for Resale</v>
      </c>
      <c r="B17" s="339">
        <f>'Trial Balance'!F216</f>
        <v>-1377673.53</v>
      </c>
      <c r="D17" s="11"/>
      <c r="E17" s="14"/>
      <c r="F17" s="13"/>
      <c r="G17" s="15"/>
    </row>
    <row r="18" spans="1:7" ht="15" customHeight="1">
      <c r="A18" s="25" t="str">
        <f>'Trial Balance'!A217&amp;"-"&amp;'Trial Balance'!B217</f>
        <v>4060-Interdepartmental Energy Sales</v>
      </c>
      <c r="B18" s="339">
        <f>'Trial Balance'!F217</f>
        <v>0</v>
      </c>
      <c r="D18" s="11"/>
      <c r="E18" s="12"/>
      <c r="F18" s="13"/>
      <c r="G18" s="15"/>
    </row>
    <row r="19" spans="1:7" ht="15" customHeight="1">
      <c r="A19" s="25" t="str">
        <f>'Trial Balance'!A218&amp;"-"&amp;'Trial Balance'!B218</f>
        <v>4062-WMS</v>
      </c>
      <c r="B19" s="339">
        <f>'Trial Balance'!F218</f>
        <v>-723476.27</v>
      </c>
      <c r="D19" s="11"/>
      <c r="E19" s="12"/>
      <c r="F19" s="13"/>
      <c r="G19" s="15"/>
    </row>
    <row r="20" spans="1:7" ht="15" customHeight="1">
      <c r="A20" s="25" t="str">
        <f>'Trial Balance'!A219&amp;"-"&amp;'Trial Balance'!B219</f>
        <v>4064-Billed WMS-One Time</v>
      </c>
      <c r="B20" s="339">
        <f>'Trial Balance'!F219</f>
        <v>0</v>
      </c>
      <c r="D20" s="11"/>
      <c r="E20" s="12"/>
      <c r="F20" s="13"/>
      <c r="G20" s="15"/>
    </row>
    <row r="21" spans="1:7" ht="15" customHeight="1">
      <c r="A21" s="25" t="str">
        <f>'Trial Balance'!A220&amp;"-"&amp;'Trial Balance'!B220</f>
        <v>4066-NS</v>
      </c>
      <c r="B21" s="339">
        <f>'Trial Balance'!F220</f>
        <v>-540602.17</v>
      </c>
      <c r="D21" s="11"/>
      <c r="E21" s="12"/>
      <c r="F21" s="13"/>
      <c r="G21" s="15"/>
    </row>
    <row r="22" spans="1:7" ht="15" customHeight="1">
      <c r="A22" s="25" t="str">
        <f>'Trial Balance'!A221&amp;"-"&amp;'Trial Balance'!B221</f>
        <v>4068-CS</v>
      </c>
      <c r="B22" s="339">
        <f>'Trial Balance'!F221</f>
        <v>-483114.84</v>
      </c>
      <c r="D22" s="11"/>
      <c r="E22" s="12"/>
      <c r="F22" s="13"/>
      <c r="G22" s="15"/>
    </row>
    <row r="23" spans="1:7" ht="15" customHeight="1" thickBot="1">
      <c r="A23" s="25" t="str">
        <f>'Trial Balance'!A222&amp;"-"&amp;'Trial Balance'!B222</f>
        <v>4075-LV Charges</v>
      </c>
      <c r="B23" s="339">
        <f>'Trial Balance'!F222</f>
        <v>-99554.05</v>
      </c>
      <c r="D23" s="11"/>
      <c r="E23" s="12"/>
      <c r="F23" s="13"/>
      <c r="G23" s="15"/>
    </row>
    <row r="24" spans="1:7" ht="15" customHeight="1" thickBot="1">
      <c r="A24" s="30" t="s">
        <v>139</v>
      </c>
      <c r="B24" s="341">
        <f>SUM(B7:B23)</f>
        <v>-8969829.620000001</v>
      </c>
      <c r="D24" s="11"/>
      <c r="E24" s="14"/>
      <c r="F24" s="13"/>
      <c r="G24" s="15"/>
    </row>
    <row r="25" spans="1:7" s="18" customFormat="1" ht="15" customHeight="1">
      <c r="A25" s="538"/>
      <c r="B25" s="539"/>
      <c r="D25" s="19"/>
      <c r="E25" s="12"/>
      <c r="F25" s="15"/>
      <c r="G25" s="15"/>
    </row>
    <row r="26" spans="1:7" s="18" customFormat="1" ht="15" customHeight="1">
      <c r="A26" s="542" t="s">
        <v>140</v>
      </c>
      <c r="B26" s="542"/>
      <c r="D26" s="19"/>
      <c r="E26" s="12"/>
      <c r="F26" s="15"/>
      <c r="G26" s="15"/>
    </row>
    <row r="27" spans="1:7" ht="15" customHeight="1">
      <c r="A27" s="25" t="str">
        <f>'Trial Balance'!A224&amp;"-"&amp;'Trial Balance'!B224</f>
        <v>4080-Distribution Services Revenue</v>
      </c>
      <c r="B27" s="339">
        <f>'Trial Balance'!F224</f>
        <v>-1983789.05</v>
      </c>
      <c r="D27" s="11"/>
      <c r="E27" s="14"/>
      <c r="F27" s="13"/>
      <c r="G27" s="15"/>
    </row>
    <row r="28" spans="1:7" ht="15" customHeight="1">
      <c r="A28" s="25" t="str">
        <f>'Trial Balance'!A225&amp;"-"&amp;'Trial Balance'!B225</f>
        <v>4082-RS Rev</v>
      </c>
      <c r="B28" s="339">
        <f>'Trial Balance'!F225</f>
        <v>-8766.4</v>
      </c>
      <c r="D28" s="11"/>
      <c r="E28" s="14"/>
      <c r="F28" s="13"/>
      <c r="G28" s="15"/>
    </row>
    <row r="29" spans="1:7" ht="15" customHeight="1">
      <c r="A29" s="25" t="str">
        <f>'Trial Balance'!A226&amp;"-"&amp;'Trial Balance'!B226</f>
        <v>4084-Serv Tx Requests</v>
      </c>
      <c r="B29" s="339">
        <f>'Trial Balance'!F226</f>
        <v>-158.25</v>
      </c>
      <c r="D29" s="11"/>
      <c r="E29" s="14"/>
      <c r="F29" s="13"/>
      <c r="G29" s="15"/>
    </row>
    <row r="30" spans="1:7" ht="15" customHeight="1" thickBot="1">
      <c r="A30" s="25" t="str">
        <f>'Trial Balance'!A227&amp;"-"&amp;'Trial Balance'!B227</f>
        <v>4090-Electric Services Incidental to Energy Sales</v>
      </c>
      <c r="B30" s="339">
        <f>'Trial Balance'!F227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41">
        <f>SUM(B27:B30)</f>
        <v>-1992713.7</v>
      </c>
      <c r="D31" s="11"/>
      <c r="E31" s="12"/>
      <c r="F31" s="13"/>
      <c r="G31" s="15"/>
    </row>
    <row r="32" spans="1:7" s="18" customFormat="1" ht="15" customHeight="1">
      <c r="A32" s="538"/>
      <c r="B32" s="539"/>
      <c r="D32" s="19"/>
      <c r="E32" s="12"/>
      <c r="F32" s="15"/>
      <c r="G32" s="15"/>
    </row>
    <row r="33" spans="1:7" s="18" customFormat="1" ht="15" customHeight="1">
      <c r="A33" s="542" t="s">
        <v>75</v>
      </c>
      <c r="B33" s="542"/>
      <c r="D33" s="19"/>
      <c r="E33" s="12"/>
      <c r="F33" s="15"/>
      <c r="G33" s="15"/>
    </row>
    <row r="34" spans="1:7" ht="15" customHeight="1">
      <c r="A34" s="25" t="str">
        <f>'Trial Balance'!A229&amp;"-"&amp;'Trial Balance'!B229</f>
        <v>4205-Interdepartmental Rents</v>
      </c>
      <c r="B34" s="339">
        <f>'Trial Balance'!F229</f>
        <v>0</v>
      </c>
      <c r="D34" s="11"/>
      <c r="E34" s="14"/>
      <c r="F34" s="13"/>
      <c r="G34" s="15"/>
    </row>
    <row r="35" spans="1:2" ht="15" customHeight="1">
      <c r="A35" s="25" t="str">
        <f>'Trial Balance'!A230&amp;"-"&amp;'Trial Balance'!B230</f>
        <v>4210-Rent from Electric Property</v>
      </c>
      <c r="B35" s="339">
        <f>'Trial Balance'!F230</f>
        <v>-37234.98</v>
      </c>
    </row>
    <row r="36" spans="1:2" ht="15" customHeight="1">
      <c r="A36" s="25" t="str">
        <f>'Trial Balance'!A231&amp;"-"&amp;'Trial Balance'!B231</f>
        <v>4215-Other Utility Operating Income</v>
      </c>
      <c r="B36" s="339">
        <f>'Trial Balance'!F231</f>
        <v>0</v>
      </c>
    </row>
    <row r="37" spans="1:2" ht="15" customHeight="1">
      <c r="A37" s="25" t="str">
        <f>'Trial Balance'!A232&amp;"-"&amp;'Trial Balance'!B232</f>
        <v>4220-Other Electric Revenues</v>
      </c>
      <c r="B37" s="339">
        <f>'Trial Balance'!F232</f>
        <v>0</v>
      </c>
    </row>
    <row r="38" spans="1:2" ht="15" customHeight="1">
      <c r="A38" s="25" t="str">
        <f>'Trial Balance'!A233&amp;"-"&amp;'Trial Balance'!B233</f>
        <v>4225-Late Payment Charges</v>
      </c>
      <c r="B38" s="339">
        <f>'Trial Balance'!F233</f>
        <v>-52702.94</v>
      </c>
    </row>
    <row r="39" spans="1:2" ht="15" customHeight="1">
      <c r="A39" s="25" t="str">
        <f>'Trial Balance'!A234&amp;"-"&amp;'Trial Balance'!B234</f>
        <v>4230-Sales of Water and Water Power</v>
      </c>
      <c r="B39" s="339">
        <f>'Trial Balance'!F234</f>
        <v>0</v>
      </c>
    </row>
    <row r="40" spans="1:2" ht="15" customHeight="1">
      <c r="A40" s="25" t="str">
        <f>'Trial Balance'!A235&amp;"-"&amp;'Trial Balance'!B235</f>
        <v>4235-Miscellaneous Service Revenues</v>
      </c>
      <c r="B40" s="339">
        <f>'Trial Balance'!F235</f>
        <v>-102691.5</v>
      </c>
    </row>
    <row r="41" spans="1:2" ht="15" customHeight="1">
      <c r="A41" s="25" t="str">
        <f>'Trial Balance'!A236&amp;"-"&amp;'Trial Balance'!B236</f>
        <v>4240-Provision for Rate Refunds</v>
      </c>
      <c r="B41" s="339">
        <f>'Trial Balance'!F236</f>
        <v>0</v>
      </c>
    </row>
    <row r="42" spans="1:2" ht="15" customHeight="1" thickBot="1">
      <c r="A42" s="25" t="str">
        <f>'Trial Balance'!A237&amp;"-"&amp;'Trial Balance'!B237</f>
        <v>4245-Government Assistance Directly Credited to Income</v>
      </c>
      <c r="B42" s="339">
        <f>'Trial Balance'!F237</f>
        <v>0</v>
      </c>
    </row>
    <row r="43" spans="1:2" ht="15" customHeight="1" thickBot="1">
      <c r="A43" s="30" t="s">
        <v>86</v>
      </c>
      <c r="B43" s="341">
        <f>SUM(B34:B42)</f>
        <v>-192629.42</v>
      </c>
    </row>
    <row r="44" spans="1:2" s="18" customFormat="1" ht="15" customHeight="1">
      <c r="A44" s="538"/>
      <c r="B44" s="539"/>
    </row>
    <row r="45" spans="1:2" s="18" customFormat="1" ht="15" customHeight="1">
      <c r="A45" s="542" t="s">
        <v>87</v>
      </c>
      <c r="B45" s="542"/>
    </row>
    <row r="46" spans="1:2" ht="15" customHeight="1">
      <c r="A46" s="25" t="str">
        <f>'Trial Balance'!A239&amp;"-"&amp;'Trial Balance'!B239</f>
        <v>4305-Regulatory Debits</v>
      </c>
      <c r="B46" s="339">
        <f>'Trial Balance'!F239</f>
        <v>0</v>
      </c>
    </row>
    <row r="47" spans="1:2" ht="15" customHeight="1">
      <c r="A47" s="25" t="str">
        <f>'Trial Balance'!A240&amp;"-"&amp;'Trial Balance'!B240</f>
        <v>4310-Regulatory Credits</v>
      </c>
      <c r="B47" s="339">
        <f>'Trial Balance'!F240</f>
        <v>0</v>
      </c>
    </row>
    <row r="48" spans="1:2" ht="15" customHeight="1">
      <c r="A48" s="25" t="str">
        <f>'Trial Balance'!A241&amp;"-"&amp;'Trial Balance'!B241</f>
        <v>4315-Revenues from Electric Plant Leased to Others</v>
      </c>
      <c r="B48" s="339">
        <f>'Trial Balance'!F241</f>
        <v>0</v>
      </c>
    </row>
    <row r="49" spans="1:2" ht="15" customHeight="1">
      <c r="A49" s="25" t="str">
        <f>'Trial Balance'!A242&amp;"-"&amp;'Trial Balance'!B242</f>
        <v>4320-Expenses of Electric Plant Leased to Others</v>
      </c>
      <c r="B49" s="339">
        <f>'Trial Balance'!F242</f>
        <v>0</v>
      </c>
    </row>
    <row r="50" spans="1:2" ht="15" customHeight="1">
      <c r="A50" s="25" t="str">
        <f>'Trial Balance'!A244&amp;"-"&amp;'Trial Balance'!B244</f>
        <v>4325-Revenues from Merchandise, Jobbing, Etc.</v>
      </c>
      <c r="B50" s="339">
        <f>'Trial Balance'!F244</f>
        <v>0</v>
      </c>
    </row>
    <row r="51" spans="1:2" ht="15" customHeight="1">
      <c r="A51" s="25" t="str">
        <f>'Trial Balance'!A245&amp;"-"&amp;'Trial Balance'!B245</f>
        <v>4330-Costs and Expenses of Merchandising, Jobbing, Etc</v>
      </c>
      <c r="B51" s="339">
        <f>'Trial Balance'!F245</f>
        <v>0</v>
      </c>
    </row>
    <row r="52" spans="1:2" ht="15" customHeight="1">
      <c r="A52" s="25" t="str">
        <f>'Trial Balance'!A246&amp;"-"&amp;'Trial Balance'!B246</f>
        <v>4335-Profits and Losses from Financial Instrument Hedges</v>
      </c>
      <c r="B52" s="339">
        <f>'Trial Balance'!F246</f>
        <v>0</v>
      </c>
    </row>
    <row r="53" spans="1:2" ht="15" customHeight="1">
      <c r="A53" s="25" t="str">
        <f>'Trial Balance'!A247&amp;"-"&amp;'Trial Balance'!B247</f>
        <v>4340-Profits and Losses from Financial Instrument Investments</v>
      </c>
      <c r="B53" s="339">
        <f>'Trial Balance'!F247</f>
        <v>0</v>
      </c>
    </row>
    <row r="54" spans="1:2" ht="15" customHeight="1">
      <c r="A54" s="25" t="str">
        <f>'Trial Balance'!A248&amp;"-"&amp;'Trial Balance'!B248</f>
        <v>4345-Gains from Disposition of Future Use Utility Plant</v>
      </c>
      <c r="B54" s="339">
        <f>'Trial Balance'!F248</f>
        <v>0</v>
      </c>
    </row>
    <row r="55" spans="1:2" ht="15" customHeight="1">
      <c r="A55" s="25" t="str">
        <f>'Trial Balance'!A249&amp;"-"&amp;'Trial Balance'!B249</f>
        <v>4350-Losses from Disposition of Future Use Utility Plant</v>
      </c>
      <c r="B55" s="339">
        <f>'Trial Balance'!F249</f>
        <v>0</v>
      </c>
    </row>
    <row r="56" spans="1:2" ht="15" customHeight="1">
      <c r="A56" s="25" t="str">
        <f>'Trial Balance'!A250&amp;"-"&amp;'Trial Balance'!B250</f>
        <v>4355-Gain on Disposition of Utility and Other Property</v>
      </c>
      <c r="B56" s="339">
        <f>'Trial Balance'!F250</f>
        <v>-2886.64</v>
      </c>
    </row>
    <row r="57" spans="1:2" ht="15" customHeight="1">
      <c r="A57" s="25" t="str">
        <f>'Trial Balance'!A251&amp;"-"&amp;'Trial Balance'!B251</f>
        <v>4360-Loss on Disposition of Utility and Other Property</v>
      </c>
      <c r="B57" s="339">
        <f>'Trial Balance'!F251</f>
        <v>0</v>
      </c>
    </row>
    <row r="58" spans="1:2" ht="15" customHeight="1">
      <c r="A58" s="25" t="str">
        <f>'Trial Balance'!A252&amp;"-"&amp;'Trial Balance'!B252</f>
        <v>4365-Gains from Disposition of Allowances for Emission</v>
      </c>
      <c r="B58" s="339">
        <f>'Trial Balance'!F252</f>
        <v>0</v>
      </c>
    </row>
    <row r="59" spans="1:2" ht="15" customHeight="1">
      <c r="A59" s="25" t="str">
        <f>'Trial Balance'!A253&amp;"-"&amp;'Trial Balance'!B253</f>
        <v>4370-Losses from Disposition of Allowances for Emission</v>
      </c>
      <c r="B59" s="339">
        <f>'Trial Balance'!F253</f>
        <v>0</v>
      </c>
    </row>
    <row r="60" spans="1:2" ht="15" customHeight="1">
      <c r="A60" s="25" t="str">
        <f>'Trial Balance'!A254&amp;"-"&amp;'Trial Balance'!B254</f>
        <v>4375-Revenues from Non-Utility Operations</v>
      </c>
      <c r="B60" s="339">
        <f>'Trial Balance'!F254</f>
        <v>-25118.1</v>
      </c>
    </row>
    <row r="61" spans="1:2" ht="15" customHeight="1">
      <c r="A61" s="25" t="str">
        <f>'Trial Balance'!A255&amp;"-"&amp;'Trial Balance'!B255</f>
        <v>4380-Expenses of Non-Utility Operations</v>
      </c>
      <c r="B61" s="339">
        <f>'Trial Balance'!F255</f>
        <v>-5038.75</v>
      </c>
    </row>
    <row r="62" spans="1:2" ht="15" customHeight="1">
      <c r="A62" s="25" t="str">
        <f>'Trial Balance'!A256&amp;"-"&amp;'Trial Balance'!B256</f>
        <v>4385-Expenses of Non-Utility Operations</v>
      </c>
      <c r="B62" s="339">
        <f>'Trial Balance'!F256</f>
        <v>0</v>
      </c>
    </row>
    <row r="63" spans="1:2" ht="15" customHeight="1">
      <c r="A63" s="25" t="str">
        <f>'Trial Balance'!A257&amp;"-"&amp;'Trial Balance'!B257</f>
        <v>4390-Miscellaneous Non-Operating Income</v>
      </c>
      <c r="B63" s="339">
        <f>'Trial Balance'!F257</f>
        <v>0</v>
      </c>
    </row>
    <row r="64" spans="1:2" ht="15" customHeight="1">
      <c r="A64" s="25" t="str">
        <f>'Trial Balance'!A258&amp;"-"&amp;'Trial Balance'!B258</f>
        <v>4395-Rate-Payer Benefit Including Interest</v>
      </c>
      <c r="B64" s="339">
        <f>'Trial Balance'!F258</f>
        <v>0</v>
      </c>
    </row>
    <row r="65" spans="1:2" ht="15" customHeight="1" thickBot="1">
      <c r="A65" s="25" t="str">
        <f>'Trial Balance'!A259&amp;"-"&amp;'Trial Balance'!B259</f>
        <v>4398-Foreign Exchange Gains and Losses, Including Amortization</v>
      </c>
      <c r="B65" s="339">
        <f>'Trial Balance'!F259</f>
        <v>0</v>
      </c>
    </row>
    <row r="66" spans="1:2" ht="15" customHeight="1" thickBot="1">
      <c r="A66" s="30" t="s">
        <v>82</v>
      </c>
      <c r="B66" s="341">
        <f>SUM(B46:B65)</f>
        <v>-33043.49</v>
      </c>
    </row>
    <row r="67" spans="1:2" s="18" customFormat="1" ht="15" customHeight="1">
      <c r="A67" s="538"/>
      <c r="B67" s="539"/>
    </row>
    <row r="68" spans="1:2" s="18" customFormat="1" ht="15" customHeight="1">
      <c r="A68" s="542" t="s">
        <v>83</v>
      </c>
      <c r="B68" s="542"/>
    </row>
    <row r="69" spans="1:2" s="18" customFormat="1" ht="15" customHeight="1">
      <c r="A69" s="25" t="str">
        <f>'Trial Balance'!A261&amp;"-"&amp;'Trial Balance'!B261</f>
        <v>4405-Interest and Dividend Income</v>
      </c>
      <c r="B69" s="339">
        <f>'Trial Balance'!F261</f>
        <v>-4516.67</v>
      </c>
    </row>
    <row r="70" spans="1:2" ht="15" customHeight="1" thickBot="1">
      <c r="A70" s="25" t="str">
        <f>'Trial Balance'!A262&amp;"-"&amp;'Trial Balance'!B262</f>
        <v>4415-Equity in Earnings of Subsidiary Companies</v>
      </c>
      <c r="B70" s="339">
        <f>'Trial Balance'!F262</f>
        <v>0</v>
      </c>
    </row>
    <row r="71" spans="1:2" ht="15" customHeight="1" thickBot="1">
      <c r="A71" s="30" t="s">
        <v>84</v>
      </c>
      <c r="B71" s="341">
        <f>SUM(B69:B70)</f>
        <v>-4516.67</v>
      </c>
    </row>
    <row r="72" spans="1:2" s="18" customFormat="1" ht="15" customHeight="1">
      <c r="A72" s="538"/>
      <c r="B72" s="539"/>
    </row>
    <row r="73" spans="1:2" s="18" customFormat="1" ht="15" customHeight="1">
      <c r="A73" s="542" t="s">
        <v>85</v>
      </c>
      <c r="B73" s="542"/>
    </row>
    <row r="74" spans="1:2" ht="15" customHeight="1">
      <c r="A74" s="25" t="str">
        <f>'Trial Balance'!A264&amp;"-"&amp;'Trial Balance'!B264</f>
        <v>4705-Power Purchased</v>
      </c>
      <c r="B74" s="339">
        <f>'Trial Balance'!F264</f>
        <v>7132006.94</v>
      </c>
    </row>
    <row r="75" spans="1:2" ht="15" customHeight="1">
      <c r="A75" s="25" t="str">
        <f>'Trial Balance'!A265&amp;"-"&amp;'Trial Balance'!B265</f>
        <v>4708-WMS</v>
      </c>
      <c r="B75" s="339">
        <f>'Trial Balance'!F265</f>
        <v>582596.89</v>
      </c>
    </row>
    <row r="76" spans="1:2" ht="15" customHeight="1">
      <c r="A76" s="25" t="str">
        <f>'Trial Balance'!A266&amp;"-"&amp;'Trial Balance'!B266</f>
        <v>4710-Cost of Power Adjustments</v>
      </c>
      <c r="B76" s="339">
        <f>'Trial Balance'!F266</f>
        <v>0</v>
      </c>
    </row>
    <row r="77" spans="1:2" ht="15" customHeight="1">
      <c r="A77" s="25" t="str">
        <f>'Trial Balance'!A267&amp;"-"&amp;'Trial Balance'!B267</f>
        <v>4712-0</v>
      </c>
      <c r="B77" s="339">
        <f>'Trial Balance'!F267</f>
        <v>0</v>
      </c>
    </row>
    <row r="78" spans="1:2" ht="15" customHeight="1">
      <c r="A78" s="25" t="str">
        <f>'Trial Balance'!A268&amp;"-"&amp;'Trial Balance'!B268</f>
        <v>4714-NW</v>
      </c>
      <c r="B78" s="339">
        <f>'Trial Balance'!F268</f>
        <v>540602.17</v>
      </c>
    </row>
    <row r="79" spans="1:2" ht="15" customHeight="1">
      <c r="A79" s="25" t="str">
        <f>'Trial Balance'!A269&amp;"-"&amp;'Trial Balance'!B269</f>
        <v>4715-System Control and Load Dispatching</v>
      </c>
      <c r="B79" s="339">
        <f>'Trial Balance'!F269</f>
        <v>0</v>
      </c>
    </row>
    <row r="80" spans="1:2" ht="15" customHeight="1">
      <c r="A80" s="25" t="str">
        <f>'Trial Balance'!A270&amp;"-"&amp;'Trial Balance'!B270</f>
        <v>4716-NCN</v>
      </c>
      <c r="B80" s="339">
        <f>'Trial Balance'!F270</f>
        <v>483114.84</v>
      </c>
    </row>
    <row r="81" spans="1:2" ht="15" customHeight="1">
      <c r="A81" s="25" t="str">
        <f>'Trial Balance'!A271&amp;"-"&amp;'Trial Balance'!B271</f>
        <v>4720-Other Expenses</v>
      </c>
      <c r="B81" s="339">
        <f>'Trial Balance'!F271</f>
        <v>0</v>
      </c>
    </row>
    <row r="82" spans="1:2" ht="15" customHeight="1">
      <c r="A82" s="25" t="str">
        <f>'Trial Balance'!A272&amp;"-"&amp;'Trial Balance'!B272</f>
        <v>4725-Competition Transition Expense</v>
      </c>
      <c r="B82" s="339">
        <f>'Trial Balance'!F272</f>
        <v>0</v>
      </c>
    </row>
    <row r="83" spans="1:2" ht="15" customHeight="1">
      <c r="A83" s="25" t="str">
        <f>'Trial Balance'!A273&amp;"-"&amp;'Trial Balance'!B273</f>
        <v>4730-Rural Rate Assistance Expense</v>
      </c>
      <c r="B83" s="339">
        <f>'Trial Balance'!F273</f>
        <v>140879.38</v>
      </c>
    </row>
    <row r="84" spans="1:2" ht="15" customHeight="1" thickBot="1">
      <c r="A84" s="25" t="str">
        <f>'Trial Balance'!A274&amp;"-"&amp;'Trial Balance'!B274</f>
        <v>4750-LV Charges</v>
      </c>
      <c r="B84" s="339">
        <f>'Trial Balance'!F274</f>
        <v>99554.05</v>
      </c>
    </row>
    <row r="85" spans="1:2" ht="15" customHeight="1" thickBot="1">
      <c r="A85" s="30" t="s">
        <v>519</v>
      </c>
      <c r="B85" s="341">
        <f>SUM(B74:B84)</f>
        <v>8978754.270000001</v>
      </c>
    </row>
    <row r="86" spans="1:2" s="18" customFormat="1" ht="15" customHeight="1">
      <c r="A86" s="538"/>
      <c r="B86" s="539"/>
    </row>
    <row r="87" spans="1:2" s="18" customFormat="1" ht="15" customHeight="1">
      <c r="A87" s="542" t="s">
        <v>520</v>
      </c>
      <c r="B87" s="542"/>
    </row>
    <row r="88" spans="1:2" ht="15" customHeight="1">
      <c r="A88" s="25" t="str">
        <f>'Trial Balance'!A276&amp;"-"&amp;'Trial Balance'!B276</f>
        <v>5005-Operation Supervision and Engineering</v>
      </c>
      <c r="B88" s="339">
        <f>'Trial Balance'!F276</f>
        <v>103931.17</v>
      </c>
    </row>
    <row r="89" spans="1:2" ht="15" customHeight="1">
      <c r="A89" s="25" t="str">
        <f>'Trial Balance'!A277&amp;"-"&amp;'Trial Balance'!B277</f>
        <v>5010-Load Dispatching</v>
      </c>
      <c r="B89" s="339">
        <f>'Trial Balance'!F277</f>
        <v>0</v>
      </c>
    </row>
    <row r="90" spans="1:2" ht="15" customHeight="1">
      <c r="A90" s="25" t="str">
        <f>'Trial Balance'!A278&amp;"-"&amp;'Trial Balance'!B278</f>
        <v>5012-Station Buildings and Fixtures Expense</v>
      </c>
      <c r="B90" s="339">
        <f>'Trial Balance'!F278</f>
        <v>1053.36</v>
      </c>
    </row>
    <row r="91" spans="1:2" ht="15" customHeight="1">
      <c r="A91" s="25" t="str">
        <f>'Trial Balance'!A279&amp;"-"&amp;'Trial Balance'!B279</f>
        <v>5014-Transformer Station Equipment - Operation Labour</v>
      </c>
      <c r="B91" s="339">
        <f>'Trial Balance'!F279</f>
        <v>0</v>
      </c>
    </row>
    <row r="92" spans="1:2" ht="15" customHeight="1">
      <c r="A92" s="25" t="str">
        <f>'Trial Balance'!A280&amp;"-"&amp;'Trial Balance'!B280</f>
        <v>5015-Transformer Station Equipment - Operation Supplies and Expenses</v>
      </c>
      <c r="B92" s="339">
        <f>'Trial Balance'!F280</f>
        <v>0</v>
      </c>
    </row>
    <row r="93" spans="1:2" ht="15" customHeight="1">
      <c r="A93" s="25" t="str">
        <f>'Trial Balance'!A281&amp;"-"&amp;'Trial Balance'!B281</f>
        <v>5016-Distribution Station Equipment - Operation Labour</v>
      </c>
      <c r="B93" s="339">
        <f>'Trial Balance'!F281</f>
        <v>2252.61</v>
      </c>
    </row>
    <row r="94" spans="1:2" ht="15" customHeight="1">
      <c r="A94" s="25" t="str">
        <f>'Trial Balance'!A282&amp;"-"&amp;'Trial Balance'!B282</f>
        <v>5017-Distribution Station Equipment - Operation Supplies and Expenses</v>
      </c>
      <c r="B94" s="339">
        <f>'Trial Balance'!F282</f>
        <v>0</v>
      </c>
    </row>
    <row r="95" spans="1:2" ht="15" customHeight="1">
      <c r="A95" s="25" t="str">
        <f>'Trial Balance'!A283&amp;"-"&amp;'Trial Balance'!B283</f>
        <v>5020-Overhead Distribution Lines and Feeders - Operation Labour</v>
      </c>
      <c r="B95" s="339">
        <f>'Trial Balance'!F283</f>
        <v>7962.06</v>
      </c>
    </row>
    <row r="96" spans="1:2" ht="15" customHeight="1">
      <c r="A96" s="25" t="str">
        <f>'Trial Balance'!A284&amp;"-"&amp;'Trial Balance'!B284</f>
        <v>5025-Overhead Distribution Lines and Feeders - Operation Supplies and Expenses</v>
      </c>
      <c r="B96" s="339">
        <f>'Trial Balance'!F284</f>
        <v>0</v>
      </c>
    </row>
    <row r="97" spans="1:2" ht="15" customHeight="1">
      <c r="A97" s="25" t="str">
        <f>'Trial Balance'!A285&amp;"-"&amp;'Trial Balance'!B285</f>
        <v>5030-Overhead Subtransmission Feeders - Operation</v>
      </c>
      <c r="B97" s="339">
        <f>'Trial Balance'!F285</f>
        <v>0</v>
      </c>
    </row>
    <row r="98" spans="1:2" ht="15" customHeight="1">
      <c r="A98" s="25" t="str">
        <f>'Trial Balance'!A286&amp;"-"&amp;'Trial Balance'!B286</f>
        <v>5035-Overhead Distribution Transformers - Operation</v>
      </c>
      <c r="B98" s="339">
        <f>'Trial Balance'!F286</f>
        <v>14394.07</v>
      </c>
    </row>
    <row r="99" spans="1:2" ht="15" customHeight="1">
      <c r="A99" s="25" t="str">
        <f>'Trial Balance'!A287&amp;"-"&amp;'Trial Balance'!B287</f>
        <v>5040-Underground Distribution Lines and Feeders - Operation Labour</v>
      </c>
      <c r="B99" s="339">
        <f>'Trial Balance'!F287</f>
        <v>0</v>
      </c>
    </row>
    <row r="100" spans="1:2" ht="15" customHeight="1">
      <c r="A100" s="25" t="str">
        <f>'Trial Balance'!A288&amp;"-"&amp;'Trial Balance'!B288</f>
        <v>5045-Underground Distribution Lines and Feeders - Operation Supplies and Expenses</v>
      </c>
      <c r="B100" s="339">
        <f>'Trial Balance'!F288</f>
        <v>0</v>
      </c>
    </row>
    <row r="101" spans="1:2" ht="15" customHeight="1">
      <c r="A101" s="25" t="str">
        <f>'Trial Balance'!A289&amp;"-"&amp;'Trial Balance'!B289</f>
        <v>5050-Underground Subtransmission Feeders - Operation</v>
      </c>
      <c r="B101" s="339">
        <f>'Trial Balance'!F289</f>
        <v>0</v>
      </c>
    </row>
    <row r="102" spans="1:2" ht="15" customHeight="1">
      <c r="A102" s="25" t="str">
        <f>'Trial Balance'!A290&amp;"-"&amp;'Trial Balance'!B290</f>
        <v>5055-Underground Distribution Transformers - Operation</v>
      </c>
      <c r="B102" s="339">
        <f>'Trial Balance'!F290</f>
        <v>0</v>
      </c>
    </row>
    <row r="103" spans="1:2" ht="15" customHeight="1">
      <c r="A103" s="25" t="str">
        <f>'Trial Balance'!A291&amp;"-"&amp;'Trial Balance'!B291</f>
        <v>5060-Street Lighting and Signal System Expense</v>
      </c>
      <c r="B103" s="339">
        <f>'Trial Balance'!F291</f>
        <v>0</v>
      </c>
    </row>
    <row r="104" spans="1:2" ht="15" customHeight="1">
      <c r="A104" s="25" t="str">
        <f>'Trial Balance'!A292&amp;"-"&amp;'Trial Balance'!B292</f>
        <v>5065-Meter Expense</v>
      </c>
      <c r="B104" s="339">
        <f>'Trial Balance'!F292</f>
        <v>7228.4</v>
      </c>
    </row>
    <row r="105" spans="1:2" ht="15" customHeight="1">
      <c r="A105" s="25" t="str">
        <f>'Trial Balance'!A293&amp;"-"&amp;'Trial Balance'!B293</f>
        <v>5070-Customer Premises - Operation Labour</v>
      </c>
      <c r="B105" s="339">
        <f>'Trial Balance'!F293</f>
        <v>0</v>
      </c>
    </row>
    <row r="106" spans="1:2" ht="15" customHeight="1">
      <c r="A106" s="25" t="str">
        <f>'Trial Balance'!A294&amp;"-"&amp;'Trial Balance'!B294</f>
        <v>5075-Customer Premises - Materials and Expenses</v>
      </c>
      <c r="B106" s="339">
        <f>'Trial Balance'!F294</f>
        <v>0</v>
      </c>
    </row>
    <row r="107" spans="1:2" ht="15" customHeight="1">
      <c r="A107" s="25" t="str">
        <f>'Trial Balance'!A295&amp;"-"&amp;'Trial Balance'!B295</f>
        <v>5085-Miscellaneous Distribution Expense</v>
      </c>
      <c r="B107" s="339">
        <f>'Trial Balance'!F295</f>
        <v>62203.93</v>
      </c>
    </row>
    <row r="108" spans="1:2" ht="15" customHeight="1">
      <c r="A108" s="25" t="str">
        <f>'Trial Balance'!A296&amp;"-"&amp;'Trial Balance'!B296</f>
        <v>5090-Underground Distribution Lines and Feeders - Rental Paid</v>
      </c>
      <c r="B108" s="339">
        <f>'Trial Balance'!F296</f>
        <v>0</v>
      </c>
    </row>
    <row r="109" spans="1:2" ht="15" customHeight="1">
      <c r="A109" s="25" t="str">
        <f>'Trial Balance'!A297&amp;"-"&amp;'Trial Balance'!B297</f>
        <v>5095-Overhead Distribution Lines and Feeders - Rental Paid</v>
      </c>
      <c r="B109" s="339">
        <f>'Trial Balance'!F297</f>
        <v>33748.43</v>
      </c>
    </row>
    <row r="110" spans="1:2" ht="15" customHeight="1" thickBot="1">
      <c r="A110" s="25" t="str">
        <f>'Trial Balance'!A298&amp;"-"&amp;'Trial Balance'!B298</f>
        <v>5096-Other Rent</v>
      </c>
      <c r="B110" s="339">
        <f>'Trial Balance'!F298</f>
        <v>0</v>
      </c>
    </row>
    <row r="111" spans="1:2" ht="15" customHeight="1" thickBot="1">
      <c r="A111" s="30" t="s">
        <v>523</v>
      </c>
      <c r="B111" s="341">
        <f>SUM(B88:B110)</f>
        <v>232774.02999999997</v>
      </c>
    </row>
    <row r="112" spans="1:2" s="18" customFormat="1" ht="15" customHeight="1">
      <c r="A112" s="538"/>
      <c r="B112" s="539"/>
    </row>
    <row r="113" spans="1:2" s="18" customFormat="1" ht="15" customHeight="1">
      <c r="A113" s="542" t="s">
        <v>524</v>
      </c>
      <c r="B113" s="542"/>
    </row>
    <row r="114" spans="1:2" ht="15" customHeight="1">
      <c r="A114" s="25" t="str">
        <f>'Trial Balance'!A300&amp;"-"&amp;'Trial Balance'!B300</f>
        <v>5105-Maintenance Supervision and Engineering</v>
      </c>
      <c r="B114" s="339">
        <f>'Trial Balance'!F300</f>
        <v>0</v>
      </c>
    </row>
    <row r="115" spans="1:2" ht="15" customHeight="1">
      <c r="A115" s="25" t="str">
        <f>'Trial Balance'!A301&amp;"-"&amp;'Trial Balance'!B301</f>
        <v>5110-Maintenance of Structures</v>
      </c>
      <c r="B115" s="339">
        <f>'Trial Balance'!F301</f>
        <v>0</v>
      </c>
    </row>
    <row r="116" spans="1:2" ht="15" customHeight="1">
      <c r="A116" s="25" t="str">
        <f>'Trial Balance'!A302&amp;"-"&amp;'Trial Balance'!B302</f>
        <v>5112-Maintenance of Transformer Station Equipment</v>
      </c>
      <c r="B116" s="339">
        <f>'Trial Balance'!F302</f>
        <v>0</v>
      </c>
    </row>
    <row r="117" spans="1:2" ht="15" customHeight="1">
      <c r="A117" s="25" t="str">
        <f>'Trial Balance'!A303&amp;"-"&amp;'Trial Balance'!B303</f>
        <v>5114-Mtaint Dist Stn Equip</v>
      </c>
      <c r="B117" s="339">
        <f>'Trial Balance'!F303</f>
        <v>43532.92</v>
      </c>
    </row>
    <row r="118" spans="1:2" ht="15" customHeight="1">
      <c r="A118" s="25" t="str">
        <f>'Trial Balance'!A304&amp;"-"&amp;'Trial Balance'!B304</f>
        <v>5120-Maintenance of Poles, Towers and Fixtures</v>
      </c>
      <c r="B118" s="339">
        <f>'Trial Balance'!F304</f>
        <v>19867.42</v>
      </c>
    </row>
    <row r="119" spans="1:2" ht="15" customHeight="1">
      <c r="A119" s="25" t="str">
        <f>'Trial Balance'!A305&amp;"-"&amp;'Trial Balance'!B305</f>
        <v>5125-Maintenance of Overhead Conductors and Devices</v>
      </c>
      <c r="B119" s="339">
        <f>'Trial Balance'!F305</f>
        <v>63801.36</v>
      </c>
    </row>
    <row r="120" spans="1:2" ht="15" customHeight="1">
      <c r="A120" s="25" t="str">
        <f>'Trial Balance'!A306&amp;"-"&amp;'Trial Balance'!B306</f>
        <v>5130-Maintenance of Overhead Services</v>
      </c>
      <c r="B120" s="339">
        <f>'Trial Balance'!F306</f>
        <v>40874.02</v>
      </c>
    </row>
    <row r="121" spans="1:2" ht="15" customHeight="1">
      <c r="A121" s="25" t="str">
        <f>'Trial Balance'!A307&amp;"-"&amp;'Trial Balance'!B307</f>
        <v>5135-Overhead Distribution Lines and Feeders - Right of Way</v>
      </c>
      <c r="B121" s="339">
        <f>'Trial Balance'!F307</f>
        <v>25951.51</v>
      </c>
    </row>
    <row r="122" spans="1:2" ht="15" customHeight="1">
      <c r="A122" s="25" t="str">
        <f>'Trial Balance'!A308&amp;"-"&amp;'Trial Balance'!B308</f>
        <v>5145-Maintenance of Underground Conduit</v>
      </c>
      <c r="B122" s="339">
        <f>'Trial Balance'!F308</f>
        <v>0</v>
      </c>
    </row>
    <row r="123" spans="1:2" ht="15" customHeight="1">
      <c r="A123" s="25" t="str">
        <f>'Trial Balance'!A309&amp;"-"&amp;'Trial Balance'!B309</f>
        <v>5150-Maintenance of Underground Conductors and Devices</v>
      </c>
      <c r="B123" s="339">
        <f>'Trial Balance'!F309</f>
        <v>9088.68</v>
      </c>
    </row>
    <row r="124" spans="1:2" ht="15" customHeight="1">
      <c r="A124" s="25" t="str">
        <f>'Trial Balance'!A310&amp;"-"&amp;'Trial Balance'!B310</f>
        <v>5155-Maintenance of Underground Services</v>
      </c>
      <c r="B124" s="339">
        <f>'Trial Balance'!F310</f>
        <v>15936.41</v>
      </c>
    </row>
    <row r="125" spans="1:2" ht="15" customHeight="1">
      <c r="A125" s="25" t="str">
        <f>'Trial Balance'!A311&amp;"-"&amp;'Trial Balance'!B311</f>
        <v>5160-Maintenance of Line Transformers</v>
      </c>
      <c r="B125" s="339">
        <f>'Trial Balance'!F311</f>
        <v>63007.3</v>
      </c>
    </row>
    <row r="126" spans="1:2" ht="15" customHeight="1">
      <c r="A126" s="25" t="str">
        <f>'Trial Balance'!A312&amp;"-"&amp;'Trial Balance'!B312</f>
        <v>5165-Maintenance of Street Lighting and Signal Systems</v>
      </c>
      <c r="B126" s="339">
        <f>'Trial Balance'!F312</f>
        <v>0</v>
      </c>
    </row>
    <row r="127" spans="1:2" ht="15" customHeight="1">
      <c r="A127" s="25" t="str">
        <f>'Trial Balance'!A313&amp;"-"&amp;'Trial Balance'!B313</f>
        <v>5170-Sentinel Lights - Labour</v>
      </c>
      <c r="B127" s="339">
        <f>'Trial Balance'!F313</f>
        <v>0</v>
      </c>
    </row>
    <row r="128" spans="1:2" ht="15" customHeight="1">
      <c r="A128" s="25" t="str">
        <f>'Trial Balance'!A314&amp;"-"&amp;'Trial Balance'!B314</f>
        <v>5172-Sentinel Lights - Materials and Expenses</v>
      </c>
      <c r="B128" s="339">
        <f>'Trial Balance'!F314</f>
        <v>0</v>
      </c>
    </row>
    <row r="129" spans="1:2" ht="15" customHeight="1">
      <c r="A129" s="25" t="str">
        <f>'Trial Balance'!A315&amp;"-"&amp;'Trial Balance'!B315</f>
        <v>5175-Maintenance of Meters</v>
      </c>
      <c r="B129" s="339">
        <f>'Trial Balance'!F315</f>
        <v>10532.69</v>
      </c>
    </row>
    <row r="130" spans="1:2" ht="15" customHeight="1">
      <c r="A130" s="25" t="str">
        <f>'Trial Balance'!A316&amp;"-"&amp;'Trial Balance'!B316</f>
        <v>5178-Customer Installations Expenses - Leased Property</v>
      </c>
      <c r="B130" s="339">
        <f>'Trial Balance'!F316</f>
        <v>0</v>
      </c>
    </row>
    <row r="131" spans="1:2" ht="15" customHeight="1" thickBot="1">
      <c r="A131" s="25" t="str">
        <f>'Trial Balance'!A317&amp;"-"&amp;'Trial Balance'!B317</f>
        <v>5195-Maintenance of Other Installations on Customer Premises</v>
      </c>
      <c r="B131" s="339">
        <f>'Trial Balance'!F317</f>
        <v>0</v>
      </c>
    </row>
    <row r="132" spans="1:2" ht="15" customHeight="1" thickBot="1">
      <c r="A132" s="30" t="s">
        <v>88</v>
      </c>
      <c r="B132" s="341">
        <f>SUM(B114:B131)</f>
        <v>292592.31</v>
      </c>
    </row>
    <row r="133" spans="1:2" s="18" customFormat="1" ht="15" customHeight="1">
      <c r="A133" s="538"/>
      <c r="B133" s="539"/>
    </row>
    <row r="134" spans="1:2" s="18" customFormat="1" ht="15" customHeight="1">
      <c r="A134" s="540" t="s">
        <v>89</v>
      </c>
      <c r="B134" s="541"/>
    </row>
    <row r="135" spans="1:2" ht="15" customHeight="1">
      <c r="A135" s="25" t="str">
        <f>'Trial Balance'!A323&amp;"-"&amp;'Trial Balance'!B323</f>
        <v>5305-Supervision</v>
      </c>
      <c r="B135" s="339">
        <f>'Trial Balance'!F323</f>
        <v>0</v>
      </c>
    </row>
    <row r="136" spans="1:2" ht="15" customHeight="1">
      <c r="A136" s="25" t="str">
        <f>'Trial Balance'!A324&amp;"-"&amp;'Trial Balance'!B324</f>
        <v>5310-Meter Reading Expense</v>
      </c>
      <c r="B136" s="339">
        <f>'Trial Balance'!F324</f>
        <v>65060.2</v>
      </c>
    </row>
    <row r="137" spans="1:2" ht="15" customHeight="1">
      <c r="A137" s="25" t="str">
        <f>'Trial Balance'!A325&amp;"-"&amp;'Trial Balance'!B325</f>
        <v>5315-Customer Billing</v>
      </c>
      <c r="B137" s="339">
        <f>'Trial Balance'!F325</f>
        <v>276354.89</v>
      </c>
    </row>
    <row r="138" spans="1:2" ht="15" customHeight="1">
      <c r="A138" s="25" t="str">
        <f>'Trial Balance'!A326&amp;"-"&amp;'Trial Balance'!B326</f>
        <v>5320-Collecting</v>
      </c>
      <c r="B138" s="339">
        <f>'Trial Balance'!F326</f>
        <v>35368.39</v>
      </c>
    </row>
    <row r="139" spans="1:2" ht="15" customHeight="1">
      <c r="A139" s="25" t="str">
        <f>'Trial Balance'!A327&amp;"-"&amp;'Trial Balance'!B327</f>
        <v>5325-Collecting - Cash Over and Short</v>
      </c>
      <c r="B139" s="339">
        <f>'Trial Balance'!F327</f>
        <v>-306.94</v>
      </c>
    </row>
    <row r="140" spans="1:2" ht="15" customHeight="1">
      <c r="A140" s="25" t="str">
        <f>'Trial Balance'!A328&amp;"-"&amp;'Trial Balance'!B328</f>
        <v>5330-Collection Charges</v>
      </c>
      <c r="B140" s="339">
        <f>'Trial Balance'!F328</f>
        <v>0</v>
      </c>
    </row>
    <row r="141" spans="1:2" ht="15" customHeight="1">
      <c r="A141" s="25" t="str">
        <f>'Trial Balance'!A329&amp;"-"&amp;'Trial Balance'!B329</f>
        <v>5335-Bad Debt Expense</v>
      </c>
      <c r="B141" s="339">
        <f>'Trial Balance'!F329</f>
        <v>53374</v>
      </c>
    </row>
    <row r="142" spans="1:2" ht="15" customHeight="1" thickBot="1">
      <c r="A142" s="25" t="str">
        <f>'Trial Balance'!A330&amp;"-"&amp;'Trial Balance'!B330</f>
        <v>5340-Miscellaneous Customer Accounts Expenses</v>
      </c>
      <c r="B142" s="339">
        <f>'Trial Balance'!F330</f>
        <v>0</v>
      </c>
    </row>
    <row r="143" spans="1:2" ht="15" customHeight="1" thickBot="1">
      <c r="A143" s="30" t="s">
        <v>97</v>
      </c>
      <c r="B143" s="341">
        <f>SUM(B135:B142)</f>
        <v>429850.54000000004</v>
      </c>
    </row>
    <row r="144" spans="1:2" s="18" customFormat="1" ht="15" customHeight="1">
      <c r="A144" s="538"/>
      <c r="B144" s="539"/>
    </row>
    <row r="145" spans="1:2" s="18" customFormat="1" ht="15" customHeight="1">
      <c r="A145" s="540" t="s">
        <v>98</v>
      </c>
      <c r="B145" s="541"/>
    </row>
    <row r="146" spans="1:2" ht="15" customHeight="1">
      <c r="A146" s="25" t="str">
        <f>'Trial Balance'!A332&amp;"-"&amp;'Trial Balance'!B332</f>
        <v>5405-Supervision</v>
      </c>
      <c r="B146" s="339">
        <f>'Trial Balance'!F332</f>
        <v>0</v>
      </c>
    </row>
    <row r="147" spans="1:2" ht="15" customHeight="1">
      <c r="A147" s="25" t="str">
        <f>'Trial Balance'!A333&amp;"-"&amp;'Trial Balance'!B333</f>
        <v>5410-Community Relations - Sundry</v>
      </c>
      <c r="B147" s="339">
        <f>'Trial Balance'!F333</f>
        <v>453.28</v>
      </c>
    </row>
    <row r="148" spans="1:2" ht="15" customHeight="1">
      <c r="A148" s="25" t="str">
        <f>'Trial Balance'!A334&amp;"-"&amp;'Trial Balance'!B334</f>
        <v>5415-Energy Conservation</v>
      </c>
      <c r="B148" s="339">
        <f>'Trial Balance'!F334</f>
        <v>8766.49</v>
      </c>
    </row>
    <row r="149" spans="1:2" ht="15" customHeight="1">
      <c r="A149" s="25" t="str">
        <f>'Trial Balance'!A335&amp;"-"&amp;'Trial Balance'!B335</f>
        <v>5420-Community Safety Program</v>
      </c>
      <c r="B149" s="339">
        <f>'Trial Balance'!F335</f>
        <v>0</v>
      </c>
    </row>
    <row r="150" spans="1:2" ht="15" customHeight="1" thickBot="1">
      <c r="A150" s="25" t="str">
        <f>'Trial Balance'!A336&amp;"-"&amp;'Trial Balance'!B336</f>
        <v>5425-Miscellaneous Customer Service and Informational Expenses</v>
      </c>
      <c r="B150" s="339">
        <f>'Trial Balance'!F336</f>
        <v>0</v>
      </c>
    </row>
    <row r="151" spans="1:2" ht="15" customHeight="1" thickBot="1">
      <c r="A151" s="30" t="s">
        <v>99</v>
      </c>
      <c r="B151" s="341">
        <f>SUM(B146:B150)</f>
        <v>9219.77</v>
      </c>
    </row>
    <row r="152" spans="1:2" s="18" customFormat="1" ht="15" customHeight="1">
      <c r="A152" s="538"/>
      <c r="B152" s="539"/>
    </row>
    <row r="153" spans="1:2" s="18" customFormat="1" ht="15" customHeight="1">
      <c r="A153" s="540" t="s">
        <v>100</v>
      </c>
      <c r="B153" s="541"/>
    </row>
    <row r="154" spans="1:2" ht="15" customHeight="1">
      <c r="A154" s="25" t="str">
        <f>'Trial Balance'!A343&amp;"-"&amp;'Trial Balance'!B343</f>
        <v>5605-Executive Salaries and Expenses</v>
      </c>
      <c r="B154" s="339">
        <f>'Trial Balance'!F343</f>
        <v>0</v>
      </c>
    </row>
    <row r="155" spans="1:2" ht="15" customHeight="1">
      <c r="A155" s="25" t="str">
        <f>'Trial Balance'!A344&amp;"-"&amp;'Trial Balance'!B344</f>
        <v>5610-Management Salaries and Expenses</v>
      </c>
      <c r="B155" s="339"/>
    </row>
    <row r="156" spans="1:2" ht="15" customHeight="1">
      <c r="A156" s="25" t="str">
        <f>'Trial Balance'!A345&amp;"-"&amp;'Trial Balance'!B345</f>
        <v>5615-General Administrative Salaries and Expenses</v>
      </c>
      <c r="B156" s="339">
        <f>'Trial Balance'!F345</f>
        <v>323238.82999999996</v>
      </c>
    </row>
    <row r="157" spans="1:2" ht="15" customHeight="1">
      <c r="A157" s="25" t="str">
        <f>'Trial Balance'!A346&amp;"-"&amp;'Trial Balance'!B346</f>
        <v>5620-Office Supplies and Expenses</v>
      </c>
      <c r="B157" s="339">
        <f>'Trial Balance'!F346</f>
        <v>8480.69</v>
      </c>
    </row>
    <row r="158" spans="1:2" ht="15" customHeight="1">
      <c r="A158" s="25" t="str">
        <f>'Trial Balance'!A347&amp;"-"&amp;'Trial Balance'!B347</f>
        <v>5625-Administrative Expense Transferred-Credit</v>
      </c>
      <c r="B158" s="339">
        <f>'Trial Balance'!F347</f>
        <v>54789.57</v>
      </c>
    </row>
    <row r="159" spans="1:2" ht="15" customHeight="1">
      <c r="A159" s="25" t="str">
        <f>'Trial Balance'!A348&amp;"-"&amp;'Trial Balance'!B348</f>
        <v>5630-Outside Services Employed</v>
      </c>
      <c r="B159" s="339">
        <f>'Trial Balance'!F348</f>
        <v>68712.2</v>
      </c>
    </row>
    <row r="160" spans="1:2" ht="15" customHeight="1">
      <c r="A160" s="25" t="str">
        <f>'Trial Balance'!A349&amp;"-"&amp;'Trial Balance'!B349</f>
        <v>5635-Property Insurance</v>
      </c>
      <c r="B160" s="339">
        <f>'Trial Balance'!F349</f>
        <v>41302.4</v>
      </c>
    </row>
    <row r="161" spans="1:2" ht="15" customHeight="1">
      <c r="A161" s="25" t="str">
        <f>'Trial Balance'!A350&amp;"-"&amp;'Trial Balance'!B350</f>
        <v>5640-Injuries and Damages</v>
      </c>
      <c r="B161" s="339">
        <f>'Trial Balance'!F350</f>
        <v>0</v>
      </c>
    </row>
    <row r="162" spans="1:2" ht="15" customHeight="1">
      <c r="A162" s="25" t="str">
        <f>'Trial Balance'!A351&amp;"-"&amp;'Trial Balance'!B351</f>
        <v>5645-Employee Pensions and Benefits</v>
      </c>
      <c r="B162" s="339">
        <f>'Trial Balance'!F351</f>
        <v>0</v>
      </c>
    </row>
    <row r="163" spans="1:2" ht="15" customHeight="1">
      <c r="A163" s="25" t="str">
        <f>'Trial Balance'!A352&amp;"-"&amp;'Trial Balance'!B352</f>
        <v>5650-Franchise Requirements</v>
      </c>
      <c r="B163" s="339">
        <f>'Trial Balance'!F352</f>
        <v>0</v>
      </c>
    </row>
    <row r="164" spans="1:2" ht="15" customHeight="1">
      <c r="A164" s="25" t="str">
        <f>'Trial Balance'!A353&amp;"-"&amp;'Trial Balance'!B353</f>
        <v>5655-Regulatory Expenses</v>
      </c>
      <c r="B164" s="339">
        <f>'Trial Balance'!F353</f>
        <v>31592.61</v>
      </c>
    </row>
    <row r="165" spans="1:2" ht="15" customHeight="1">
      <c r="A165" s="25" t="str">
        <f>'Trial Balance'!A354&amp;"-"&amp;'Trial Balance'!B354</f>
        <v>5660-General Advertising Expenses</v>
      </c>
      <c r="B165" s="339">
        <f>'Trial Balance'!F354</f>
        <v>0</v>
      </c>
    </row>
    <row r="166" spans="1:2" ht="15" customHeight="1">
      <c r="A166" s="25" t="str">
        <f>'Trial Balance'!A355&amp;"-"&amp;'Trial Balance'!B355</f>
        <v>5665-Miscellaneous Expenses</v>
      </c>
      <c r="B166" s="339">
        <f>'Trial Balance'!F355</f>
        <v>91091.43</v>
      </c>
    </row>
    <row r="167" spans="1:2" ht="15" customHeight="1">
      <c r="A167" s="25" t="str">
        <f>'Trial Balance'!A356&amp;"-"&amp;'Trial Balance'!B356</f>
        <v>5670-Rent  </v>
      </c>
      <c r="B167" s="339">
        <f>'Trial Balance'!F356</f>
        <v>7484.78</v>
      </c>
    </row>
    <row r="168" spans="1:2" ht="15" customHeight="1">
      <c r="A168" s="25" t="str">
        <f>'Trial Balance'!A357&amp;"-"&amp;'Trial Balance'!B357</f>
        <v>5675-Maintenance of General Plant</v>
      </c>
      <c r="B168" s="339">
        <f>'Trial Balance'!F357</f>
        <v>26723.52</v>
      </c>
    </row>
    <row r="169" spans="1:2" ht="15" customHeight="1">
      <c r="A169" s="25" t="str">
        <f>'Trial Balance'!A358&amp;"-"&amp;'Trial Balance'!B358</f>
        <v>5680-Electrical Safety Authority Fees</v>
      </c>
      <c r="B169" s="339">
        <f>'Trial Balance'!F358</f>
        <v>0</v>
      </c>
    </row>
    <row r="170" spans="1:2" ht="15" customHeight="1">
      <c r="A170" s="25" t="str">
        <f>'Trial Balance'!A360&amp;"-"&amp;'Trial Balance'!B360</f>
        <v>5685-Independent Market Operator Fees and Penalties</v>
      </c>
      <c r="B170" s="339">
        <f>'Trial Balance'!F360</f>
        <v>0</v>
      </c>
    </row>
    <row r="171" spans="1:2" ht="15" customHeight="1" thickBot="1">
      <c r="A171" s="25" t="str">
        <f>'Trial Balance'!A361&amp;"-"&amp;'Trial Balance'!B361</f>
        <v>5695-OM&amp;A Contra Account</v>
      </c>
      <c r="B171" s="339">
        <f>'Trial Balance'!F361</f>
        <v>0</v>
      </c>
    </row>
    <row r="172" spans="1:2" ht="15" customHeight="1" thickBot="1">
      <c r="A172" s="30" t="s">
        <v>76</v>
      </c>
      <c r="B172" s="341">
        <f>SUM(B154:B171)</f>
        <v>653416.03</v>
      </c>
    </row>
    <row r="173" spans="1:2" s="18" customFormat="1" ht="15" customHeight="1">
      <c r="A173" s="538"/>
      <c r="B173" s="539"/>
    </row>
    <row r="174" spans="1:2" s="18" customFormat="1" ht="15" customHeight="1">
      <c r="A174" s="540" t="s">
        <v>77</v>
      </c>
      <c r="B174" s="541"/>
    </row>
    <row r="175" spans="1:2" s="18" customFormat="1" ht="15" customHeight="1">
      <c r="A175" s="25" t="str">
        <f>'Trial Balance'!A363&amp;"-"&amp;'Trial Balance'!B363</f>
        <v>5705-Amortization Expense - Property, Plant and Equipment</v>
      </c>
      <c r="B175" s="339">
        <f>'Trial Balance'!F363</f>
        <v>277766.94</v>
      </c>
    </row>
    <row r="176" spans="1:2" s="18" customFormat="1" ht="15" customHeight="1">
      <c r="A176" s="25" t="str">
        <f>'Trial Balance'!A364&amp;"-"&amp;'Trial Balance'!B364</f>
        <v>5710-Amortization of Limited Term Electric Plant</v>
      </c>
      <c r="B176" s="339">
        <f>'Trial Balance'!F364</f>
        <v>0</v>
      </c>
    </row>
    <row r="177" spans="1:2" s="18" customFormat="1" ht="15" customHeight="1">
      <c r="A177" s="25" t="str">
        <f>'Trial Balance'!A365&amp;"-"&amp;'Trial Balance'!B365</f>
        <v>5715-Amortization of Intangibles and Other Electric Plant</v>
      </c>
      <c r="B177" s="339">
        <f>'Trial Balance'!F365</f>
        <v>0</v>
      </c>
    </row>
    <row r="178" spans="1:2" s="18" customFormat="1" ht="15" customHeight="1">
      <c r="A178" s="25" t="str">
        <f>'Trial Balance'!A366&amp;"-"&amp;'Trial Balance'!B366</f>
        <v>5720-Amortization of Electric Plant Acquisition Adjustments</v>
      </c>
      <c r="B178" s="339">
        <f>'Trial Balance'!F366</f>
        <v>0</v>
      </c>
    </row>
    <row r="179" spans="1:2" s="18" customFormat="1" ht="15" customHeight="1">
      <c r="A179" s="25" t="str">
        <f>'Trial Balance'!A367&amp;"-"&amp;'Trial Balance'!B367</f>
        <v>5725-Miscellaneous Amortization</v>
      </c>
      <c r="B179" s="339">
        <f>'Trial Balance'!F367</f>
        <v>0</v>
      </c>
    </row>
    <row r="180" spans="1:2" s="18" customFormat="1" ht="15" customHeight="1">
      <c r="A180" s="25" t="str">
        <f>'Trial Balance'!A368&amp;"-"&amp;'Trial Balance'!B368</f>
        <v>5730-Amortization of Unrecovered Plant and Regulatory Study Costs</v>
      </c>
      <c r="B180" s="339">
        <f>'Trial Balance'!F368</f>
        <v>0</v>
      </c>
    </row>
    <row r="181" spans="1:2" s="18" customFormat="1" ht="15" customHeight="1">
      <c r="A181" s="25" t="str">
        <f>'Trial Balance'!A369&amp;"-"&amp;'Trial Balance'!B369</f>
        <v>5735-Amortization of Deferred Development Costs</v>
      </c>
      <c r="B181" s="339">
        <f>'Trial Balance'!F369</f>
        <v>0</v>
      </c>
    </row>
    <row r="182" spans="1:2" ht="15" customHeight="1" thickBot="1">
      <c r="A182" s="25" t="str">
        <f>'Trial Balance'!A370&amp;"-"&amp;'Trial Balance'!B370</f>
        <v>5740-Amortization of Deferred Charges</v>
      </c>
      <c r="B182" s="339">
        <f>'Trial Balance'!F370</f>
        <v>0</v>
      </c>
    </row>
    <row r="183" spans="1:2" ht="15" customHeight="1" thickBot="1">
      <c r="A183" s="30" t="s">
        <v>78</v>
      </c>
      <c r="B183" s="341">
        <f>SUM(B175:B182)</f>
        <v>277766.94</v>
      </c>
    </row>
    <row r="184" spans="1:2" s="18" customFormat="1" ht="15" customHeight="1">
      <c r="A184" s="538"/>
      <c r="B184" s="539"/>
    </row>
    <row r="185" spans="1:2" s="18" customFormat="1" ht="15" customHeight="1">
      <c r="A185" s="540" t="s">
        <v>79</v>
      </c>
      <c r="B185" s="541"/>
    </row>
    <row r="186" spans="1:2" ht="15" customHeight="1">
      <c r="A186" s="25" t="str">
        <f>'Trial Balance'!A372&amp;"-"&amp;'Trial Balance'!B372</f>
        <v>6005-Interest on Long Term Debt</v>
      </c>
      <c r="B186" s="339">
        <f>'Trial Balance'!F372</f>
        <v>0</v>
      </c>
    </row>
    <row r="187" spans="1:2" ht="15" customHeight="1">
      <c r="A187" s="25" t="str">
        <f>'Trial Balance'!A373&amp;"-"&amp;'Trial Balance'!B373</f>
        <v>6010-Amortization of Debt Discount and Expense</v>
      </c>
      <c r="B187" s="339">
        <f>'Trial Balance'!F373</f>
        <v>0</v>
      </c>
    </row>
    <row r="188" spans="1:2" ht="15" customHeight="1">
      <c r="A188" s="25" t="str">
        <f>'Trial Balance'!A374&amp;"-"&amp;'Trial Balance'!B374</f>
        <v>6015-Amortization of Premium on Debt-Credit</v>
      </c>
      <c r="B188" s="339">
        <f>'Trial Balance'!F374</f>
        <v>0</v>
      </c>
    </row>
    <row r="189" spans="1:2" ht="15" customHeight="1">
      <c r="A189" s="25" t="str">
        <f>'Trial Balance'!A375&amp;"-"&amp;'Trial Balance'!B375</f>
        <v>6020-Amortization of Loss on Reacquired Debt</v>
      </c>
      <c r="B189" s="339">
        <f>'Trial Balance'!F375</f>
        <v>0</v>
      </c>
    </row>
    <row r="190" spans="1:2" ht="15" customHeight="1">
      <c r="A190" s="25" t="str">
        <f>'Trial Balance'!A376&amp;"-"&amp;'Trial Balance'!B376</f>
        <v>6025-Amortization of Gain on Reacquired Debt-Credit</v>
      </c>
      <c r="B190" s="339">
        <f>'Trial Balance'!F376</f>
        <v>0</v>
      </c>
    </row>
    <row r="191" spans="1:2" ht="15" customHeight="1">
      <c r="A191" s="25" t="str">
        <f>'Trial Balance'!A377&amp;"-"&amp;'Trial Balance'!B377</f>
        <v>6030-Interest on Debt to Associated Companies</v>
      </c>
      <c r="B191" s="339">
        <f>'Trial Balance'!F377</f>
        <v>58051.27</v>
      </c>
    </row>
    <row r="192" spans="1:2" ht="15" customHeight="1">
      <c r="A192" s="25" t="str">
        <f>'Trial Balance'!A378&amp;"-"&amp;'Trial Balance'!B378</f>
        <v>6035-Other Interest Expense</v>
      </c>
      <c r="B192" s="339">
        <f>'Trial Balance'!F378</f>
        <v>22064.76</v>
      </c>
    </row>
    <row r="193" spans="1:2" ht="15" customHeight="1">
      <c r="A193" s="25" t="str">
        <f>'Trial Balance'!A379&amp;"-"&amp;'Trial Balance'!B379</f>
        <v>6040-Allowance for Borrowed Funds Used During Construction-Credit</v>
      </c>
      <c r="B193" s="339">
        <f>'Trial Balance'!F379</f>
        <v>0</v>
      </c>
    </row>
    <row r="194" spans="1:2" ht="15" customHeight="1">
      <c r="A194" s="25" t="str">
        <f>'Trial Balance'!A380&amp;"-"&amp;'Trial Balance'!B380</f>
        <v>6042-Allowance for Other Funds Used During Construction</v>
      </c>
      <c r="B194" s="339">
        <f>'Trial Balance'!F380</f>
        <v>0</v>
      </c>
    </row>
    <row r="195" spans="1:2" ht="15" customHeight="1" thickBot="1">
      <c r="A195" s="25" t="str">
        <f>'Trial Balance'!A381&amp;"-"&amp;'Trial Balance'!B381</f>
        <v>6045-Interest Expense on Capital Lease Obligations</v>
      </c>
      <c r="B195" s="339">
        <f>'Trial Balance'!F381</f>
        <v>0</v>
      </c>
    </row>
    <row r="196" spans="1:2" ht="15" customHeight="1" thickBot="1">
      <c r="A196" s="30" t="s">
        <v>521</v>
      </c>
      <c r="B196" s="341">
        <f>SUM(B186:B195)</f>
        <v>80116.03</v>
      </c>
    </row>
    <row r="197" spans="1:2" s="18" customFormat="1" ht="15" customHeight="1">
      <c r="A197" s="538"/>
      <c r="B197" s="539"/>
    </row>
    <row r="198" spans="1:2" s="18" customFormat="1" ht="15" customHeight="1">
      <c r="A198" s="540" t="s">
        <v>522</v>
      </c>
      <c r="B198" s="541"/>
    </row>
    <row r="199" spans="1:2" ht="15" customHeight="1" thickBot="1">
      <c r="A199" s="25" t="str">
        <f>'Trial Balance'!A383&amp;"-"&amp;'Trial Balance'!B383</f>
        <v>6105-Taxes Other Than Income Taxes</v>
      </c>
      <c r="B199" s="339">
        <f>'Trial Balance'!F383</f>
        <v>20754.74</v>
      </c>
    </row>
    <row r="200" spans="1:2" ht="15" customHeight="1" thickBot="1">
      <c r="A200" s="30" t="s">
        <v>525</v>
      </c>
      <c r="B200" s="341">
        <f>SUM(B199)</f>
        <v>20754.74</v>
      </c>
    </row>
    <row r="201" spans="1:2" s="18" customFormat="1" ht="15" customHeight="1">
      <c r="A201" s="538"/>
      <c r="B201" s="539"/>
    </row>
    <row r="202" spans="1:2" s="18" customFormat="1" ht="15" customHeight="1">
      <c r="A202" s="540" t="s">
        <v>526</v>
      </c>
      <c r="B202" s="541"/>
    </row>
    <row r="203" spans="1:2" ht="15" customHeight="1">
      <c r="A203" s="25" t="str">
        <f>'Trial Balance'!A384&amp;"-"&amp;'Trial Balance'!B384</f>
        <v>6110-Income Taxes</v>
      </c>
      <c r="B203" s="339">
        <f>'Trial Balance'!F384</f>
        <v>28706</v>
      </c>
    </row>
    <row r="204" spans="1:2" ht="15" customHeight="1" thickBot="1">
      <c r="A204" s="25" t="str">
        <f>'Trial Balance'!A385&amp;"-"&amp;'Trial Balance'!B385</f>
        <v>6115-Provision for Future Income Taxes</v>
      </c>
      <c r="B204" s="339">
        <f>'Trial Balance'!F385</f>
        <v>0</v>
      </c>
    </row>
    <row r="205" spans="1:2" ht="15" customHeight="1" thickBot="1">
      <c r="A205" s="30" t="s">
        <v>527</v>
      </c>
      <c r="B205" s="341">
        <f>SUM(B203:B204)</f>
        <v>28706</v>
      </c>
    </row>
    <row r="206" spans="1:2" s="18" customFormat="1" ht="15" customHeight="1">
      <c r="A206" s="538"/>
      <c r="B206" s="539"/>
    </row>
    <row r="207" spans="1:2" s="18" customFormat="1" ht="15" customHeight="1">
      <c r="A207" s="540" t="s">
        <v>508</v>
      </c>
      <c r="B207" s="541"/>
    </row>
    <row r="208" spans="1:2" ht="15" customHeight="1">
      <c r="A208" s="25" t="str">
        <f>'Trial Balance'!A387&amp;"-"&amp;'Trial Balance'!B387</f>
        <v>6205-Donations</v>
      </c>
      <c r="B208" s="339">
        <f>'Trial Balance'!F387</f>
        <v>478.31</v>
      </c>
    </row>
    <row r="209" spans="1:2" ht="15" customHeight="1">
      <c r="A209" s="25" t="str">
        <f>'Trial Balance'!A392&amp;"-"&amp;'Trial Balance'!B392</f>
        <v>6305-Extraordinary Income</v>
      </c>
      <c r="B209" s="339">
        <f>'Trial Balance'!F392</f>
        <v>-50797.88</v>
      </c>
    </row>
    <row r="210" spans="1:2" ht="15" customHeight="1">
      <c r="A210" s="25" t="str">
        <f>'Trial Balance'!A389&amp;"-"&amp;'Trial Balance'!B389</f>
        <v>6215-Penalties</v>
      </c>
      <c r="B210" s="339">
        <f>'Trial Balance'!F389</f>
        <v>1466.13</v>
      </c>
    </row>
    <row r="211" spans="1:7" ht="15" customHeight="1" thickBot="1">
      <c r="A211" s="25" t="str">
        <f>'Trial Balance'!A390&amp;"-"&amp;'Trial Balance'!B390</f>
        <v>6225-Other Deductions</v>
      </c>
      <c r="B211" s="339">
        <f>'Trial Balance'!F390</f>
        <v>0</v>
      </c>
      <c r="D211" s="10"/>
      <c r="E211" s="10"/>
      <c r="F211" s="10"/>
      <c r="G211" s="10"/>
    </row>
    <row r="212" spans="1:2" ht="15" customHeight="1" thickBot="1">
      <c r="A212" s="30" t="s">
        <v>509</v>
      </c>
      <c r="B212" s="341">
        <f>SUM(B208:B211)</f>
        <v>-48853.44</v>
      </c>
    </row>
    <row r="213" spans="1:7" s="10" customFormat="1" ht="15" customHeight="1" thickBot="1">
      <c r="A213" s="538"/>
      <c r="B213" s="539"/>
      <c r="D213"/>
      <c r="E213"/>
      <c r="F213"/>
      <c r="G213"/>
    </row>
    <row r="214" spans="1:4" ht="18.75" customHeight="1" thickBot="1">
      <c r="A214" s="31" t="s">
        <v>776</v>
      </c>
      <c r="B214" s="342">
        <f>B24+B31+B43+B66+B71+B85+B111+B132+B143+B151+B172+B183+B196+B200+B205+B212</f>
        <v>-237635.6799999988</v>
      </c>
      <c r="D214" s="323"/>
    </row>
    <row r="215" spans="1:2" ht="15">
      <c r="A215" s="9"/>
      <c r="B215" s="343"/>
    </row>
    <row r="216" spans="1:2" ht="15">
      <c r="A216" s="9" t="s">
        <v>865</v>
      </c>
      <c r="B216" s="343">
        <f>B214-B205</f>
        <v>-266341.67999999877</v>
      </c>
    </row>
    <row r="217" spans="1:2" ht="15">
      <c r="A217" s="9"/>
      <c r="B217" s="343"/>
    </row>
    <row r="218" spans="1:2" ht="15">
      <c r="A218" s="9"/>
      <c r="B218" s="343"/>
    </row>
    <row r="219" spans="1:2" ht="15">
      <c r="A219" s="9"/>
      <c r="B219" s="343"/>
    </row>
    <row r="220" spans="1:2" ht="15">
      <c r="A220" s="9"/>
      <c r="B220" s="343"/>
    </row>
    <row r="221" spans="1:2" ht="15">
      <c r="A221" s="9"/>
      <c r="B221" s="343"/>
    </row>
    <row r="222" spans="1:2" ht="15">
      <c r="A222" s="9"/>
      <c r="B222" s="343"/>
    </row>
    <row r="223" spans="1:2" ht="15">
      <c r="A223" s="9"/>
      <c r="B223" s="343"/>
    </row>
    <row r="224" spans="1:2" ht="15">
      <c r="A224" s="9"/>
      <c r="B224" s="343"/>
    </row>
    <row r="225" spans="1:2" ht="15">
      <c r="A225" s="9"/>
      <c r="B225" s="343"/>
    </row>
    <row r="226" spans="1:2" ht="15">
      <c r="A226" s="9"/>
      <c r="B226" s="343"/>
    </row>
    <row r="227" spans="1:2" ht="15">
      <c r="A227" s="9"/>
      <c r="B227" s="343"/>
    </row>
    <row r="228" spans="1:2" ht="15">
      <c r="A228" s="9"/>
      <c r="B228" s="343"/>
    </row>
    <row r="229" spans="1:2" ht="15">
      <c r="A229" s="9"/>
      <c r="B229" s="343"/>
    </row>
    <row r="230" spans="1:2" ht="15">
      <c r="A230" s="9"/>
      <c r="B230" s="343"/>
    </row>
    <row r="231" spans="1:2" ht="15">
      <c r="A231" s="9"/>
      <c r="B231" s="343"/>
    </row>
    <row r="232" spans="1:2" ht="15">
      <c r="A232" s="9"/>
      <c r="B232" s="343"/>
    </row>
    <row r="233" spans="1:2" ht="15">
      <c r="A233" s="9"/>
      <c r="B233" s="343"/>
    </row>
    <row r="234" spans="1:2" ht="15">
      <c r="A234" s="9"/>
      <c r="B234" s="343"/>
    </row>
    <row r="235" spans="1:2" ht="15">
      <c r="A235" s="9"/>
      <c r="B235" s="343"/>
    </row>
    <row r="236" spans="1:2" ht="15">
      <c r="A236" s="9"/>
      <c r="B236" s="343"/>
    </row>
    <row r="237" spans="1:2" ht="15">
      <c r="A237" s="9"/>
      <c r="B237" s="343"/>
    </row>
    <row r="238" spans="1:2" ht="15">
      <c r="A238" s="9"/>
      <c r="B238" s="343"/>
    </row>
    <row r="239" spans="1:2" ht="15">
      <c r="A239" s="9"/>
      <c r="B239" s="343"/>
    </row>
    <row r="240" spans="1:2" ht="15">
      <c r="A240" s="9"/>
      <c r="B240" s="343"/>
    </row>
    <row r="241" spans="1:2" ht="15">
      <c r="A241" s="9"/>
      <c r="B241" s="343"/>
    </row>
    <row r="242" spans="1:2" ht="15">
      <c r="A242" s="9"/>
      <c r="B242" s="343"/>
    </row>
    <row r="243" spans="1:2" ht="15">
      <c r="A243" s="9"/>
      <c r="B243" s="343"/>
    </row>
    <row r="244" spans="1:2" ht="15">
      <c r="A244" s="9"/>
      <c r="B244" s="343"/>
    </row>
    <row r="245" spans="1:2" ht="15">
      <c r="A245" s="9"/>
      <c r="B245" s="343"/>
    </row>
    <row r="246" spans="1:2" ht="15">
      <c r="A246" s="9"/>
      <c r="B246" s="343"/>
    </row>
    <row r="247" spans="1:2" ht="15">
      <c r="A247" s="9"/>
      <c r="B247" s="343"/>
    </row>
    <row r="248" spans="1:2" ht="15">
      <c r="A248" s="9"/>
      <c r="B248" s="343"/>
    </row>
    <row r="249" spans="1:2" ht="15">
      <c r="A249" s="9"/>
      <c r="B249" s="343"/>
    </row>
    <row r="250" spans="1:2" ht="15">
      <c r="A250" s="9"/>
      <c r="B250" s="343"/>
    </row>
    <row r="251" spans="1:2" ht="15">
      <c r="A251" s="9"/>
      <c r="B251" s="343"/>
    </row>
    <row r="252" spans="1:2" ht="15">
      <c r="A252" s="9"/>
      <c r="B252" s="343"/>
    </row>
    <row r="253" spans="1:2" ht="15">
      <c r="A253" s="9"/>
      <c r="B253" s="343"/>
    </row>
    <row r="254" spans="1:2" ht="15">
      <c r="A254" s="9"/>
      <c r="B254" s="343"/>
    </row>
    <row r="255" spans="1:2" ht="15">
      <c r="A255" s="9"/>
      <c r="B255" s="343"/>
    </row>
    <row r="256" spans="1:2" ht="15">
      <c r="A256" s="9"/>
      <c r="B256" s="343"/>
    </row>
    <row r="257" spans="1:2" ht="15">
      <c r="A257" s="9"/>
      <c r="B257" s="343"/>
    </row>
    <row r="258" spans="1:2" ht="15">
      <c r="A258" s="9"/>
      <c r="B258" s="343"/>
    </row>
    <row r="259" spans="1:2" ht="15">
      <c r="A259" s="9"/>
      <c r="B259" s="343"/>
    </row>
    <row r="260" spans="1:2" ht="15">
      <c r="A260" s="9"/>
      <c r="B260" s="343"/>
    </row>
    <row r="261" spans="1:2" ht="15">
      <c r="A261" s="9"/>
      <c r="B261" s="343"/>
    </row>
    <row r="262" spans="1:2" ht="15">
      <c r="A262" s="9"/>
      <c r="B262" s="343"/>
    </row>
    <row r="263" spans="1:2" ht="15">
      <c r="A263" s="9"/>
      <c r="B263" s="343"/>
    </row>
    <row r="264" spans="1:2" ht="15">
      <c r="A264" s="9"/>
      <c r="B264" s="343"/>
    </row>
    <row r="265" spans="1:2" ht="15">
      <c r="A265" s="9"/>
      <c r="B265" s="343"/>
    </row>
    <row r="266" spans="1:2" ht="15">
      <c r="A266" s="9"/>
      <c r="B266" s="343"/>
    </row>
    <row r="267" spans="1:2" ht="15">
      <c r="A267" s="9"/>
      <c r="B267" s="343"/>
    </row>
    <row r="268" spans="1:2" ht="15">
      <c r="A268" s="9"/>
      <c r="B268" s="343"/>
    </row>
    <row r="269" spans="1:2" ht="15">
      <c r="A269" s="9"/>
      <c r="B269" s="343"/>
    </row>
    <row r="270" spans="1:2" ht="15">
      <c r="A270" s="9"/>
      <c r="B270" s="343"/>
    </row>
    <row r="271" spans="1:2" ht="15">
      <c r="A271" s="9"/>
      <c r="B271" s="343"/>
    </row>
    <row r="272" spans="1:2" ht="15">
      <c r="A272" s="9"/>
      <c r="B272" s="343"/>
    </row>
    <row r="273" spans="1:2" ht="15">
      <c r="A273" s="9"/>
      <c r="B273" s="343"/>
    </row>
    <row r="274" spans="1:2" ht="15">
      <c r="A274" s="9"/>
      <c r="B274" s="343"/>
    </row>
    <row r="275" spans="1:2" ht="15">
      <c r="A275" s="9"/>
      <c r="B275" s="343"/>
    </row>
    <row r="276" spans="1:2" ht="15">
      <c r="A276" s="9"/>
      <c r="B276" s="343"/>
    </row>
    <row r="277" spans="1:2" ht="15">
      <c r="A277" s="9"/>
      <c r="B277" s="343"/>
    </row>
    <row r="278" spans="1:2" ht="15">
      <c r="A278" s="9"/>
      <c r="B278" s="343"/>
    </row>
    <row r="279" spans="1:2" ht="15">
      <c r="A279" s="9"/>
      <c r="B279" s="343"/>
    </row>
    <row r="280" spans="1:2" ht="15">
      <c r="A280" s="9"/>
      <c r="B280" s="343"/>
    </row>
    <row r="281" spans="1:2" ht="15">
      <c r="A281" s="9"/>
      <c r="B281" s="343"/>
    </row>
    <row r="282" spans="1:2" ht="15">
      <c r="A282" s="9"/>
      <c r="B282" s="343"/>
    </row>
    <row r="283" spans="1:2" ht="15">
      <c r="A283" s="9"/>
      <c r="B283" s="343"/>
    </row>
    <row r="284" spans="1:2" ht="15">
      <c r="A284" s="9"/>
      <c r="B284" s="343"/>
    </row>
    <row r="285" spans="1:2" ht="15">
      <c r="A285" s="9"/>
      <c r="B285" s="343"/>
    </row>
    <row r="286" spans="1:2" ht="15">
      <c r="A286" s="9"/>
      <c r="B286" s="343"/>
    </row>
    <row r="287" spans="1:2" ht="15">
      <c r="A287" s="9"/>
      <c r="B287" s="343"/>
    </row>
    <row r="288" spans="1:2" ht="15">
      <c r="A288" s="9"/>
      <c r="B288" s="343"/>
    </row>
    <row r="289" spans="1:2" ht="15">
      <c r="A289" s="9"/>
      <c r="B289" s="343"/>
    </row>
    <row r="290" spans="1:2" ht="15">
      <c r="A290" s="9"/>
      <c r="B290" s="343"/>
    </row>
    <row r="291" spans="1:2" ht="15">
      <c r="A291" s="9"/>
      <c r="B291" s="343"/>
    </row>
    <row r="292" spans="1:2" ht="15">
      <c r="A292" s="9"/>
      <c r="B292" s="343"/>
    </row>
    <row r="293" spans="1:2" ht="15">
      <c r="A293" s="9"/>
      <c r="B293" s="343"/>
    </row>
    <row r="294" spans="1:2" ht="15">
      <c r="A294" s="9"/>
      <c r="B294" s="343"/>
    </row>
    <row r="295" spans="1:2" ht="15">
      <c r="A295" s="9"/>
      <c r="B295" s="343"/>
    </row>
    <row r="296" spans="1:2" ht="15">
      <c r="A296" s="9"/>
      <c r="B296" s="343"/>
    </row>
    <row r="297" spans="1:2" ht="15">
      <c r="A297" s="9"/>
      <c r="B297" s="343"/>
    </row>
    <row r="298" spans="1:2" ht="15">
      <c r="A298" s="9"/>
      <c r="B298" s="343"/>
    </row>
    <row r="299" spans="1:2" ht="15">
      <c r="A299" s="9"/>
      <c r="B299" s="343"/>
    </row>
    <row r="300" spans="1:2" ht="15">
      <c r="A300" s="9"/>
      <c r="B300" s="343"/>
    </row>
    <row r="301" spans="1:2" ht="15">
      <c r="A301" s="9"/>
      <c r="B301" s="343"/>
    </row>
    <row r="302" spans="1:2" ht="15">
      <c r="A302" s="9"/>
      <c r="B302" s="343"/>
    </row>
    <row r="303" spans="1:2" ht="15">
      <c r="A303" s="9"/>
      <c r="B303" s="343"/>
    </row>
    <row r="304" spans="1:2" ht="15">
      <c r="A304" s="9"/>
      <c r="B304" s="343"/>
    </row>
    <row r="305" spans="1:2" ht="15">
      <c r="A305" s="9"/>
      <c r="B305" s="343"/>
    </row>
    <row r="306" spans="1:2" ht="15">
      <c r="A306" s="9"/>
      <c r="B306" s="343"/>
    </row>
    <row r="307" spans="1:2" ht="15">
      <c r="A307" s="9"/>
      <c r="B307" s="343"/>
    </row>
    <row r="308" spans="1:2" ht="15">
      <c r="A308" s="9"/>
      <c r="B308" s="343"/>
    </row>
    <row r="309" spans="1:2" ht="15">
      <c r="A309" s="9"/>
      <c r="B309" s="343"/>
    </row>
    <row r="310" spans="1:2" ht="15">
      <c r="A310" s="9"/>
      <c r="B310" s="343"/>
    </row>
    <row r="311" spans="1:2" ht="15">
      <c r="A311" s="9"/>
      <c r="B311" s="343"/>
    </row>
    <row r="312" spans="1:2" ht="15">
      <c r="A312" s="9"/>
      <c r="B312" s="343"/>
    </row>
    <row r="313" spans="1:2" ht="15">
      <c r="A313" s="9"/>
      <c r="B313" s="343"/>
    </row>
    <row r="314" spans="1:2" ht="15">
      <c r="A314" s="9"/>
      <c r="B314" s="343"/>
    </row>
    <row r="315" spans="1:2" ht="15">
      <c r="A315" s="9"/>
      <c r="B315" s="343"/>
    </row>
    <row r="316" spans="1:2" ht="15">
      <c r="A316" s="9"/>
      <c r="B316" s="343"/>
    </row>
    <row r="317" spans="1:2" ht="15">
      <c r="A317" s="9"/>
      <c r="B317" s="343"/>
    </row>
    <row r="318" spans="1:2" ht="15">
      <c r="A318" s="9"/>
      <c r="B318" s="343"/>
    </row>
    <row r="319" spans="1:2" ht="15">
      <c r="A319" s="9"/>
      <c r="B319" s="343"/>
    </row>
    <row r="320" spans="1:2" ht="15">
      <c r="A320" s="9"/>
      <c r="B320" s="343"/>
    </row>
    <row r="321" spans="1:2" ht="15">
      <c r="A321" s="9"/>
      <c r="B321" s="343"/>
    </row>
    <row r="322" spans="1:2" ht="15">
      <c r="A322" s="9"/>
      <c r="B322" s="343"/>
    </row>
    <row r="323" spans="1:2" ht="15">
      <c r="A323" s="9"/>
      <c r="B323" s="343"/>
    </row>
    <row r="324" spans="1:2" ht="15">
      <c r="A324" s="9"/>
      <c r="B324" s="343"/>
    </row>
    <row r="325" spans="1:2" ht="15">
      <c r="A325" s="9"/>
      <c r="B325" s="343"/>
    </row>
    <row r="326" spans="1:2" ht="15">
      <c r="A326" s="9"/>
      <c r="B326" s="343"/>
    </row>
    <row r="327" spans="1:2" ht="15">
      <c r="A327" s="9"/>
      <c r="B327" s="343"/>
    </row>
    <row r="328" spans="1:2" ht="15">
      <c r="A328" s="9"/>
      <c r="B328" s="343"/>
    </row>
    <row r="329" spans="1:2" ht="15">
      <c r="A329" s="9"/>
      <c r="B329" s="343"/>
    </row>
    <row r="330" spans="1:2" ht="15">
      <c r="A330" s="9"/>
      <c r="B330" s="343"/>
    </row>
  </sheetData>
  <sheetProtection/>
  <mergeCells count="36">
    <mergeCell ref="A3:B3"/>
    <mergeCell ref="A4:B4"/>
    <mergeCell ref="A6:B6"/>
    <mergeCell ref="A1:B1"/>
    <mergeCell ref="A2:B2"/>
    <mergeCell ref="A25:B25"/>
    <mergeCell ref="A26:B26"/>
    <mergeCell ref="A32:B32"/>
    <mergeCell ref="A33:B33"/>
    <mergeCell ref="A73:B73"/>
    <mergeCell ref="A44:B44"/>
    <mergeCell ref="A67:B67"/>
    <mergeCell ref="A68:B68"/>
    <mergeCell ref="A72:B72"/>
    <mergeCell ref="A45:B45"/>
    <mergeCell ref="A86:B86"/>
    <mergeCell ref="A87:B87"/>
    <mergeCell ref="A112:B112"/>
    <mergeCell ref="A113:B113"/>
    <mergeCell ref="A152:B152"/>
    <mergeCell ref="A133:B133"/>
    <mergeCell ref="A173:B173"/>
    <mergeCell ref="A174:B174"/>
    <mergeCell ref="A145:B145"/>
    <mergeCell ref="A134:B134"/>
    <mergeCell ref="A153:B153"/>
    <mergeCell ref="A144:B144"/>
    <mergeCell ref="A184:B184"/>
    <mergeCell ref="A185:B185"/>
    <mergeCell ref="A197:B197"/>
    <mergeCell ref="A198:B198"/>
    <mergeCell ref="A213:B213"/>
    <mergeCell ref="A201:B201"/>
    <mergeCell ref="A202:B202"/>
    <mergeCell ref="A206:B206"/>
    <mergeCell ref="A207:B207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Footer>&amp;L&amp;A</oddFooter>
  </headerFooter>
  <rowBreaks count="5" manualBreakCount="5">
    <brk id="44" max="255" man="1"/>
    <brk id="86" max="255" man="1"/>
    <brk id="112" max="255" man="1"/>
    <brk id="152" max="255" man="1"/>
    <brk id="18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1"/>
  <sheetViews>
    <sheetView showGridLines="0" zoomScalePageLayoutView="0" workbookViewId="0" topLeftCell="A10">
      <selection activeCell="B236" sqref="B236"/>
    </sheetView>
  </sheetViews>
  <sheetFormatPr defaultColWidth="9.140625" defaultRowHeight="12.75"/>
  <cols>
    <col min="1" max="1" width="73.28125" style="24" customWidth="1"/>
    <col min="2" max="2" width="20.8515625" style="354" customWidth="1"/>
  </cols>
  <sheetData>
    <row r="1" spans="1:2" ht="12.75">
      <c r="A1" s="519" t="str">
        <f>'Trial Balance'!A1:F1</f>
        <v>Rideau St. Lawrence Distribution Inc.</v>
      </c>
      <c r="B1" s="519"/>
    </row>
    <row r="2" spans="1:2" ht="12.75">
      <c r="A2" s="519" t="str">
        <f>'Trial Balance'!A2:F2</f>
        <v> License Number ED-2003-0003, File Number EB-2011-0274</v>
      </c>
      <c r="B2" s="519"/>
    </row>
    <row r="3" spans="1:2" ht="15.75">
      <c r="A3" s="537" t="str">
        <f>Notes!B4</f>
        <v>Rideau St. Lawrence Distribution Inc.</v>
      </c>
      <c r="B3" s="537"/>
    </row>
    <row r="4" spans="1:2" ht="15.75">
      <c r="A4" s="537" t="s">
        <v>784</v>
      </c>
      <c r="B4" s="537"/>
    </row>
    <row r="5" spans="1:2" ht="15" customHeight="1">
      <c r="A5" s="62" t="s">
        <v>510</v>
      </c>
      <c r="B5" s="344" t="s">
        <v>150</v>
      </c>
    </row>
    <row r="6" spans="1:2" s="18" customFormat="1" ht="15" customHeight="1">
      <c r="A6" s="535" t="s">
        <v>145</v>
      </c>
      <c r="B6" s="535"/>
    </row>
    <row r="7" spans="1:2" ht="15" customHeight="1">
      <c r="A7" s="25" t="str">
        <f>'Trial Balance'!A8&amp;"-"&amp;'Trial Balance'!B8</f>
        <v>1005-Cash</v>
      </c>
      <c r="B7" s="345">
        <f>'Trial Balance'!H8</f>
        <v>660085.15</v>
      </c>
    </row>
    <row r="8" spans="1:2" ht="15" customHeight="1">
      <c r="A8" s="25" t="str">
        <f>'Trial Balance'!A9&amp;"-"&amp;'Trial Balance'!B9</f>
        <v>1010-Cash Advances and Working Funds</v>
      </c>
      <c r="B8" s="345">
        <f>'Trial Balance'!H9</f>
        <v>950</v>
      </c>
    </row>
    <row r="9" spans="1:2" ht="15" customHeight="1">
      <c r="A9" s="25" t="str">
        <f>'Trial Balance'!A10&amp;"-"&amp;'Trial Balance'!B10</f>
        <v>1020-Interest Special Deposits</v>
      </c>
      <c r="B9" s="345">
        <f>'Trial Balance'!H10</f>
        <v>0</v>
      </c>
    </row>
    <row r="10" spans="1:2" ht="15" customHeight="1">
      <c r="A10" s="25" t="str">
        <f>'Trial Balance'!A11&amp;"-"&amp;'Trial Balance'!B11</f>
        <v>1030-Dividend Special Deposits</v>
      </c>
      <c r="B10" s="345">
        <f>'Trial Balance'!H11</f>
        <v>0</v>
      </c>
    </row>
    <row r="11" spans="1:2" ht="15" customHeight="1">
      <c r="A11" s="25" t="str">
        <f>'Trial Balance'!A12&amp;"-"&amp;'Trial Balance'!B12</f>
        <v>1040-Other Special Deposits</v>
      </c>
      <c r="B11" s="345">
        <f>'Trial Balance'!H12</f>
        <v>0</v>
      </c>
    </row>
    <row r="12" spans="1:2" ht="15" customHeight="1">
      <c r="A12" s="25" t="str">
        <f>'Trial Balance'!A13&amp;"-"&amp;'Trial Balance'!B13</f>
        <v>1060-Term Deposits</v>
      </c>
      <c r="B12" s="345">
        <f>'Trial Balance'!H13</f>
        <v>8446.88</v>
      </c>
    </row>
    <row r="13" spans="1:2" ht="15" customHeight="1">
      <c r="A13" s="25" t="str">
        <f>'Trial Balance'!A14&amp;"-"&amp;'Trial Balance'!B14</f>
        <v>1070-Current Investments</v>
      </c>
      <c r="B13" s="345">
        <f>'Trial Balance'!H14</f>
        <v>0</v>
      </c>
    </row>
    <row r="14" spans="1:2" ht="15" customHeight="1">
      <c r="A14" s="25" t="str">
        <f>'Trial Balance'!A15&amp;"-"&amp;'Trial Balance'!B15</f>
        <v>1100-Customer Accounts Receivable</v>
      </c>
      <c r="B14" s="345">
        <f>'Trial Balance'!H15</f>
        <v>851112.0900000001</v>
      </c>
    </row>
    <row r="15" spans="1:2" ht="15" customHeight="1">
      <c r="A15" s="25" t="str">
        <f>'Trial Balance'!A16&amp;"-"&amp;'Trial Balance'!B16</f>
        <v>1102-Accounts Receivable - Services</v>
      </c>
      <c r="B15" s="345">
        <f>'Trial Balance'!H16</f>
        <v>69256.48</v>
      </c>
    </row>
    <row r="16" spans="1:2" ht="15" customHeight="1">
      <c r="A16" s="25" t="str">
        <f>'Trial Balance'!A17&amp;"-"&amp;'Trial Balance'!B17</f>
        <v>1104-Accounts Receivable - Recoverable Work</v>
      </c>
      <c r="B16" s="345">
        <f>'Trial Balance'!H17</f>
        <v>0</v>
      </c>
    </row>
    <row r="17" spans="1:2" ht="15" customHeight="1">
      <c r="A17" s="25" t="str">
        <f>'Trial Balance'!A18&amp;"-"&amp;'Trial Balance'!B18</f>
        <v>1105-Accounts Receivable - Merchandise, Jobbing, etc.</v>
      </c>
      <c r="B17" s="345">
        <f>'Trial Balance'!H18</f>
        <v>0</v>
      </c>
    </row>
    <row r="18" spans="1:2" ht="15" customHeight="1">
      <c r="A18" s="25" t="str">
        <f>'Trial Balance'!A19&amp;"-"&amp;'Trial Balance'!B19</f>
        <v>1110-Other Accounts Receivable</v>
      </c>
      <c r="B18" s="345">
        <f>'Trial Balance'!H19</f>
        <v>63655.9</v>
      </c>
    </row>
    <row r="19" spans="1:2" ht="15" customHeight="1">
      <c r="A19" s="25" t="str">
        <f>'Trial Balance'!A20&amp;"-"&amp;'Trial Balance'!B20</f>
        <v>1120-Accrued Utility Revenues</v>
      </c>
      <c r="B19" s="345">
        <f>'Trial Balance'!H20</f>
        <v>1371719</v>
      </c>
    </row>
    <row r="20" spans="1:2" ht="15" customHeight="1">
      <c r="A20" s="25" t="str">
        <f>'Trial Balance'!A21&amp;"-"&amp;'Trial Balance'!B21</f>
        <v>1130-Accumulated Provision for Uncollectable Accounts -- Credit</v>
      </c>
      <c r="B20" s="345">
        <f>'Trial Balance'!H21</f>
        <v>-37124.35</v>
      </c>
    </row>
    <row r="21" spans="1:2" ht="15" customHeight="1">
      <c r="A21" s="25" t="str">
        <f>'Trial Balance'!A22&amp;"-"&amp;'Trial Balance'!B22</f>
        <v>1140-Interest and Dividends Receivable</v>
      </c>
      <c r="B21" s="345">
        <f>'Trial Balance'!H22</f>
        <v>0</v>
      </c>
    </row>
    <row r="22" spans="1:2" ht="15" customHeight="1">
      <c r="A22" s="25" t="str">
        <f>'Trial Balance'!A23&amp;"-"&amp;'Trial Balance'!B23</f>
        <v>1150-Rents Receivable</v>
      </c>
      <c r="B22" s="345">
        <f>'Trial Balance'!H23</f>
        <v>0</v>
      </c>
    </row>
    <row r="23" spans="1:2" ht="15" customHeight="1">
      <c r="A23" s="25" t="str">
        <f>'Trial Balance'!A24&amp;"-"&amp;'Trial Balance'!B24</f>
        <v>1170-Notes Receivable</v>
      </c>
      <c r="B23" s="345">
        <f>'Trial Balance'!H24</f>
        <v>0</v>
      </c>
    </row>
    <row r="24" spans="1:2" ht="15" customHeight="1">
      <c r="A24" s="25" t="str">
        <f>'Trial Balance'!A25&amp;"-"&amp;'Trial Balance'!B25</f>
        <v>1180-Prepayments</v>
      </c>
      <c r="B24" s="345">
        <f>'Trial Balance'!H25</f>
        <v>24000</v>
      </c>
    </row>
    <row r="25" spans="1:2" ht="15" customHeight="1">
      <c r="A25" s="25" t="str">
        <f>'Trial Balance'!A26&amp;"-"&amp;'Trial Balance'!B26</f>
        <v>1190-Miscellaneous Current and Accrued Assets</v>
      </c>
      <c r="B25" s="345">
        <f>'Trial Balance'!H26</f>
        <v>0</v>
      </c>
    </row>
    <row r="26" spans="1:2" ht="15" customHeight="1">
      <c r="A26" s="25" t="str">
        <f>'Trial Balance'!A27&amp;"-"&amp;'Trial Balance'!B27</f>
        <v>1200-Accounts Receivable from Associated Companies</v>
      </c>
      <c r="B26" s="345">
        <f>'Trial Balance'!H27</f>
        <v>0</v>
      </c>
    </row>
    <row r="27" spans="1:2" ht="15" customHeight="1" thickBot="1">
      <c r="A27" s="25" t="str">
        <f>'Trial Balance'!A28&amp;"-"&amp;'Trial Balance'!B28</f>
        <v>1210-Notes  Receivable from Associated Companies</v>
      </c>
      <c r="B27" s="345">
        <f>'Trial Balance'!H28</f>
        <v>0</v>
      </c>
    </row>
    <row r="28" spans="1:2" ht="15" customHeight="1" thickBot="1">
      <c r="A28" s="26" t="s">
        <v>146</v>
      </c>
      <c r="B28" s="346">
        <f>SUM(B7:B27)</f>
        <v>3012101.15</v>
      </c>
    </row>
    <row r="29" spans="1:2" s="18" customFormat="1" ht="8.25" customHeight="1">
      <c r="A29" s="536"/>
      <c r="B29" s="536"/>
    </row>
    <row r="30" spans="1:2" s="18" customFormat="1" ht="15" customHeight="1">
      <c r="A30" s="534" t="s">
        <v>147</v>
      </c>
      <c r="B30" s="534"/>
    </row>
    <row r="31" spans="1:2" ht="15" customHeight="1">
      <c r="A31" s="25" t="str">
        <f>'Trial Balance'!A30&amp;"-"&amp;'Trial Balance'!B30</f>
        <v>1305-Fuel Stock</v>
      </c>
      <c r="B31" s="345">
        <f>'Trial Balance'!H30</f>
        <v>0</v>
      </c>
    </row>
    <row r="32" spans="1:2" ht="15" customHeight="1">
      <c r="A32" s="25" t="str">
        <f>'Trial Balance'!A31&amp;"-"&amp;'Trial Balance'!B31</f>
        <v>1330-Plant Materials and Operating Supplies</v>
      </c>
      <c r="B32" s="345">
        <f>'Trial Balance'!H31</f>
        <v>251105.75</v>
      </c>
    </row>
    <row r="33" spans="1:2" ht="15" customHeight="1">
      <c r="A33" s="25" t="str">
        <f>'Trial Balance'!A32&amp;"-"&amp;'Trial Balance'!B32</f>
        <v>1340-Merchandise</v>
      </c>
      <c r="B33" s="345">
        <f>'Trial Balance'!H32</f>
        <v>0</v>
      </c>
    </row>
    <row r="34" spans="1:2" ht="15" customHeight="1" thickBot="1">
      <c r="A34" s="25" t="str">
        <f>'Trial Balance'!A33&amp;"-"&amp;'Trial Balance'!B33</f>
        <v>1350-Other Material and Supplies</v>
      </c>
      <c r="B34" s="345">
        <f>'Trial Balance'!H33</f>
        <v>0</v>
      </c>
    </row>
    <row r="35" spans="1:2" ht="15" customHeight="1" thickBot="1">
      <c r="A35" s="27" t="s">
        <v>101</v>
      </c>
      <c r="B35" s="346">
        <f>SUM(B31:B34)</f>
        <v>251105.75</v>
      </c>
    </row>
    <row r="36" spans="1:2" s="18" customFormat="1" ht="15" customHeight="1">
      <c r="A36" s="22"/>
      <c r="B36" s="347"/>
    </row>
    <row r="37" spans="1:2" s="18" customFormat="1" ht="15" customHeight="1">
      <c r="A37" s="534" t="s">
        <v>102</v>
      </c>
      <c r="B37" s="534"/>
    </row>
    <row r="38" spans="1:2" ht="15" customHeight="1">
      <c r="A38" s="25" t="str">
        <f>'Trial Balance'!A35&amp;"-"&amp;'Trial Balance'!B35</f>
        <v>1405-Long Term Investments in Non-Associated Companies</v>
      </c>
      <c r="B38" s="345">
        <f>'Trial Balance'!H35</f>
        <v>0</v>
      </c>
    </row>
    <row r="39" spans="1:2" ht="15" customHeight="1">
      <c r="A39" s="25" t="str">
        <f>'Trial Balance'!A36&amp;"-"&amp;'Trial Balance'!B36</f>
        <v>1408-Long Term Receivable - Street Lighting Transfer</v>
      </c>
      <c r="B39" s="345">
        <f>'Trial Balance'!H36</f>
        <v>0</v>
      </c>
    </row>
    <row r="40" spans="1:2" ht="15" customHeight="1">
      <c r="A40" s="25" t="str">
        <f>'Trial Balance'!A37&amp;"-"&amp;'Trial Balance'!B37</f>
        <v>1410-Other Special or Collateral Funds</v>
      </c>
      <c r="B40" s="345">
        <f>'Trial Balance'!H37</f>
        <v>0</v>
      </c>
    </row>
    <row r="41" spans="1:2" ht="15" customHeight="1">
      <c r="A41" s="25" t="str">
        <f>'Trial Balance'!A38&amp;"-"&amp;'Trial Balance'!B38</f>
        <v>1415-Sinking Funds</v>
      </c>
      <c r="B41" s="345">
        <f>'Trial Balance'!H38</f>
        <v>0</v>
      </c>
    </row>
    <row r="42" spans="1:2" ht="15" customHeight="1">
      <c r="A42" s="25" t="str">
        <f>'Trial Balance'!A39&amp;"-"&amp;'Trial Balance'!B39</f>
        <v>1425-Unamortized Debt Expense</v>
      </c>
      <c r="B42" s="345">
        <f>'Trial Balance'!H39</f>
        <v>0</v>
      </c>
    </row>
    <row r="43" spans="1:2" ht="15" customHeight="1">
      <c r="A43" s="25" t="str">
        <f>'Trial Balance'!A40&amp;"-"&amp;'Trial Balance'!B40</f>
        <v>1445-Unamortized Discount on Long-Term Debt--Debit</v>
      </c>
      <c r="B43" s="345">
        <f>'Trial Balance'!H40</f>
        <v>0</v>
      </c>
    </row>
    <row r="44" spans="1:2" ht="15" customHeight="1">
      <c r="A44" s="25" t="str">
        <f>'Trial Balance'!A41&amp;"-"&amp;'Trial Balance'!B41</f>
        <v>1455-Unamortized Deferred Foreign Currency Translation Gains and Losses</v>
      </c>
      <c r="B44" s="345">
        <f>'Trial Balance'!H41</f>
        <v>0</v>
      </c>
    </row>
    <row r="45" spans="1:2" ht="15" customHeight="1">
      <c r="A45" s="25" t="str">
        <f>'Trial Balance'!A42&amp;"-"&amp;'Trial Balance'!B42</f>
        <v>1460-Other Non-Current Assets</v>
      </c>
      <c r="B45" s="345">
        <f>'Trial Balance'!H42</f>
        <v>0</v>
      </c>
    </row>
    <row r="46" spans="1:2" ht="15" customHeight="1">
      <c r="A46" s="25" t="str">
        <f>'Trial Balance'!A43&amp;"-"&amp;'Trial Balance'!B43</f>
        <v>1465-O.M.E.R.S. Past Service Costs</v>
      </c>
      <c r="B46" s="345">
        <f>'Trial Balance'!H43</f>
        <v>0</v>
      </c>
    </row>
    <row r="47" spans="1:2" ht="15" customHeight="1">
      <c r="A47" s="25" t="str">
        <f>'Trial Balance'!A44&amp;"-"&amp;'Trial Balance'!B44</f>
        <v>1470-Past Service Costs - Employee Future Benefits</v>
      </c>
      <c r="B47" s="345">
        <f>'Trial Balance'!H44</f>
        <v>0</v>
      </c>
    </row>
    <row r="48" spans="1:2" ht="15" customHeight="1">
      <c r="A48" s="25" t="str">
        <f>'Trial Balance'!A45&amp;"-"&amp;'Trial Balance'!B45</f>
        <v>1475-Past Service Costs -Other Pension Plans</v>
      </c>
      <c r="B48" s="345">
        <f>'Trial Balance'!H45</f>
        <v>0</v>
      </c>
    </row>
    <row r="49" spans="1:2" ht="15" customHeight="1">
      <c r="A49" s="25" t="str">
        <f>'Trial Balance'!A46&amp;"-"&amp;'Trial Balance'!B46</f>
        <v>1480-Portfolio Investments - Associated Companies</v>
      </c>
      <c r="B49" s="345">
        <f>'Trial Balance'!H46</f>
        <v>0</v>
      </c>
    </row>
    <row r="50" spans="1:2" ht="15" customHeight="1">
      <c r="A50" s="25" t="str">
        <f>'Trial Balance'!A47&amp;"-"&amp;'Trial Balance'!B47</f>
        <v>1485-Investment In Subsidiary Companies - Significant Influence</v>
      </c>
      <c r="B50" s="345">
        <f>'Trial Balance'!H47</f>
        <v>0</v>
      </c>
    </row>
    <row r="51" spans="1:2" ht="15" customHeight="1" thickBot="1">
      <c r="A51" s="25" t="str">
        <f>'Trial Balance'!A48&amp;"-"&amp;'Trial Balance'!B48</f>
        <v>1490-Investment in Subsidiary Companies</v>
      </c>
      <c r="B51" s="345">
        <f>'Trial Balance'!H48</f>
        <v>0</v>
      </c>
    </row>
    <row r="52" spans="1:2" ht="15" customHeight="1" thickBot="1">
      <c r="A52" s="27" t="s">
        <v>103</v>
      </c>
      <c r="B52" s="346">
        <f>SUM(B38:B51)</f>
        <v>0</v>
      </c>
    </row>
    <row r="53" spans="1:2" s="18" customFormat="1" ht="15" customHeight="1">
      <c r="A53" s="22"/>
      <c r="B53" s="347"/>
    </row>
    <row r="54" spans="1:2" s="18" customFormat="1" ht="15" customHeight="1">
      <c r="A54" s="534" t="s">
        <v>104</v>
      </c>
      <c r="B54" s="534"/>
    </row>
    <row r="55" spans="1:2" ht="15" customHeight="1">
      <c r="A55" s="25" t="str">
        <f>'Trial Balance'!A50&amp;"-"&amp;'Trial Balance'!B50</f>
        <v>1505-Unrecovered Plant and Regulatory Study Costs</v>
      </c>
      <c r="B55" s="345">
        <f>'Trial Balance'!H50</f>
        <v>0</v>
      </c>
    </row>
    <row r="56" spans="1:2" ht="15" customHeight="1">
      <c r="A56" s="25" t="str">
        <f>'Trial Balance'!A51&amp;"-"&amp;'Trial Balance'!B51</f>
        <v>1508-Other Regulatory Assets</v>
      </c>
      <c r="B56" s="345">
        <f>'Trial Balance'!H51</f>
        <v>26641.8</v>
      </c>
    </row>
    <row r="57" spans="1:2" ht="15" customHeight="1">
      <c r="A57" s="25" t="str">
        <f>'Trial Balance'!A52&amp;"-"&amp;'Trial Balance'!B52</f>
        <v>1510-Preliminary Survey and Investigation Charges</v>
      </c>
      <c r="B57" s="345">
        <f>'Trial Balance'!H52</f>
        <v>0</v>
      </c>
    </row>
    <row r="58" spans="1:2" ht="15" customHeight="1">
      <c r="A58" s="25" t="str">
        <f>'Trial Balance'!A53&amp;"-"&amp;'Trial Balance'!B53</f>
        <v>1515-Emission Allowance Inventory</v>
      </c>
      <c r="B58" s="345">
        <f>'Trial Balance'!H53</f>
        <v>0</v>
      </c>
    </row>
    <row r="59" spans="1:2" ht="15" customHeight="1">
      <c r="A59" s="25" t="str">
        <f>'Trial Balance'!A54&amp;"-"&amp;'Trial Balance'!B54</f>
        <v>1516-Emission Allowance Withheld</v>
      </c>
      <c r="B59" s="345">
        <f>'Trial Balance'!H54</f>
        <v>0</v>
      </c>
    </row>
    <row r="60" spans="1:2" ht="15" customHeight="1">
      <c r="A60" s="25" t="str">
        <f>'Trial Balance'!A55&amp;"-"&amp;'Trial Balance'!B55</f>
        <v>1518-RCVA Retail</v>
      </c>
      <c r="B60" s="345">
        <f>'Trial Balance'!H55</f>
        <v>723.18</v>
      </c>
    </row>
    <row r="61" spans="1:2" ht="15" customHeight="1">
      <c r="A61" s="25" t="str">
        <f>'Trial Balance'!A56&amp;"-"&amp;'Trial Balance'!B56</f>
        <v>1521-Special Purpose Charge Deferral</v>
      </c>
      <c r="B61" s="345">
        <f>'Trial Balance'!H56</f>
        <v>61989.95</v>
      </c>
    </row>
    <row r="62" spans="1:2" ht="15" customHeight="1">
      <c r="A62" s="25" t="str">
        <f>'Trial Balance'!A57&amp;"-"&amp;'Trial Balance'!B57</f>
        <v>1525-Miscellaneous Deferred Debits</v>
      </c>
      <c r="B62" s="345">
        <f>'Trial Balance'!H57</f>
        <v>0</v>
      </c>
    </row>
    <row r="63" spans="1:2" ht="15" customHeight="1">
      <c r="A63" s="25" t="str">
        <f>'Trial Balance'!A58&amp;"-"&amp;'Trial Balance'!B58</f>
        <v>1530-Deferred Losses from Disposition of Utility Plant</v>
      </c>
      <c r="B63" s="345">
        <f>'Trial Balance'!H58</f>
        <v>351.27</v>
      </c>
    </row>
    <row r="64" spans="1:2" ht="15" customHeight="1">
      <c r="A64" s="25" t="str">
        <f>'Trial Balance'!A59&amp;"-"&amp;'Trial Balance'!B59</f>
        <v>1540-Deferred Losses from Disposition of Utility Plant</v>
      </c>
      <c r="B64" s="345">
        <f>'Trial Balance'!H59</f>
        <v>0</v>
      </c>
    </row>
    <row r="65" spans="1:2" ht="15" customHeight="1">
      <c r="A65" s="25" t="str">
        <f>'Trial Balance'!A60&amp;"-"&amp;'Trial Balance'!B60</f>
        <v>1545-Development Charge Deposits/ Receivables</v>
      </c>
      <c r="B65" s="345">
        <f>'Trial Balance'!H60</f>
        <v>0</v>
      </c>
    </row>
    <row r="66" spans="1:2" ht="15" customHeight="1">
      <c r="A66" s="25" t="str">
        <f>'Trial Balance'!A61&amp;"-"&amp;'Trial Balance'!B61</f>
        <v>1548-RCVA - Service Transaction Request (STR)</v>
      </c>
      <c r="B66" s="345">
        <f>'Trial Balance'!H61</f>
        <v>89115.22</v>
      </c>
    </row>
    <row r="67" spans="1:2" ht="15" customHeight="1">
      <c r="A67" s="25" t="str">
        <f>'Trial Balance'!A62&amp;"-"&amp;'Trial Balance'!B62</f>
        <v>1550-LV Charges - Variance</v>
      </c>
      <c r="B67" s="345">
        <f>'Trial Balance'!H62</f>
        <v>-65386.73</v>
      </c>
    </row>
    <row r="68" spans="1:2" ht="15" customHeight="1">
      <c r="A68" s="25" t="str">
        <f>'Trial Balance'!A63&amp;"-"&amp;'Trial Balance'!B63</f>
        <v>1555-Smart Meters Recovery</v>
      </c>
      <c r="B68" s="345">
        <f>'Trial Balance'!H63</f>
        <v>874588.07</v>
      </c>
    </row>
    <row r="69" spans="1:2" ht="15" customHeight="1">
      <c r="A69" s="25" t="str">
        <f>'Trial Balance'!A64&amp;"-"&amp;'Trial Balance'!B64</f>
        <v>1556-Smart Meters OM &amp; A</v>
      </c>
      <c r="B69" s="345">
        <f>'Trial Balance'!H64</f>
        <v>72580.24</v>
      </c>
    </row>
    <row r="70" spans="1:2" ht="15" customHeight="1">
      <c r="A70" s="25" t="str">
        <f>'Trial Balance'!A65&amp;"-"&amp;'Trial Balance'!B65</f>
        <v>1562-Deferred PILs</v>
      </c>
      <c r="B70" s="345">
        <f>'Trial Balance'!H65</f>
        <v>39581.81</v>
      </c>
    </row>
    <row r="71" spans="1:2" ht="15" customHeight="1">
      <c r="A71" s="25" t="str">
        <f>'Trial Balance'!A66&amp;"-"&amp;'Trial Balance'!B66</f>
        <v>1563-Deferred PILs - Contra</v>
      </c>
      <c r="B71" s="345">
        <f>'Trial Balance'!H66</f>
        <v>-39581.81</v>
      </c>
    </row>
    <row r="72" spans="1:2" ht="15" customHeight="1">
      <c r="A72" s="25" t="str">
        <f>'Trial Balance'!A67&amp;"-"&amp;'Trial Balance'!B67</f>
        <v>1565-C &amp; DM Costs</v>
      </c>
      <c r="B72" s="345">
        <f>'Trial Balance'!H67</f>
        <v>0</v>
      </c>
    </row>
    <row r="73" spans="1:2" ht="15" customHeight="1">
      <c r="A73" s="25" t="str">
        <f>'Trial Balance'!A68&amp;"-"&amp;'Trial Balance'!B68</f>
        <v>1566-C &amp; DM Costs Contra - SM Costs to Fixed Assets</v>
      </c>
      <c r="B73" s="345">
        <f>'Trial Balance'!H68</f>
        <v>0</v>
      </c>
    </row>
    <row r="74" spans="1:2" ht="15" customHeight="1">
      <c r="A74" s="25" t="str">
        <f>'Trial Balance'!A69&amp;"-"&amp;'Trial Balance'!B69</f>
        <v>1570-Qualifying Transition Costs</v>
      </c>
      <c r="B74" s="345">
        <f>'Trial Balance'!H69</f>
        <v>-1142779</v>
      </c>
    </row>
    <row r="75" spans="1:2" ht="15" customHeight="1">
      <c r="A75" s="25" t="str">
        <f>'Trial Balance'!A70&amp;"-"&amp;'Trial Balance'!B70</f>
        <v>1571-Pre Market CofP Variance</v>
      </c>
      <c r="B75" s="345">
        <f>'Trial Balance'!H70</f>
        <v>0</v>
      </c>
    </row>
    <row r="76" spans="1:2" ht="15" customHeight="1">
      <c r="A76" s="25" t="str">
        <f>'Trial Balance'!A71&amp;"-"&amp;'Trial Balance'!B71</f>
        <v>1572-Extraordinary Event Losses</v>
      </c>
      <c r="B76" s="345">
        <f>'Trial Balance'!H71</f>
        <v>0</v>
      </c>
    </row>
    <row r="77" spans="1:2" ht="15" customHeight="1">
      <c r="A77" s="25" t="str">
        <f>'Trial Balance'!A72&amp;"-"&amp;'Trial Balance'!B72</f>
        <v>1574-Deferred Rate Impact Amounts</v>
      </c>
      <c r="B77" s="345">
        <f>'Trial Balance'!H72</f>
        <v>0</v>
      </c>
    </row>
    <row r="78" spans="1:2" ht="15" customHeight="1">
      <c r="A78" s="25" t="str">
        <f>'Trial Balance'!A73&amp;"-"&amp;'Trial Balance'!B73</f>
        <v>1580-RSVA - Wholesale Market Services</v>
      </c>
      <c r="B78" s="345">
        <f>'Trial Balance'!H73</f>
        <v>-157898.11</v>
      </c>
    </row>
    <row r="79" spans="1:2" ht="15" customHeight="1">
      <c r="A79" s="25" t="str">
        <f>'Trial Balance'!A74&amp;"-"&amp;'Trial Balance'!B74</f>
        <v>1582-RSVA - One-Time</v>
      </c>
      <c r="B79" s="345">
        <f>'Trial Balance'!H74</f>
        <v>7501.51</v>
      </c>
    </row>
    <row r="80" spans="1:2" ht="15" customHeight="1">
      <c r="A80" s="25" t="str">
        <f>'Trial Balance'!A75&amp;"-"&amp;'Trial Balance'!B75</f>
        <v>1584-RSVA - Network Charges</v>
      </c>
      <c r="B80" s="345">
        <f>'Trial Balance'!H75</f>
        <v>-148068.28</v>
      </c>
    </row>
    <row r="81" spans="1:2" ht="15" customHeight="1">
      <c r="A81" s="25" t="str">
        <f>'Trial Balance'!A76&amp;"-"&amp;'Trial Balance'!B76</f>
        <v>1586-RSVA - Connection Charges</v>
      </c>
      <c r="B81" s="345">
        <f>'Trial Balance'!H76</f>
        <v>-93377.9</v>
      </c>
    </row>
    <row r="82" spans="1:2" ht="15" customHeight="1">
      <c r="A82" s="25" t="str">
        <f>'Trial Balance'!A77&amp;"-"&amp;'Trial Balance'!B77</f>
        <v>1588-RSVA - Commodity (Power)</v>
      </c>
      <c r="B82" s="345">
        <f>'Trial Balance'!H77</f>
        <v>-200798.96</v>
      </c>
    </row>
    <row r="83" spans="1:2" ht="15" customHeight="1">
      <c r="A83" s="25" t="str">
        <f>'Trial Balance'!A78&amp;"-"&amp;'Trial Balance'!B78</f>
        <v>1590-Recovery of Regulatory Assets (25% of 2002 bal.)</v>
      </c>
      <c r="B83" s="345">
        <f>'Trial Balance'!H78</f>
        <v>4756.61</v>
      </c>
    </row>
    <row r="84" spans="1:2" ht="15" customHeight="1">
      <c r="A84" s="25" t="str">
        <f>'Trial Balance'!A79&amp;"-"&amp;'Trial Balance'!B79</f>
        <v>1592-PILs and Tax Variance for 2006 &amp; Subsequent Years</v>
      </c>
      <c r="B84" s="345">
        <f>'Trial Balance'!H79</f>
        <v>0</v>
      </c>
    </row>
    <row r="85" spans="1:2" ht="15" customHeight="1" thickBot="1">
      <c r="A85" s="25" t="str">
        <f>'Trial Balance'!A80&amp;"-"&amp;'Trial Balance'!B80</f>
        <v>1595-Disposition and Recovery of Regulatory Balances</v>
      </c>
      <c r="B85" s="345">
        <f>'Trial Balance'!H80</f>
        <v>5472.1</v>
      </c>
    </row>
    <row r="86" spans="1:2" ht="15" customHeight="1" thickBot="1">
      <c r="A86" s="27" t="s">
        <v>151</v>
      </c>
      <c r="B86" s="346">
        <f>SUM(B55:B85)</f>
        <v>-664589.03</v>
      </c>
    </row>
    <row r="87" spans="1:2" s="18" customFormat="1" ht="15" customHeight="1">
      <c r="A87" s="22"/>
      <c r="B87" s="347"/>
    </row>
    <row r="88" spans="1:2" s="18" customFormat="1" ht="15" customHeight="1">
      <c r="A88" s="534" t="s">
        <v>152</v>
      </c>
      <c r="B88" s="534"/>
    </row>
    <row r="89" spans="1:2" ht="15" customHeight="1">
      <c r="A89" s="25" t="str">
        <f>'Trial Balance'!A82&amp;"-"&amp;'Trial Balance'!B82</f>
        <v>1610-Intangible Assets</v>
      </c>
      <c r="B89" s="345">
        <f>'Trial Balance'!H82</f>
        <v>0</v>
      </c>
    </row>
    <row r="90" spans="1:2" ht="15" customHeight="1">
      <c r="A90" s="25" t="str">
        <f>'Trial Balance'!A83&amp;"-"&amp;'Trial Balance'!B83</f>
        <v>1805-Land</v>
      </c>
      <c r="B90" s="345">
        <f>'Trial Balance'!H83</f>
        <v>84205.25</v>
      </c>
    </row>
    <row r="91" spans="1:2" ht="15" customHeight="1">
      <c r="A91" s="25" t="str">
        <f>'Trial Balance'!A84&amp;"-"&amp;'Trial Balance'!B84</f>
        <v>1806-Land Rights</v>
      </c>
      <c r="B91" s="345">
        <f>'Trial Balance'!H84</f>
        <v>0</v>
      </c>
    </row>
    <row r="92" spans="1:2" ht="15" customHeight="1">
      <c r="A92" s="25" t="str">
        <f>'Trial Balance'!A85&amp;"-"&amp;'Trial Balance'!B85</f>
        <v>1808-Buildings and Fixtures</v>
      </c>
      <c r="B92" s="345">
        <f>'Trial Balance'!H85</f>
        <v>82287.41</v>
      </c>
    </row>
    <row r="93" spans="1:2" ht="15" customHeight="1">
      <c r="A93" s="25" t="str">
        <f>'Trial Balance'!A86&amp;"-"&amp;'Trial Balance'!B86</f>
        <v>1810-Leasehold Improvements</v>
      </c>
      <c r="B93" s="345">
        <f>'Trial Balance'!H86</f>
        <v>0</v>
      </c>
    </row>
    <row r="94" spans="1:2" ht="15" customHeight="1">
      <c r="A94" s="25" t="str">
        <f>'Trial Balance'!A87&amp;"-"&amp;'Trial Balance'!B87</f>
        <v>1815-Transformer Station Equipment - Normally Primary above 50 kV</v>
      </c>
      <c r="B94" s="345">
        <f>'Trial Balance'!H87</f>
        <v>0</v>
      </c>
    </row>
    <row r="95" spans="1:2" ht="15" customHeight="1">
      <c r="A95" s="25" t="str">
        <f>'Trial Balance'!A88&amp;"-"&amp;'Trial Balance'!B88</f>
        <v>1820-Distribution Station Equipment - Normally Primary below 50 kV</v>
      </c>
      <c r="B95" s="345">
        <f>'Trial Balance'!H88</f>
        <v>689883.89</v>
      </c>
    </row>
    <row r="96" spans="1:2" ht="15" customHeight="1">
      <c r="A96" s="25" t="str">
        <f>'Trial Balance'!A89&amp;"-"&amp;'Trial Balance'!B89</f>
        <v>1825-Storage Battery Equipment</v>
      </c>
      <c r="B96" s="345">
        <f>'Trial Balance'!H89</f>
        <v>0</v>
      </c>
    </row>
    <row r="97" spans="1:2" ht="15" customHeight="1">
      <c r="A97" s="25" t="str">
        <f>'Trial Balance'!A90&amp;"-"&amp;'Trial Balance'!B90</f>
        <v>1830-Poles, Towers and Fixtures</v>
      </c>
      <c r="B97" s="345">
        <f>'Trial Balance'!H90</f>
        <v>452091.9</v>
      </c>
    </row>
    <row r="98" spans="1:2" ht="15" customHeight="1">
      <c r="A98" s="25" t="str">
        <f>'Trial Balance'!A91&amp;"-"&amp;'Trial Balance'!B91</f>
        <v>1835-Overhead Conductors and Devices</v>
      </c>
      <c r="B98" s="345">
        <f>'Trial Balance'!H91</f>
        <v>1794430.1</v>
      </c>
    </row>
    <row r="99" spans="1:2" ht="15" customHeight="1">
      <c r="A99" s="25" t="str">
        <f>'Trial Balance'!A92&amp;"-"&amp;'Trial Balance'!B92</f>
        <v>1840-Underground Conduit</v>
      </c>
      <c r="B99" s="345">
        <f>'Trial Balance'!H92</f>
        <v>463826.49000000005</v>
      </c>
    </row>
    <row r="100" spans="1:2" ht="15" customHeight="1">
      <c r="A100" s="25" t="str">
        <f>'Trial Balance'!A93&amp;"-"&amp;'Trial Balance'!B93</f>
        <v>1845-Underground Conductors and Devices</v>
      </c>
      <c r="B100" s="345">
        <f>'Trial Balance'!H93</f>
        <v>360284.18000000005</v>
      </c>
    </row>
    <row r="101" spans="1:2" ht="15" customHeight="1">
      <c r="A101" s="25" t="str">
        <f>'Trial Balance'!A94&amp;"-"&amp;'Trial Balance'!B94</f>
        <v>1850-Line Transformers</v>
      </c>
      <c r="B101" s="345">
        <f>'Trial Balance'!H94</f>
        <v>991223.28</v>
      </c>
    </row>
    <row r="102" spans="1:2" ht="15" customHeight="1">
      <c r="A102" s="25" t="str">
        <f>'Trial Balance'!A95&amp;"-"&amp;'Trial Balance'!B95</f>
        <v>1855-Services</v>
      </c>
      <c r="B102" s="345">
        <f>'Trial Balance'!H95</f>
        <v>261636.53999999998</v>
      </c>
    </row>
    <row r="103" spans="1:2" ht="15" customHeight="1">
      <c r="A103" s="25" t="str">
        <f>'Trial Balance'!A96&amp;"-"&amp;'Trial Balance'!B96</f>
        <v>1860-Meters</v>
      </c>
      <c r="B103" s="345">
        <f>'Trial Balance'!H96</f>
        <v>1574705.0599999998</v>
      </c>
    </row>
    <row r="104" spans="1:2" ht="15" customHeight="1" thickBot="1">
      <c r="A104" s="25" t="str">
        <f>'Trial Balance'!A97&amp;"-"&amp;'Trial Balance'!B97</f>
        <v>1865-Other Installations on Customer's Premises</v>
      </c>
      <c r="B104" s="345">
        <f>'Trial Balance'!H97</f>
        <v>0</v>
      </c>
    </row>
    <row r="105" spans="1:2" ht="15" customHeight="1" thickBot="1">
      <c r="A105" s="28" t="s">
        <v>80</v>
      </c>
      <c r="B105" s="346">
        <f>SUM(B89:B104)</f>
        <v>6754574.100000001</v>
      </c>
    </row>
    <row r="106" spans="1:2" s="18" customFormat="1" ht="15" customHeight="1">
      <c r="A106" s="21"/>
      <c r="B106" s="347"/>
    </row>
    <row r="107" spans="1:2" s="18" customFormat="1" ht="15" customHeight="1">
      <c r="A107" s="534" t="s">
        <v>81</v>
      </c>
      <c r="B107" s="534"/>
    </row>
    <row r="108" spans="1:2" ht="15" customHeight="1">
      <c r="A108" s="25" t="str">
        <f>'Trial Balance'!A98&amp;"-"&amp;'Trial Balance'!B98</f>
        <v>1905-Land</v>
      </c>
      <c r="B108" s="345">
        <f>'Trial Balance'!H98</f>
        <v>0</v>
      </c>
    </row>
    <row r="109" spans="1:2" ht="15" customHeight="1">
      <c r="A109" s="25" t="str">
        <f>'Trial Balance'!A99&amp;"-"&amp;'Trial Balance'!B99</f>
        <v>1906-Land Rights</v>
      </c>
      <c r="B109" s="345">
        <f>'Trial Balance'!H99</f>
        <v>0</v>
      </c>
    </row>
    <row r="110" spans="1:2" ht="15" customHeight="1">
      <c r="A110" s="25" t="str">
        <f>'Trial Balance'!A100&amp;"-"&amp;'Trial Balance'!B100</f>
        <v>1908-Buildings and Fixtures</v>
      </c>
      <c r="B110" s="345">
        <f>'Trial Balance'!H100</f>
        <v>0</v>
      </c>
    </row>
    <row r="111" spans="1:2" ht="15" customHeight="1">
      <c r="A111" s="25" t="str">
        <f>'Trial Balance'!A101&amp;"-"&amp;'Trial Balance'!B101</f>
        <v>1910-Leasehold Improvements</v>
      </c>
      <c r="B111" s="345">
        <f>'Trial Balance'!H101</f>
        <v>8796.45</v>
      </c>
    </row>
    <row r="112" spans="1:2" ht="15" customHeight="1">
      <c r="A112" s="25" t="str">
        <f>'Trial Balance'!A102&amp;"-"&amp;'Trial Balance'!B102</f>
        <v>1915-Office Furniture and Equipment</v>
      </c>
      <c r="B112" s="345">
        <f>'Trial Balance'!H102</f>
        <v>0</v>
      </c>
    </row>
    <row r="113" spans="1:2" ht="15" customHeight="1">
      <c r="A113" s="25" t="str">
        <f>'Trial Balance'!A103&amp;"-"&amp;'Trial Balance'!B103</f>
        <v>1920-Computer Equipment - Hardware</v>
      </c>
      <c r="B113" s="345">
        <f>'Trial Balance'!H103</f>
        <v>153687.65999999997</v>
      </c>
    </row>
    <row r="114" spans="1:2" ht="15" customHeight="1">
      <c r="A114" s="25" t="str">
        <f>'Trial Balance'!A104&amp;"-"&amp;'Trial Balance'!B104</f>
        <v>1925-Computer Software</v>
      </c>
      <c r="B114" s="345">
        <f>'Trial Balance'!H104</f>
        <v>154826.66</v>
      </c>
    </row>
    <row r="115" spans="1:2" ht="15" customHeight="1">
      <c r="A115" s="25" t="str">
        <f>'Trial Balance'!A105&amp;"-"&amp;'Trial Balance'!B105</f>
        <v>1930-Transportation Equipment</v>
      </c>
      <c r="B115" s="345">
        <f>'Trial Balance'!H105</f>
        <v>327095.37999999995</v>
      </c>
    </row>
    <row r="116" spans="1:2" ht="15" customHeight="1">
      <c r="A116" s="25" t="str">
        <f>'Trial Balance'!A106&amp;"-"&amp;'Trial Balance'!B106</f>
        <v>1935-Stores Equipment</v>
      </c>
      <c r="B116" s="345">
        <f>'Trial Balance'!H106</f>
        <v>0</v>
      </c>
    </row>
    <row r="117" spans="1:2" ht="15" customHeight="1">
      <c r="A117" s="25" t="str">
        <f>'Trial Balance'!A107&amp;"-"&amp;'Trial Balance'!B107</f>
        <v>1940-Tools, Shop and Garage Equipment</v>
      </c>
      <c r="B117" s="345">
        <f>'Trial Balance'!H107</f>
        <v>132983.96</v>
      </c>
    </row>
    <row r="118" spans="1:2" ht="15" customHeight="1">
      <c r="A118" s="25" t="str">
        <f>'Trial Balance'!A108&amp;"-"&amp;'Trial Balance'!B108</f>
        <v>1945-Measurement and Testing Equipment</v>
      </c>
      <c r="B118" s="345">
        <f>'Trial Balance'!H108</f>
        <v>0</v>
      </c>
    </row>
    <row r="119" spans="1:2" ht="15" customHeight="1">
      <c r="A119" s="25" t="str">
        <f>'Trial Balance'!A109&amp;"-"&amp;'Trial Balance'!B109</f>
        <v>1950-Power Operated Equipment</v>
      </c>
      <c r="B119" s="345">
        <f>'Trial Balance'!H109</f>
        <v>0</v>
      </c>
    </row>
    <row r="120" spans="1:2" ht="15" customHeight="1">
      <c r="A120" s="25" t="str">
        <f>'Trial Balance'!A110&amp;"-"&amp;'Trial Balance'!B110</f>
        <v>1955-Communication Equipment</v>
      </c>
      <c r="B120" s="345">
        <f>'Trial Balance'!H110</f>
        <v>0</v>
      </c>
    </row>
    <row r="121" spans="1:2" ht="15" customHeight="1">
      <c r="A121" s="25" t="str">
        <f>'Trial Balance'!A111&amp;"-"&amp;'Trial Balance'!B111</f>
        <v>1960-Miscellaneous Equipment</v>
      </c>
      <c r="B121" s="345">
        <f>'Trial Balance'!H111</f>
        <v>0</v>
      </c>
    </row>
    <row r="122" spans="1:2" ht="15" customHeight="1">
      <c r="A122" s="25" t="str">
        <f>'Trial Balance'!A112&amp;"-"&amp;'Trial Balance'!B112</f>
        <v>1970-Load Management Controls - Customer Premises </v>
      </c>
      <c r="B122" s="345">
        <f>'Trial Balance'!H112</f>
        <v>0</v>
      </c>
    </row>
    <row r="123" spans="1:2" ht="15" customHeight="1">
      <c r="A123" s="25" t="str">
        <f>'Trial Balance'!A113&amp;"-"&amp;'Trial Balance'!B113</f>
        <v>1975-Load Management Controls - Utility Premises</v>
      </c>
      <c r="B123" s="345">
        <f>'Trial Balance'!H113</f>
        <v>0</v>
      </c>
    </row>
    <row r="124" spans="1:2" ht="15" customHeight="1">
      <c r="A124" s="25" t="str">
        <f>'Trial Balance'!A114&amp;"-"&amp;'Trial Balance'!B114</f>
        <v>1980-System Supervisory Equipment</v>
      </c>
      <c r="B124" s="345">
        <f>'Trial Balance'!H114</f>
        <v>0</v>
      </c>
    </row>
    <row r="125" spans="1:2" ht="15" customHeight="1">
      <c r="A125" s="25" t="str">
        <f>'Trial Balance'!A115&amp;"-"&amp;'Trial Balance'!B115</f>
        <v>1985-Sentinel Lighting Rentals</v>
      </c>
      <c r="B125" s="345">
        <f>'Trial Balance'!H115</f>
        <v>0</v>
      </c>
    </row>
    <row r="126" spans="1:2" ht="15" customHeight="1">
      <c r="A126" s="25" t="str">
        <f>'Trial Balance'!A116&amp;"-"&amp;'Trial Balance'!B116</f>
        <v>1990-Other Tangible Property</v>
      </c>
      <c r="B126" s="345">
        <f>'Trial Balance'!H116</f>
        <v>0</v>
      </c>
    </row>
    <row r="127" spans="1:2" ht="15" customHeight="1" thickBot="1">
      <c r="A127" s="25" t="str">
        <f>'Trial Balance'!A117&amp;"-"&amp;'Trial Balance'!B117</f>
        <v>1995-Contributions and Grants</v>
      </c>
      <c r="B127" s="345">
        <f>'Trial Balance'!H117</f>
        <v>-360987.58999999997</v>
      </c>
    </row>
    <row r="128" spans="1:2" ht="15" customHeight="1" thickBot="1">
      <c r="A128" s="28" t="s">
        <v>141</v>
      </c>
      <c r="B128" s="346">
        <f>SUM(B108:B127)</f>
        <v>416402.5199999999</v>
      </c>
    </row>
    <row r="129" spans="1:2" s="18" customFormat="1" ht="15" customHeight="1">
      <c r="A129" s="21"/>
      <c r="B129" s="347"/>
    </row>
    <row r="130" spans="1:2" s="18" customFormat="1" ht="15" customHeight="1">
      <c r="A130" s="534" t="s">
        <v>142</v>
      </c>
      <c r="B130" s="534"/>
    </row>
    <row r="131" spans="1:2" ht="15" customHeight="1">
      <c r="A131" s="25" t="str">
        <f>'Trial Balance'!A119&amp;"-"&amp;'Trial Balance'!B119</f>
        <v>2005-Property Under Capital Leases</v>
      </c>
      <c r="B131" s="345">
        <f>'Trial Balance'!H119</f>
        <v>0</v>
      </c>
    </row>
    <row r="132" spans="1:2" ht="15" customHeight="1">
      <c r="A132" s="25" t="str">
        <f>'Trial Balance'!A120&amp;"-"&amp;'Trial Balance'!B120</f>
        <v>2010-Electric Plant Purchased or Sold</v>
      </c>
      <c r="B132" s="345">
        <f>'Trial Balance'!H120</f>
        <v>0</v>
      </c>
    </row>
    <row r="133" spans="1:2" ht="15" customHeight="1">
      <c r="A133" s="25" t="str">
        <f>'Trial Balance'!A121&amp;"-"&amp;'Trial Balance'!B121</f>
        <v>2020-Experimental Electric Plant Unclassified</v>
      </c>
      <c r="B133" s="345">
        <f>'Trial Balance'!H121</f>
        <v>0</v>
      </c>
    </row>
    <row r="134" spans="1:2" ht="15" customHeight="1">
      <c r="A134" s="25" t="str">
        <f>'Trial Balance'!A122&amp;"-"&amp;'Trial Balance'!B122</f>
        <v>2030-Electric Plant and Equipment Leased to Others</v>
      </c>
      <c r="B134" s="345">
        <f>'Trial Balance'!H122</f>
        <v>0</v>
      </c>
    </row>
    <row r="135" spans="1:2" ht="15" customHeight="1">
      <c r="A135" s="25" t="str">
        <f>'Trial Balance'!A123&amp;"-"&amp;'Trial Balance'!B123</f>
        <v>2040-Electric Plant Held for Future Use</v>
      </c>
      <c r="B135" s="345">
        <f>'Trial Balance'!H123</f>
        <v>0</v>
      </c>
    </row>
    <row r="136" spans="1:2" ht="15" customHeight="1">
      <c r="A136" s="25" t="str">
        <f>'Trial Balance'!A124&amp;"-"&amp;'Trial Balance'!B124</f>
        <v>2050-Completed Construction Not Classified--Electric</v>
      </c>
      <c r="B136" s="345">
        <f>'Trial Balance'!H124</f>
        <v>0</v>
      </c>
    </row>
    <row r="137" spans="1:2" ht="15" customHeight="1">
      <c r="A137" s="25" t="str">
        <f>'Trial Balance'!A125&amp;"-"&amp;'Trial Balance'!B125</f>
        <v>2055-Construction Work in Progress--Electric</v>
      </c>
      <c r="B137" s="345">
        <f>'Trial Balance'!H125</f>
        <v>0</v>
      </c>
    </row>
    <row r="138" spans="1:2" ht="15" customHeight="1">
      <c r="A138" s="25" t="str">
        <f>'Trial Balance'!A126&amp;"-"&amp;'Trial Balance'!B126</f>
        <v>2060-Electric Plant Acquisition Adjustment</v>
      </c>
      <c r="B138" s="345">
        <f>'Trial Balance'!H126</f>
        <v>0</v>
      </c>
    </row>
    <row r="139" spans="1:2" ht="15" customHeight="1">
      <c r="A139" s="25" t="str">
        <f>'Trial Balance'!A127&amp;"-"&amp;'Trial Balance'!B127</f>
        <v>2065-Other Electric Plant Adjustment</v>
      </c>
      <c r="B139" s="345">
        <f>'Trial Balance'!H127</f>
        <v>0</v>
      </c>
    </row>
    <row r="140" spans="1:2" ht="15" customHeight="1">
      <c r="A140" s="25" t="str">
        <f>'Trial Balance'!A128&amp;"-"&amp;'Trial Balance'!B128</f>
        <v>2070-Other Utility Plant</v>
      </c>
      <c r="B140" s="345">
        <f>'Trial Balance'!H128</f>
        <v>0</v>
      </c>
    </row>
    <row r="141" spans="1:2" ht="15" customHeight="1" thickBot="1">
      <c r="A141" s="25" t="str">
        <f>'Trial Balance'!A129&amp;"-"&amp;'Trial Balance'!B129</f>
        <v>2075-Non-Utility Property Owned or Under Capital Lease</v>
      </c>
      <c r="B141" s="345">
        <f>'Trial Balance'!H129</f>
        <v>0</v>
      </c>
    </row>
    <row r="142" spans="1:2" ht="15" customHeight="1" thickBot="1">
      <c r="A142" s="28" t="s">
        <v>143</v>
      </c>
      <c r="B142" s="346">
        <f>SUM(B131:B141)</f>
        <v>0</v>
      </c>
    </row>
    <row r="143" spans="1:2" s="18" customFormat="1" ht="15" customHeight="1">
      <c r="A143" s="21"/>
      <c r="B143" s="347"/>
    </row>
    <row r="144" spans="1:2" s="18" customFormat="1" ht="15" customHeight="1">
      <c r="A144" s="534" t="s">
        <v>144</v>
      </c>
      <c r="B144" s="534"/>
    </row>
    <row r="145" spans="1:2" ht="15" customHeight="1">
      <c r="A145" s="25" t="str">
        <f>'Trial Balance'!A131&amp;"-"&amp;'Trial Balance'!B131</f>
        <v>2105-Accumulated Amortization of Electric Utility Plant - Property, Plant and Equipment</v>
      </c>
      <c r="B145" s="345">
        <f>'Trial Balance'!H131</f>
        <v>-2023384.4043333333</v>
      </c>
    </row>
    <row r="146" spans="1:2" ht="15" customHeight="1">
      <c r="A146" s="25" t="str">
        <f>'Trial Balance'!A132&amp;"-"&amp;'Trial Balance'!B132</f>
        <v>2120-Accumulated Amortization of Electric Utility Plant - Intangibles</v>
      </c>
      <c r="B146" s="345">
        <f>'Trial Balance'!H132</f>
        <v>0</v>
      </c>
    </row>
    <row r="147" spans="1:2" ht="15" customHeight="1">
      <c r="A147" s="25" t="str">
        <f>'Trial Balance'!A133&amp;"-"&amp;'Trial Balance'!B133</f>
        <v>2140-Accumulated Amortization of Electric Plant Acquisition Adjustment</v>
      </c>
      <c r="B147" s="345">
        <f>'Trial Balance'!H133</f>
        <v>0</v>
      </c>
    </row>
    <row r="148" spans="1:2" ht="15" customHeight="1">
      <c r="A148" s="25" t="str">
        <f>'Trial Balance'!A134&amp;"-"&amp;'Trial Balance'!B134</f>
        <v>2160-Accumulated Amortization of Other Utility Plant</v>
      </c>
      <c r="B148" s="345">
        <f>'Trial Balance'!H134</f>
        <v>0</v>
      </c>
    </row>
    <row r="149" spans="1:2" ht="15" customHeight="1" thickBot="1">
      <c r="A149" s="25" t="str">
        <f>'Trial Balance'!A135&amp;"-"&amp;'Trial Balance'!B135</f>
        <v>2180-Accumulated Amortization of Non-Utility Property</v>
      </c>
      <c r="B149" s="345">
        <f>'Trial Balance'!H135</f>
        <v>0</v>
      </c>
    </row>
    <row r="150" spans="1:2" ht="15" customHeight="1" thickBot="1">
      <c r="A150" s="205" t="s">
        <v>148</v>
      </c>
      <c r="B150" s="348">
        <f>SUM(B145:B149)</f>
        <v>-2023384.4043333333</v>
      </c>
    </row>
    <row r="151" spans="1:2" ht="15" customHeight="1" thickBot="1">
      <c r="A151" s="202"/>
      <c r="B151" s="347"/>
    </row>
    <row r="152" spans="1:2" ht="15" customHeight="1" thickBot="1">
      <c r="A152" s="203" t="s">
        <v>247</v>
      </c>
      <c r="B152" s="349">
        <f>B28+B35+B52+B86+B105+B128+B142+B150</f>
        <v>7746210.085666667</v>
      </c>
    </row>
    <row r="153" spans="1:2" s="18" customFormat="1" ht="15" customHeight="1">
      <c r="A153" s="22"/>
      <c r="B153" s="347"/>
    </row>
    <row r="154" spans="1:2" s="18" customFormat="1" ht="15" customHeight="1">
      <c r="A154" s="534" t="s">
        <v>149</v>
      </c>
      <c r="B154" s="534"/>
    </row>
    <row r="155" spans="1:2" ht="15" customHeight="1">
      <c r="A155" s="25" t="str">
        <f>'Trial Balance'!A137&amp;"-"&amp;'Trial Balance'!B137</f>
        <v>2205-Accounts Payable</v>
      </c>
      <c r="B155" s="345">
        <f>-'Trial Balance'!H137</f>
        <v>29226.06</v>
      </c>
    </row>
    <row r="156" spans="1:2" ht="15" customHeight="1">
      <c r="A156" s="25" t="str">
        <f>'Trial Balance'!A138&amp;"-"&amp;'Trial Balance'!B138</f>
        <v>2208-Customer Credit Balances</v>
      </c>
      <c r="B156" s="345">
        <f>-'Trial Balance'!H138</f>
        <v>87650.15</v>
      </c>
    </row>
    <row r="157" spans="1:2" ht="15" customHeight="1">
      <c r="A157" s="25" t="str">
        <f>'Trial Balance'!A139&amp;"-"&amp;'Trial Balance'!B139</f>
        <v>2210-Current Portion of Customer Deposits </v>
      </c>
      <c r="B157" s="345">
        <f>-'Trial Balance'!H139</f>
        <v>79000</v>
      </c>
    </row>
    <row r="158" spans="1:2" ht="15" customHeight="1">
      <c r="A158" s="25" t="str">
        <f>'Trial Balance'!A140&amp;"-"&amp;'Trial Balance'!B140</f>
        <v>2215-Dividends Declared</v>
      </c>
      <c r="B158" s="345">
        <f>-'Trial Balance'!H140</f>
        <v>0</v>
      </c>
    </row>
    <row r="159" spans="1:2" ht="15" customHeight="1">
      <c r="A159" s="25" t="str">
        <f>'Trial Balance'!A141&amp;"-"&amp;'Trial Balance'!B141</f>
        <v>2220-Miscellaneous Current and Accrued Liabilities</v>
      </c>
      <c r="B159" s="345">
        <f>-'Trial Balance'!H141</f>
        <v>1153482.63</v>
      </c>
    </row>
    <row r="160" spans="1:2" ht="15" customHeight="1">
      <c r="A160" s="25" t="str">
        <f>'Trial Balance'!A142&amp;"-"&amp;'Trial Balance'!B142</f>
        <v>2225-Notes and Loans Payable</v>
      </c>
      <c r="B160" s="345">
        <f>-'Trial Balance'!H142</f>
        <v>70939.84</v>
      </c>
    </row>
    <row r="161" spans="1:2" ht="15" customHeight="1">
      <c r="A161" s="25" t="str">
        <f>'Trial Balance'!A143&amp;"-"&amp;'Trial Balance'!B143</f>
        <v>2240-Accounts Payable to Associated Companies</v>
      </c>
      <c r="B161" s="345">
        <f>-'Trial Balance'!H143</f>
        <v>605116.23</v>
      </c>
    </row>
    <row r="162" spans="1:2" ht="15" customHeight="1">
      <c r="A162" s="25" t="str">
        <f>'Trial Balance'!A144&amp;"-"&amp;'Trial Balance'!B144</f>
        <v>2242-Notes Payable to Associated Companies</v>
      </c>
      <c r="B162" s="345">
        <f>-'Trial Balance'!H144</f>
        <v>1163352.49</v>
      </c>
    </row>
    <row r="163" spans="1:2" ht="15" customHeight="1">
      <c r="A163" s="25" t="str">
        <f>'Trial Balance'!A145&amp;"-"&amp;'Trial Balance'!B145</f>
        <v>2250-Debt Retirement  Charges (DRC) Payable</v>
      </c>
      <c r="B163" s="345">
        <f>-'Trial Balance'!H145</f>
        <v>-1257.61</v>
      </c>
    </row>
    <row r="164" spans="1:2" ht="15" customHeight="1">
      <c r="A164" s="25" t="str">
        <f>'Trial Balance'!A146&amp;"-"&amp;'Trial Balance'!B146</f>
        <v>2252-Transmission Charges Payable</v>
      </c>
      <c r="B164" s="345">
        <f>-'Trial Balance'!H146</f>
        <v>0</v>
      </c>
    </row>
    <row r="165" spans="1:2" ht="15" customHeight="1">
      <c r="A165" s="25" t="str">
        <f>'Trial Balance'!A147&amp;"-"&amp;'Trial Balance'!B147</f>
        <v>2254-Electric Safety Authority Fees Payable</v>
      </c>
      <c r="B165" s="345">
        <f>-'Trial Balance'!H147</f>
        <v>0</v>
      </c>
    </row>
    <row r="166" spans="1:2" ht="15" customHeight="1">
      <c r="A166" s="25" t="str">
        <f>'Trial Balance'!A148&amp;"-"&amp;'Trial Balance'!B148</f>
        <v>2256-Independent Market Operator Fees and Penalties Payable</v>
      </c>
      <c r="B166" s="345">
        <f>-'Trial Balance'!H148</f>
        <v>0</v>
      </c>
    </row>
    <row r="167" spans="1:2" ht="15" customHeight="1">
      <c r="A167" s="25" t="str">
        <f>'Trial Balance'!A149&amp;"-"&amp;'Trial Balance'!B149</f>
        <v>2260-Current Portion of Long Term Debt</v>
      </c>
      <c r="B167" s="345">
        <f>-'Trial Balance'!H149</f>
        <v>0</v>
      </c>
    </row>
    <row r="168" spans="1:2" ht="15" customHeight="1">
      <c r="A168" s="25" t="str">
        <f>'Trial Balance'!A150&amp;"-"&amp;'Trial Balance'!B150</f>
        <v>2262-Ontario Hydro Debt - Current Portion</v>
      </c>
      <c r="B168" s="345">
        <f>-'Trial Balance'!H150</f>
        <v>0</v>
      </c>
    </row>
    <row r="169" spans="1:2" ht="15" customHeight="1">
      <c r="A169" s="25" t="str">
        <f>'Trial Balance'!A151&amp;"-"&amp;'Trial Balance'!B151</f>
        <v>2264-Pensions and Employee Benefits - Current Portion</v>
      </c>
      <c r="B169" s="345">
        <f>-'Trial Balance'!H151</f>
        <v>0</v>
      </c>
    </row>
    <row r="170" spans="1:2" ht="15" customHeight="1">
      <c r="A170" s="25" t="str">
        <f>'Trial Balance'!A152&amp;"-"&amp;'Trial Balance'!B152</f>
        <v>2268-Accrued Interest on Long Term Debt</v>
      </c>
      <c r="B170" s="345">
        <f>-'Trial Balance'!H152</f>
        <v>0</v>
      </c>
    </row>
    <row r="171" spans="1:2" ht="15" customHeight="1">
      <c r="A171" s="25" t="str">
        <f>'Trial Balance'!A153&amp;"-"&amp;'Trial Balance'!B153</f>
        <v>2270-Matured Long Term Debt</v>
      </c>
      <c r="B171" s="345">
        <f>-'Trial Balance'!H153</f>
        <v>0</v>
      </c>
    </row>
    <row r="172" spans="1:2" ht="15" customHeight="1">
      <c r="A172" s="25" t="str">
        <f>'Trial Balance'!A154&amp;"-"&amp;'Trial Balance'!B154</f>
        <v>2272-Matured Interest on Long Term Debt</v>
      </c>
      <c r="B172" s="345">
        <f>-'Trial Balance'!H154</f>
        <v>0</v>
      </c>
    </row>
    <row r="173" spans="1:2" ht="15" customHeight="1">
      <c r="A173" s="25" t="str">
        <f>'Trial Balance'!A155&amp;"-"&amp;'Trial Balance'!B155</f>
        <v>2285-Obligations Under Capital Leases--Current</v>
      </c>
      <c r="B173" s="345">
        <f>-'Trial Balance'!H155</f>
        <v>0</v>
      </c>
    </row>
    <row r="174" spans="1:2" ht="15" customHeight="1">
      <c r="A174" s="25" t="str">
        <f>'Trial Balance'!A156&amp;"-"&amp;'Trial Balance'!B156</f>
        <v>2290-Commodity Taxes</v>
      </c>
      <c r="B174" s="345">
        <f>-'Trial Balance'!H156</f>
        <v>65085.83</v>
      </c>
    </row>
    <row r="175" spans="1:2" ht="15" customHeight="1">
      <c r="A175" s="25" t="str">
        <f>'Trial Balance'!A157&amp;"-"&amp;'Trial Balance'!B157</f>
        <v>2292-Payroll Deductions / Expenses Payable</v>
      </c>
      <c r="B175" s="345">
        <f>-'Trial Balance'!H157</f>
        <v>0</v>
      </c>
    </row>
    <row r="176" spans="1:2" ht="15" customHeight="1">
      <c r="A176" s="25" t="str">
        <f>'Trial Balance'!A158&amp;"-"&amp;'Trial Balance'!B158</f>
        <v>2294-Accrual for Taxes, "Payments in Lieu" of Taxes, Etc.</v>
      </c>
      <c r="B176" s="345">
        <f>-'Trial Balance'!H158</f>
        <v>-19932</v>
      </c>
    </row>
    <row r="177" spans="1:2" ht="15" customHeight="1" thickBot="1">
      <c r="A177" s="25" t="str">
        <f>'Trial Balance'!A159&amp;"-"&amp;'Trial Balance'!B159</f>
        <v>2296-Future Income Taxes - Current</v>
      </c>
      <c r="B177" s="345">
        <f>-'Trial Balance'!H159</f>
        <v>0</v>
      </c>
    </row>
    <row r="178" spans="1:2" ht="15" customHeight="1" thickBot="1">
      <c r="A178" s="28" t="s">
        <v>506</v>
      </c>
      <c r="B178" s="346">
        <f>SUM(B155:B177)</f>
        <v>3232663.62</v>
      </c>
    </row>
    <row r="179" spans="1:2" s="18" customFormat="1" ht="15" customHeight="1">
      <c r="A179" s="21"/>
      <c r="B179" s="347"/>
    </row>
    <row r="180" spans="1:2" s="18" customFormat="1" ht="15" customHeight="1">
      <c r="A180" s="534" t="s">
        <v>507</v>
      </c>
      <c r="B180" s="534"/>
    </row>
    <row r="181" spans="1:2" ht="15" customHeight="1">
      <c r="A181" s="25" t="str">
        <f>'Trial Balance'!A161&amp;"-"&amp;'Trial Balance'!B161</f>
        <v>2305-Accumulated Provision for Injuries and Damages</v>
      </c>
      <c r="B181" s="345">
        <f>-'Trial Balance'!H161</f>
        <v>0</v>
      </c>
    </row>
    <row r="182" spans="1:2" ht="15" customHeight="1">
      <c r="A182" s="25" t="str">
        <f>'Trial Balance'!A162&amp;"-"&amp;'Trial Balance'!B162</f>
        <v>2306-Employee Future Benefits</v>
      </c>
      <c r="B182" s="345">
        <f>-'Trial Balance'!H162</f>
        <v>0</v>
      </c>
    </row>
    <row r="183" spans="1:2" ht="15" customHeight="1">
      <c r="A183" s="25" t="str">
        <f>'Trial Balance'!A163&amp;"-"&amp;'Trial Balance'!B163</f>
        <v>2308-Other Pensions - Past Service Liability</v>
      </c>
      <c r="B183" s="345">
        <f>-'Trial Balance'!H163</f>
        <v>0</v>
      </c>
    </row>
    <row r="184" spans="1:2" ht="15" customHeight="1">
      <c r="A184" s="25" t="str">
        <f>'Trial Balance'!A164&amp;"-"&amp;'Trial Balance'!B164</f>
        <v>2310-Vested Sick Leave Liability</v>
      </c>
      <c r="B184" s="345">
        <f>-'Trial Balance'!H164</f>
        <v>0</v>
      </c>
    </row>
    <row r="185" spans="1:2" ht="15" customHeight="1">
      <c r="A185" s="25" t="str">
        <f>'Trial Balance'!A165&amp;"-"&amp;'Trial Balance'!B165</f>
        <v>2315-Accumulated Provision for Rate Refunds</v>
      </c>
      <c r="B185" s="345">
        <f>-'Trial Balance'!H165</f>
        <v>0</v>
      </c>
    </row>
    <row r="186" spans="1:2" ht="15" customHeight="1">
      <c r="A186" s="25" t="str">
        <f>'Trial Balance'!A166&amp;"-"&amp;'Trial Balance'!B166</f>
        <v>2320-Other Miscellaneous Non-Current Liabilities</v>
      </c>
      <c r="B186" s="345">
        <f>-'Trial Balance'!H166</f>
        <v>0</v>
      </c>
    </row>
    <row r="187" spans="1:2" ht="15" customHeight="1">
      <c r="A187" s="25" t="str">
        <f>'Trial Balance'!A167&amp;"-"&amp;'Trial Balance'!B167</f>
        <v>2325-Obligations Under Capital Lease--Non-Current</v>
      </c>
      <c r="B187" s="345">
        <f>-'Trial Balance'!H167</f>
        <v>0</v>
      </c>
    </row>
    <row r="188" spans="1:2" ht="15" customHeight="1">
      <c r="A188" s="25" t="str">
        <f>'Trial Balance'!A168&amp;"-"&amp;'Trial Balance'!B168</f>
        <v>2330-Devolpment Charge Fund</v>
      </c>
      <c r="B188" s="345">
        <f>-'Trial Balance'!H168</f>
        <v>0</v>
      </c>
    </row>
    <row r="189" spans="1:2" ht="15" customHeight="1">
      <c r="A189" s="25" t="str">
        <f>'Trial Balance'!A169&amp;"-"&amp;'Trial Balance'!B169</f>
        <v>2335-Long Term Customer Deposits</v>
      </c>
      <c r="B189" s="345">
        <f>-'Trial Balance'!H169</f>
        <v>44833.28</v>
      </c>
    </row>
    <row r="190" spans="1:2" ht="15" customHeight="1">
      <c r="A190" s="25" t="str">
        <f>'Trial Balance'!A170&amp;"-"&amp;'Trial Balance'!B170</f>
        <v>2340-Collateral Funds Liability</v>
      </c>
      <c r="B190" s="345">
        <f>-'Trial Balance'!H170</f>
        <v>0</v>
      </c>
    </row>
    <row r="191" spans="1:2" ht="15" customHeight="1">
      <c r="A191" s="25" t="str">
        <f>'Trial Balance'!A171&amp;"-"&amp;'Trial Balance'!B171</f>
        <v>2345-Unamortized Premium on Long Term Debt</v>
      </c>
      <c r="B191" s="345">
        <f>-'Trial Balance'!H171</f>
        <v>0</v>
      </c>
    </row>
    <row r="192" spans="1:2" ht="15" customHeight="1">
      <c r="A192" s="25" t="str">
        <f>'Trial Balance'!A172&amp;"-"&amp;'Trial Balance'!B172</f>
        <v>2348-O.M.E.R.S. - Past Service Liability - Long Term Portion</v>
      </c>
      <c r="B192" s="345">
        <f>-'Trial Balance'!H172</f>
        <v>0</v>
      </c>
    </row>
    <row r="193" spans="1:2" ht="15" customHeight="1">
      <c r="A193" s="25" t="str">
        <f>'Trial Balance'!A173&amp;"-"&amp;'Trial Balance'!B173</f>
        <v>2350-Future Income Tax - Non-Current</v>
      </c>
      <c r="B193" s="345">
        <f>-'Trial Balance'!H173</f>
        <v>0</v>
      </c>
    </row>
    <row r="194" spans="1:2" ht="15" customHeight="1">
      <c r="A194" s="25" t="str">
        <f>'Trial Balance'!A175&amp;"-"&amp;'Trial Balance'!B175</f>
        <v>2405-Other Regulatory Liabilities</v>
      </c>
      <c r="B194" s="345">
        <f>-'Trial Balance'!H175</f>
        <v>0</v>
      </c>
    </row>
    <row r="195" spans="1:2" ht="15" customHeight="1">
      <c r="A195" s="25" t="str">
        <f>'Trial Balance'!A176&amp;"-"&amp;'Trial Balance'!B176</f>
        <v>2410-Deferred Gains From Disposition of Utility Plant</v>
      </c>
      <c r="B195" s="345">
        <f>-'Trial Balance'!H176</f>
        <v>0</v>
      </c>
    </row>
    <row r="196" spans="1:2" ht="15" customHeight="1">
      <c r="A196" s="25" t="str">
        <f>'Trial Balance'!A177&amp;"-"&amp;'Trial Balance'!B177</f>
        <v>2415-Unamortized Gain on Reacquired Debt</v>
      </c>
      <c r="B196" s="345">
        <f>-'Trial Balance'!H177</f>
        <v>0</v>
      </c>
    </row>
    <row r="197" spans="1:2" ht="15" customHeight="1">
      <c r="A197" s="25" t="str">
        <f>'Trial Balance'!A178&amp;"-"&amp;'Trial Balance'!B178</f>
        <v>2425-Other Deferred Credits</v>
      </c>
      <c r="B197" s="345">
        <f>-'Trial Balance'!H178</f>
        <v>30000</v>
      </c>
    </row>
    <row r="198" spans="1:2" ht="15" customHeight="1" thickBot="1">
      <c r="A198" s="25" t="str">
        <f>'Trial Balance'!A179&amp;"-"&amp;'Trial Balance'!B179</f>
        <v>2435-Accrued Rate-Payer Benefit</v>
      </c>
      <c r="B198" s="345">
        <f>-'Trial Balance'!H179</f>
        <v>0</v>
      </c>
    </row>
    <row r="199" spans="1:2" ht="15" customHeight="1" thickBot="1">
      <c r="A199" s="28" t="s">
        <v>153</v>
      </c>
      <c r="B199" s="346">
        <f>SUM(B181:B198)</f>
        <v>74833.28</v>
      </c>
    </row>
    <row r="200" spans="1:2" s="18" customFormat="1" ht="15" customHeight="1">
      <c r="A200" s="21"/>
      <c r="B200" s="347"/>
    </row>
    <row r="201" spans="1:2" s="18" customFormat="1" ht="15" customHeight="1">
      <c r="A201" s="534" t="s">
        <v>154</v>
      </c>
      <c r="B201" s="534"/>
    </row>
    <row r="202" spans="1:2" s="18" customFormat="1" ht="15" customHeight="1">
      <c r="A202" s="25" t="str">
        <f>'Trial Balance'!A181&amp;"-"&amp;'Trial Balance'!B181</f>
        <v>2505-Debentures Outstanding - Long Term Portion</v>
      </c>
      <c r="B202" s="345">
        <f>-'Trial Balance'!H181</f>
        <v>0</v>
      </c>
    </row>
    <row r="203" spans="1:2" s="18" customFormat="1" ht="15" customHeight="1">
      <c r="A203" s="25" t="str">
        <f>'Trial Balance'!A182&amp;"-"&amp;'Trial Balance'!B182</f>
        <v>2510-Debenture Advances</v>
      </c>
      <c r="B203" s="345">
        <f>-'Trial Balance'!H182</f>
        <v>0</v>
      </c>
    </row>
    <row r="204" spans="1:2" s="18" customFormat="1" ht="15" customHeight="1">
      <c r="A204" s="25" t="str">
        <f>'Trial Balance'!A183&amp;"-"&amp;'Trial Balance'!B183</f>
        <v>2515-Required Bonds</v>
      </c>
      <c r="B204" s="345">
        <f>-'Trial Balance'!H183</f>
        <v>0</v>
      </c>
    </row>
    <row r="205" spans="1:2" s="18" customFormat="1" ht="15" customHeight="1">
      <c r="A205" s="25" t="str">
        <f>'Trial Balance'!A184&amp;"-"&amp;'Trial Balance'!B184</f>
        <v>2520-Other Long Term Debt</v>
      </c>
      <c r="B205" s="345">
        <f>-'Trial Balance'!H184</f>
        <v>214375.04</v>
      </c>
    </row>
    <row r="206" spans="1:2" s="18" customFormat="1" ht="15" customHeight="1">
      <c r="A206" s="25" t="str">
        <f>'Trial Balance'!A185&amp;"-"&amp;'Trial Balance'!B185</f>
        <v>2525-Term Bank Loans - Long Term Portion</v>
      </c>
      <c r="B206" s="345">
        <f>-'Trial Balance'!H185</f>
        <v>791732.59</v>
      </c>
    </row>
    <row r="207" spans="1:2" s="18" customFormat="1" ht="15" customHeight="1">
      <c r="A207" s="25" t="str">
        <f>'Trial Balance'!A186&amp;"-"&amp;'Trial Balance'!B186</f>
        <v>2530-Ontario Hydro Debt Outstanding - Long Term Portion</v>
      </c>
      <c r="B207" s="345">
        <f>-'Trial Balance'!H186</f>
        <v>0</v>
      </c>
    </row>
    <row r="208" spans="1:2" ht="15" customHeight="1" thickBot="1">
      <c r="A208" s="25" t="str">
        <f>'Trial Balance'!A187&amp;"-"&amp;'Trial Balance'!B187</f>
        <v>2550-Advances from Associated Companies</v>
      </c>
      <c r="B208" s="345">
        <f>-'Trial Balance'!H187</f>
        <v>0</v>
      </c>
    </row>
    <row r="209" spans="1:2" ht="15" customHeight="1" thickBot="1">
      <c r="A209" s="28" t="s">
        <v>155</v>
      </c>
      <c r="B209" s="346">
        <f>SUM(B202:B208)</f>
        <v>1006107.63</v>
      </c>
    </row>
    <row r="210" spans="1:2" s="18" customFormat="1" ht="15" customHeight="1">
      <c r="A210" s="21"/>
      <c r="B210" s="347"/>
    </row>
    <row r="211" spans="1:2" s="18" customFormat="1" ht="15" customHeight="1">
      <c r="A211" s="534" t="s">
        <v>156</v>
      </c>
      <c r="B211" s="534"/>
    </row>
    <row r="212" spans="1:2" ht="15" customHeight="1">
      <c r="A212" s="25" t="str">
        <f>'Trial Balance'!A189&amp;"-"&amp;'Trial Balance'!B189</f>
        <v>3005-Common Shares Issued</v>
      </c>
      <c r="B212" s="345">
        <f>-'Trial Balance'!H189</f>
        <v>2511123.49</v>
      </c>
    </row>
    <row r="213" spans="1:2" ht="15" customHeight="1">
      <c r="A213" s="25" t="str">
        <f>'Trial Balance'!A190&amp;"-"&amp;'Trial Balance'!B190</f>
        <v>3008-Preference Shares Issued</v>
      </c>
      <c r="B213" s="345">
        <f>-'Trial Balance'!H190</f>
        <v>0</v>
      </c>
    </row>
    <row r="214" spans="1:2" ht="15" customHeight="1">
      <c r="A214" s="25" t="str">
        <f>'Trial Balance'!A191&amp;"-"&amp;'Trial Balance'!B191</f>
        <v>3010-Contributed Surplus</v>
      </c>
      <c r="B214" s="345">
        <f>-'Trial Balance'!H191</f>
        <v>0</v>
      </c>
    </row>
    <row r="215" spans="1:2" ht="15" customHeight="1">
      <c r="A215" s="25" t="str">
        <f>'Trial Balance'!A192&amp;"-"&amp;'Trial Balance'!B192</f>
        <v>3020-Donations Received</v>
      </c>
      <c r="B215" s="345">
        <f>-'Trial Balance'!H192</f>
        <v>0</v>
      </c>
    </row>
    <row r="216" spans="1:2" ht="15" customHeight="1">
      <c r="A216" s="25" t="str">
        <f>'Trial Balance'!A193&amp;"-"&amp;'Trial Balance'!B193</f>
        <v>3022-Devolpment Charges Transferred to Equity</v>
      </c>
      <c r="B216" s="345">
        <f>-'Trial Balance'!H193</f>
        <v>0</v>
      </c>
    </row>
    <row r="217" spans="1:2" ht="15" customHeight="1">
      <c r="A217" s="25" t="str">
        <f>'Trial Balance'!A194&amp;"-"&amp;'Trial Balance'!B194</f>
        <v>3026-Capital Stock Held in Treasury</v>
      </c>
      <c r="B217" s="345">
        <f>-'Trial Balance'!H194</f>
        <v>0</v>
      </c>
    </row>
    <row r="218" spans="1:2" ht="15" customHeight="1">
      <c r="A218" s="25" t="str">
        <f>'Trial Balance'!A195&amp;"-"&amp;'Trial Balance'!B195</f>
        <v>3030-Miscellaneous Paid-In Capital</v>
      </c>
      <c r="B218" s="345">
        <f>-'Trial Balance'!H195</f>
        <v>0</v>
      </c>
    </row>
    <row r="219" spans="1:2" ht="15" customHeight="1">
      <c r="A219" s="25" t="str">
        <f>'Trial Balance'!A196&amp;"-"&amp;'Trial Balance'!B196</f>
        <v>3035-Installments Received on Capital Stock</v>
      </c>
      <c r="B219" s="345">
        <f>-'Trial Balance'!H196</f>
        <v>0</v>
      </c>
    </row>
    <row r="220" spans="1:2" ht="15" customHeight="1">
      <c r="A220" s="25" t="str">
        <f>'Trial Balance'!A197&amp;"-"&amp;'Trial Balance'!B197</f>
        <v>3040-Appropriated Retained Earnings</v>
      </c>
      <c r="B220" s="345">
        <f>-'Trial Balance'!H197</f>
        <v>0</v>
      </c>
    </row>
    <row r="221" spans="1:2" ht="15" customHeight="1">
      <c r="A221" s="25" t="str">
        <f>'Trial Balance'!A198&amp;"-"&amp;'Trial Balance'!B198</f>
        <v>3045-Unappropriated Retained Earnings</v>
      </c>
      <c r="B221" s="345">
        <f>-'Trial Balance'!H199</f>
        <v>968588.35</v>
      </c>
    </row>
    <row r="222" spans="1:2" ht="15" customHeight="1">
      <c r="A222" s="25" t="s">
        <v>528</v>
      </c>
      <c r="B222" s="350">
        <f>-'2010 Income Statement'!B216</f>
        <v>82893.75566666752</v>
      </c>
    </row>
    <row r="223" spans="1:2" ht="15" customHeight="1">
      <c r="A223" s="25" t="str">
        <f>'Trial Balance'!A200&amp;"-"&amp;'Trial Balance'!B200</f>
        <v>3047-Appropriations of Retained Earnings - Current Period</v>
      </c>
      <c r="B223" s="345">
        <f>-'Trial Balance'!H200</f>
        <v>0</v>
      </c>
    </row>
    <row r="224" spans="1:2" ht="15" customHeight="1">
      <c r="A224" s="25" t="str">
        <f>'Trial Balance'!A201&amp;"-"&amp;'Trial Balance'!B201</f>
        <v>3048-Dividends Payable-Preference Shares</v>
      </c>
      <c r="B224" s="345">
        <f>-'Trial Balance'!H201</f>
        <v>0</v>
      </c>
    </row>
    <row r="225" spans="1:2" ht="15" customHeight="1">
      <c r="A225" s="25" t="str">
        <f>'Trial Balance'!A202&amp;"-"&amp;'Trial Balance'!B202</f>
        <v>3049-Dividends Payable-Common Shares</v>
      </c>
      <c r="B225" s="345">
        <f>-'Trial Balance'!H202</f>
        <v>-130000</v>
      </c>
    </row>
    <row r="226" spans="1:2" ht="15" customHeight="1">
      <c r="A226" s="25" t="str">
        <f>'Trial Balance'!A203&amp;"-"&amp;'Trial Balance'!B203</f>
        <v>3055-Adjustment to Retained Earnings                 </v>
      </c>
      <c r="B226" s="345">
        <f>-'Trial Balance'!H203</f>
        <v>0</v>
      </c>
    </row>
    <row r="227" spans="1:2" ht="15" customHeight="1" thickBot="1">
      <c r="A227" s="25" t="str">
        <f>'Trial Balance'!A204&amp;"-"&amp;'Trial Balance'!B204</f>
        <v>3065-Unappropriated Undistributed Subsidiary Earnings</v>
      </c>
      <c r="B227" s="345">
        <f>-'Trial Balance'!H204</f>
        <v>0</v>
      </c>
    </row>
    <row r="228" spans="1:2" ht="15" customHeight="1" thickBot="1">
      <c r="A228" s="26" t="s">
        <v>529</v>
      </c>
      <c r="B228" s="346">
        <f>SUM(B212:B227)</f>
        <v>3432605.595666668</v>
      </c>
    </row>
    <row r="229" spans="1:2" s="10" customFormat="1" ht="15" customHeight="1">
      <c r="A229" s="22"/>
      <c r="B229" s="347"/>
    </row>
    <row r="230" spans="1:2" s="10" customFormat="1" ht="15" customHeight="1">
      <c r="A230" s="204" t="s">
        <v>256</v>
      </c>
      <c r="B230" s="351">
        <f>B178+B199+B209+B228</f>
        <v>7746210.125666669</v>
      </c>
    </row>
    <row r="231" spans="1:2" s="10" customFormat="1" ht="15" customHeight="1" thickBot="1">
      <c r="A231" s="22"/>
      <c r="B231" s="347"/>
    </row>
    <row r="232" spans="1:2" ht="15" customHeight="1" thickBot="1">
      <c r="A232" s="29" t="s">
        <v>255</v>
      </c>
      <c r="B232" s="352">
        <f>B152-B230</f>
        <v>-0.04000000189989805</v>
      </c>
    </row>
    <row r="233" spans="1:2" ht="15">
      <c r="A233" s="23"/>
      <c r="B233" s="353"/>
    </row>
    <row r="234" spans="1:2" ht="15">
      <c r="A234" s="23" t="s">
        <v>883</v>
      </c>
      <c r="B234" s="436">
        <f>-'FA Continuity 2010'!E17</f>
        <v>-1142778.7899999998</v>
      </c>
    </row>
    <row r="235" spans="1:2" ht="15">
      <c r="A235" s="23" t="s">
        <v>884</v>
      </c>
      <c r="B235" s="353">
        <f>SUM(B232:B234)</f>
        <v>-1142778.8300000017</v>
      </c>
    </row>
    <row r="236" spans="1:2" ht="15">
      <c r="A236" s="23"/>
      <c r="B236" s="353"/>
    </row>
    <row r="237" spans="1:2" ht="15">
      <c r="A237" s="23"/>
      <c r="B237" s="353"/>
    </row>
    <row r="238" spans="1:2" ht="15">
      <c r="A238" s="23"/>
      <c r="B238" s="353"/>
    </row>
    <row r="239" spans="1:2" ht="15">
      <c r="A239" s="23"/>
      <c r="B239" s="353"/>
    </row>
    <row r="240" spans="1:2" ht="15">
      <c r="A240" s="23"/>
      <c r="B240" s="353"/>
    </row>
    <row r="241" spans="1:2" ht="15">
      <c r="A241" s="23"/>
      <c r="B241" s="353"/>
    </row>
    <row r="242" spans="1:2" ht="15">
      <c r="A242" s="23"/>
      <c r="B242" s="353"/>
    </row>
    <row r="243" spans="1:2" ht="15">
      <c r="A243" s="23"/>
      <c r="B243" s="353"/>
    </row>
    <row r="244" spans="1:2" ht="15">
      <c r="A244" s="23"/>
      <c r="B244" s="353"/>
    </row>
    <row r="245" spans="1:2" ht="15">
      <c r="A245" s="23"/>
      <c r="B245" s="353"/>
    </row>
    <row r="246" spans="1:2" ht="15">
      <c r="A246" s="23"/>
      <c r="B246" s="353"/>
    </row>
    <row r="247" spans="1:2" ht="15">
      <c r="A247" s="23"/>
      <c r="B247" s="353"/>
    </row>
    <row r="248" spans="1:2" ht="15">
      <c r="A248" s="23"/>
      <c r="B248" s="353"/>
    </row>
    <row r="249" spans="1:2" ht="15">
      <c r="A249" s="23"/>
      <c r="B249" s="353"/>
    </row>
    <row r="250" spans="1:2" ht="15">
      <c r="A250" s="23"/>
      <c r="B250" s="353"/>
    </row>
    <row r="251" spans="1:2" ht="15">
      <c r="A251" s="23"/>
      <c r="B251" s="353"/>
    </row>
    <row r="252" spans="1:2" ht="15">
      <c r="A252" s="23"/>
      <c r="B252" s="353"/>
    </row>
    <row r="253" spans="1:2" ht="15">
      <c r="A253" s="23"/>
      <c r="B253" s="353"/>
    </row>
    <row r="254" spans="1:2" ht="15">
      <c r="A254" s="23"/>
      <c r="B254" s="353"/>
    </row>
    <row r="255" spans="1:2" ht="15">
      <c r="A255" s="23"/>
      <c r="B255" s="353"/>
    </row>
    <row r="256" spans="1:2" ht="15">
      <c r="A256" s="23"/>
      <c r="B256" s="353"/>
    </row>
    <row r="257" spans="1:2" ht="15">
      <c r="A257" s="23"/>
      <c r="B257" s="353"/>
    </row>
    <row r="258" spans="1:2" ht="15">
      <c r="A258" s="23"/>
      <c r="B258" s="353"/>
    </row>
    <row r="259" spans="1:2" ht="15">
      <c r="A259" s="23"/>
      <c r="B259" s="353"/>
    </row>
    <row r="260" spans="1:2" ht="15">
      <c r="A260" s="23"/>
      <c r="B260" s="353"/>
    </row>
    <row r="261" spans="1:2" ht="15">
      <c r="A261" s="23"/>
      <c r="B261" s="353"/>
    </row>
    <row r="262" spans="1:2" ht="15">
      <c r="A262" s="23"/>
      <c r="B262" s="353"/>
    </row>
    <row r="263" spans="1:2" ht="15">
      <c r="A263" s="23"/>
      <c r="B263" s="353"/>
    </row>
    <row r="264" spans="1:2" ht="15">
      <c r="A264" s="23"/>
      <c r="B264" s="353"/>
    </row>
    <row r="265" spans="1:2" ht="15">
      <c r="A265" s="23"/>
      <c r="B265" s="353"/>
    </row>
    <row r="266" spans="1:2" ht="15">
      <c r="A266" s="23"/>
      <c r="B266" s="353"/>
    </row>
    <row r="267" spans="1:2" ht="15">
      <c r="A267" s="23"/>
      <c r="B267" s="353"/>
    </row>
    <row r="268" spans="1:2" ht="15">
      <c r="A268" s="23"/>
      <c r="B268" s="353"/>
    </row>
    <row r="269" spans="1:2" ht="15">
      <c r="A269" s="23"/>
      <c r="B269" s="353"/>
    </row>
    <row r="270" spans="1:2" ht="15">
      <c r="A270" s="23"/>
      <c r="B270" s="353"/>
    </row>
    <row r="271" spans="1:2" ht="15">
      <c r="A271" s="23"/>
      <c r="B271" s="353"/>
    </row>
    <row r="272" spans="1:2" ht="15">
      <c r="A272" s="23"/>
      <c r="B272" s="353"/>
    </row>
    <row r="273" spans="1:2" ht="15">
      <c r="A273" s="23"/>
      <c r="B273" s="353"/>
    </row>
    <row r="274" spans="1:2" ht="15">
      <c r="A274" s="23"/>
      <c r="B274" s="353"/>
    </row>
    <row r="275" spans="1:2" ht="15">
      <c r="A275" s="23"/>
      <c r="B275" s="353"/>
    </row>
    <row r="276" spans="1:2" ht="15">
      <c r="A276" s="23"/>
      <c r="B276" s="353"/>
    </row>
    <row r="277" spans="1:2" ht="15">
      <c r="A277" s="23"/>
      <c r="B277" s="353"/>
    </row>
    <row r="278" spans="1:2" ht="15">
      <c r="A278" s="23"/>
      <c r="B278" s="353"/>
    </row>
    <row r="279" spans="1:2" ht="15">
      <c r="A279" s="23"/>
      <c r="B279" s="353"/>
    </row>
    <row r="280" spans="1:2" ht="15">
      <c r="A280" s="23"/>
      <c r="B280" s="353"/>
    </row>
    <row r="281" spans="1:2" ht="15">
      <c r="A281" s="23"/>
      <c r="B281" s="353"/>
    </row>
    <row r="282" spans="1:2" ht="15">
      <c r="A282" s="23"/>
      <c r="B282" s="353"/>
    </row>
    <row r="283" spans="1:2" ht="15">
      <c r="A283" s="23"/>
      <c r="B283" s="353"/>
    </row>
    <row r="284" spans="1:2" ht="15">
      <c r="A284" s="23"/>
      <c r="B284" s="353"/>
    </row>
    <row r="285" spans="1:2" ht="15">
      <c r="A285" s="23"/>
      <c r="B285" s="353"/>
    </row>
    <row r="286" spans="1:2" ht="15">
      <c r="A286" s="23"/>
      <c r="B286" s="353"/>
    </row>
    <row r="287" spans="1:2" ht="15">
      <c r="A287" s="23"/>
      <c r="B287" s="353"/>
    </row>
    <row r="288" spans="1:2" ht="15">
      <c r="A288" s="23"/>
      <c r="B288" s="353"/>
    </row>
    <row r="289" spans="1:2" ht="15">
      <c r="A289" s="23"/>
      <c r="B289" s="353"/>
    </row>
    <row r="290" spans="1:2" ht="15">
      <c r="A290" s="23"/>
      <c r="B290" s="353"/>
    </row>
    <row r="291" spans="1:2" ht="15">
      <c r="A291" s="23"/>
      <c r="B291" s="353"/>
    </row>
    <row r="292" spans="1:2" ht="15">
      <c r="A292" s="23"/>
      <c r="B292" s="353"/>
    </row>
    <row r="293" spans="1:2" ht="15">
      <c r="A293" s="23"/>
      <c r="B293" s="353"/>
    </row>
    <row r="294" spans="1:2" ht="15">
      <c r="A294" s="23"/>
      <c r="B294" s="353"/>
    </row>
    <row r="295" spans="1:2" ht="15">
      <c r="A295" s="23"/>
      <c r="B295" s="353"/>
    </row>
    <row r="296" spans="1:2" ht="15">
      <c r="A296" s="23"/>
      <c r="B296" s="353"/>
    </row>
    <row r="297" spans="1:2" ht="15">
      <c r="A297" s="23"/>
      <c r="B297" s="353"/>
    </row>
    <row r="298" spans="1:2" ht="15">
      <c r="A298" s="23"/>
      <c r="B298" s="353"/>
    </row>
    <row r="299" spans="1:2" ht="15">
      <c r="A299" s="23"/>
      <c r="B299" s="353"/>
    </row>
    <row r="300" spans="1:2" ht="15">
      <c r="A300" s="23"/>
      <c r="B300" s="353"/>
    </row>
    <row r="301" spans="1:2" ht="15">
      <c r="A301" s="23"/>
      <c r="B301" s="353"/>
    </row>
    <row r="302" spans="1:2" ht="15">
      <c r="A302" s="23"/>
      <c r="B302" s="353"/>
    </row>
    <row r="303" spans="1:2" ht="15">
      <c r="A303" s="23"/>
      <c r="B303" s="353"/>
    </row>
    <row r="304" spans="1:2" ht="15">
      <c r="A304" s="23"/>
      <c r="B304" s="353"/>
    </row>
    <row r="305" spans="1:2" ht="15">
      <c r="A305" s="23"/>
      <c r="B305" s="353"/>
    </row>
    <row r="306" spans="1:2" ht="15">
      <c r="A306" s="23"/>
      <c r="B306" s="353"/>
    </row>
    <row r="307" spans="1:2" ht="15">
      <c r="A307" s="23"/>
      <c r="B307" s="353"/>
    </row>
    <row r="308" spans="1:2" ht="15">
      <c r="A308" s="23"/>
      <c r="B308" s="353"/>
    </row>
    <row r="309" spans="1:2" ht="15">
      <c r="A309" s="23"/>
      <c r="B309" s="353"/>
    </row>
    <row r="310" spans="1:2" ht="15">
      <c r="A310" s="23"/>
      <c r="B310" s="353"/>
    </row>
    <row r="311" spans="1:2" ht="15">
      <c r="A311" s="23"/>
      <c r="B311" s="353"/>
    </row>
    <row r="312" spans="1:2" ht="15">
      <c r="A312" s="23"/>
      <c r="B312" s="353"/>
    </row>
    <row r="313" spans="1:2" ht="15">
      <c r="A313" s="23"/>
      <c r="B313" s="353"/>
    </row>
    <row r="314" spans="1:2" ht="15">
      <c r="A314" s="23"/>
      <c r="B314" s="353"/>
    </row>
    <row r="315" spans="1:2" ht="15">
      <c r="A315" s="23"/>
      <c r="B315" s="353"/>
    </row>
    <row r="316" spans="1:2" ht="15">
      <c r="A316" s="23"/>
      <c r="B316" s="353"/>
    </row>
    <row r="317" spans="1:2" ht="15">
      <c r="A317" s="23"/>
      <c r="B317" s="353"/>
    </row>
    <row r="318" spans="1:2" ht="15">
      <c r="A318" s="23"/>
      <c r="B318" s="353"/>
    </row>
    <row r="319" spans="1:2" ht="15">
      <c r="A319" s="23"/>
      <c r="B319" s="353"/>
    </row>
    <row r="320" spans="1:2" ht="15">
      <c r="A320" s="23"/>
      <c r="B320" s="353"/>
    </row>
    <row r="321" spans="1:2" ht="15">
      <c r="A321" s="23"/>
      <c r="B321" s="353"/>
    </row>
    <row r="322" spans="1:2" ht="15">
      <c r="A322" s="23"/>
      <c r="B322" s="353"/>
    </row>
    <row r="323" spans="1:2" ht="15">
      <c r="A323" s="23"/>
      <c r="B323" s="353"/>
    </row>
    <row r="324" spans="1:2" ht="15">
      <c r="A324" s="23"/>
      <c r="B324" s="353"/>
    </row>
    <row r="325" spans="1:2" ht="15">
      <c r="A325" s="23"/>
      <c r="B325" s="353"/>
    </row>
    <row r="326" spans="1:2" ht="15">
      <c r="A326" s="23"/>
      <c r="B326" s="353"/>
    </row>
    <row r="327" spans="1:2" ht="15">
      <c r="A327" s="23"/>
      <c r="B327" s="353"/>
    </row>
    <row r="328" spans="1:2" ht="15">
      <c r="A328" s="23"/>
      <c r="B328" s="353"/>
    </row>
    <row r="329" spans="1:2" ht="15">
      <c r="A329" s="23"/>
      <c r="B329" s="353"/>
    </row>
    <row r="330" spans="1:2" ht="15">
      <c r="A330" s="23"/>
      <c r="B330" s="353"/>
    </row>
    <row r="331" spans="1:2" ht="15">
      <c r="A331" s="23"/>
      <c r="B331" s="353"/>
    </row>
    <row r="332" spans="1:2" ht="15">
      <c r="A332" s="23"/>
      <c r="B332" s="353"/>
    </row>
    <row r="333" spans="1:2" ht="15">
      <c r="A333" s="23"/>
      <c r="B333" s="353"/>
    </row>
    <row r="334" spans="1:2" ht="15">
      <c r="A334" s="23"/>
      <c r="B334" s="353"/>
    </row>
    <row r="335" spans="1:2" ht="15">
      <c r="A335" s="23"/>
      <c r="B335" s="353"/>
    </row>
    <row r="336" spans="1:2" ht="15">
      <c r="A336" s="23"/>
      <c r="B336" s="353"/>
    </row>
    <row r="337" spans="1:2" ht="15">
      <c r="A337" s="23"/>
      <c r="B337" s="353"/>
    </row>
    <row r="338" spans="1:2" ht="15">
      <c r="A338" s="23"/>
      <c r="B338" s="353"/>
    </row>
    <row r="339" spans="1:2" ht="15">
      <c r="A339" s="23"/>
      <c r="B339" s="353"/>
    </row>
    <row r="340" spans="1:2" ht="15">
      <c r="A340" s="23"/>
      <c r="B340" s="353"/>
    </row>
    <row r="341" spans="1:2" ht="15">
      <c r="A341" s="23"/>
      <c r="B341" s="353"/>
    </row>
    <row r="342" spans="1:2" ht="15">
      <c r="A342" s="23"/>
      <c r="B342" s="353"/>
    </row>
    <row r="343" spans="1:2" ht="15">
      <c r="A343" s="23"/>
      <c r="B343" s="353"/>
    </row>
    <row r="344" spans="1:2" ht="15">
      <c r="A344" s="23"/>
      <c r="B344" s="353"/>
    </row>
    <row r="345" spans="1:2" ht="15">
      <c r="A345" s="23"/>
      <c r="B345" s="353"/>
    </row>
    <row r="346" spans="1:2" ht="15">
      <c r="A346" s="23"/>
      <c r="B346" s="353"/>
    </row>
    <row r="347" spans="1:2" ht="15">
      <c r="A347" s="23"/>
      <c r="B347" s="353"/>
    </row>
    <row r="348" spans="1:2" ht="15">
      <c r="A348" s="23"/>
      <c r="B348" s="353"/>
    </row>
    <row r="349" spans="1:2" ht="15">
      <c r="A349" s="23"/>
      <c r="B349" s="353"/>
    </row>
    <row r="350" spans="1:2" ht="15">
      <c r="A350" s="23"/>
      <c r="B350" s="353"/>
    </row>
    <row r="351" spans="1:2" ht="15">
      <c r="A351" s="23"/>
      <c r="B351" s="353"/>
    </row>
  </sheetData>
  <sheetProtection/>
  <mergeCells count="17">
    <mergeCell ref="A211:B211"/>
    <mergeCell ref="A144:B144"/>
    <mergeCell ref="A154:B154"/>
    <mergeCell ref="A180:B180"/>
    <mergeCell ref="A201:B201"/>
    <mergeCell ref="A54:B54"/>
    <mergeCell ref="A88:B88"/>
    <mergeCell ref="A107:B107"/>
    <mergeCell ref="A130:B130"/>
    <mergeCell ref="A30:B30"/>
    <mergeCell ref="A1:B1"/>
    <mergeCell ref="A2:B2"/>
    <mergeCell ref="A37:B37"/>
    <mergeCell ref="A3:B3"/>
    <mergeCell ref="A4:B4"/>
    <mergeCell ref="A6:B6"/>
    <mergeCell ref="A29:B29"/>
  </mergeCells>
  <printOptions/>
  <pageMargins left="0.7480314960629921" right="0.7480314960629921" top="0.984251968503937" bottom="0.984251968503937" header="0.5118110236220472" footer="0.5118110236220472"/>
  <pageSetup fitToHeight="4" fitToWidth="1" horizontalDpi="355" verticalDpi="355" orientation="portrait" scale="75" r:id="rId1"/>
  <headerFooter alignWithMargins="0">
    <oddFooter>&amp;L&amp;A</oddFooter>
  </headerFooter>
  <rowBreaks count="4" manualBreakCount="4">
    <brk id="53" max="255" man="1"/>
    <brk id="106" max="255" man="1"/>
    <brk id="153" max="255" man="1"/>
    <brk id="20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2"/>
  <sheetViews>
    <sheetView zoomScalePageLayoutView="0" workbookViewId="0" topLeftCell="A73">
      <selection activeCell="B75" sqref="B75"/>
    </sheetView>
  </sheetViews>
  <sheetFormatPr defaultColWidth="9.140625" defaultRowHeight="12.75"/>
  <cols>
    <col min="1" max="1" width="72.28125" style="0" customWidth="1"/>
    <col min="2" max="2" width="21.8515625" style="323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519" t="str">
        <f>'Trial Balance'!A1:F1</f>
        <v>Rideau St. Lawrence Distribution Inc.</v>
      </c>
      <c r="B1" s="519"/>
    </row>
    <row r="2" spans="1:2" ht="12.75">
      <c r="A2" s="519" t="str">
        <f>'Trial Balance'!A2:F2</f>
        <v> License Number ED-2003-0003, File Number EB-2011-0274</v>
      </c>
      <c r="B2" s="519"/>
    </row>
    <row r="3" spans="1:2" s="20" customFormat="1" ht="15.75">
      <c r="A3" s="537" t="str">
        <f>Notes!B4</f>
        <v>Rideau St. Lawrence Distribution Inc.</v>
      </c>
      <c r="B3" s="537"/>
    </row>
    <row r="4" spans="1:2" s="20" customFormat="1" ht="15.75">
      <c r="A4" s="543" t="s">
        <v>785</v>
      </c>
      <c r="B4" s="543"/>
    </row>
    <row r="5" spans="1:2" ht="15" customHeight="1">
      <c r="A5" s="63" t="s">
        <v>510</v>
      </c>
      <c r="B5" s="340" t="s">
        <v>150</v>
      </c>
    </row>
    <row r="6" spans="1:2" ht="15" customHeight="1">
      <c r="A6" s="542" t="s">
        <v>138</v>
      </c>
      <c r="B6" s="542"/>
    </row>
    <row r="7" spans="1:7" ht="15" customHeight="1">
      <c r="A7" s="25" t="str">
        <f>'Trial Balance'!A206&amp;"-"&amp;'Trial Balance'!B206</f>
        <v>4006-Residential Energy Sales</v>
      </c>
      <c r="B7" s="339">
        <f>'Trial Balance'!H206</f>
        <v>-2319909.2</v>
      </c>
      <c r="D7" s="11"/>
      <c r="E7" s="12"/>
      <c r="F7" s="13"/>
      <c r="G7" s="15"/>
    </row>
    <row r="8" spans="1:7" ht="15" customHeight="1">
      <c r="A8" s="25" t="str">
        <f>'Trial Balance'!A207&amp;"-"&amp;'Trial Balance'!B207</f>
        <v>4010-Commercial Energy Sales GS&lt;50 &amp; USL</v>
      </c>
      <c r="B8" s="339">
        <f>'Trial Balance'!H207</f>
        <v>-1311474.73</v>
      </c>
      <c r="D8" s="11"/>
      <c r="E8" s="12"/>
      <c r="F8" s="13"/>
      <c r="G8" s="15"/>
    </row>
    <row r="9" spans="1:7" ht="15" customHeight="1">
      <c r="A9" s="25" t="str">
        <f>'Trial Balance'!A208&amp;"-"&amp;'Trial Balance'!B208</f>
        <v>4015-Industrial Energy Sales/Intermediate</v>
      </c>
      <c r="B9" s="339">
        <f>'Trial Balance'!H208</f>
        <v>-2017511.8</v>
      </c>
      <c r="D9" s="11"/>
      <c r="E9" s="12"/>
      <c r="F9" s="13"/>
      <c r="G9" s="15"/>
    </row>
    <row r="10" spans="1:7" ht="15" customHeight="1">
      <c r="A10" s="25" t="str">
        <f>'Trial Balance'!A209&amp;"-"&amp;'Trial Balance'!B209</f>
        <v>4020-Energy Sales to Large Users</v>
      </c>
      <c r="B10" s="339">
        <f>'Trial Balance'!H209</f>
        <v>0</v>
      </c>
      <c r="D10" s="11"/>
      <c r="E10" s="12"/>
      <c r="F10" s="13"/>
      <c r="G10" s="15"/>
    </row>
    <row r="11" spans="1:7" ht="15" customHeight="1">
      <c r="A11" s="25" t="str">
        <f>'Trial Balance'!A210&amp;"-"&amp;'Trial Balance'!B210</f>
        <v>4025-Street Lighting Energy Sales</v>
      </c>
      <c r="B11" s="339">
        <f>'Trial Balance'!H210</f>
        <v>-92823.34</v>
      </c>
      <c r="D11" s="11"/>
      <c r="E11" s="12"/>
      <c r="F11" s="13"/>
      <c r="G11" s="15"/>
    </row>
    <row r="12" spans="1:7" ht="15" customHeight="1">
      <c r="A12" s="25" t="str">
        <f>'Trial Balance'!A211&amp;"-"&amp;'Trial Balance'!B211</f>
        <v>4030-Sentinel Energy Sales</v>
      </c>
      <c r="B12" s="339">
        <f>'Trial Balance'!H211</f>
        <v>-6525.13</v>
      </c>
      <c r="D12" s="11"/>
      <c r="E12" s="12"/>
      <c r="F12" s="13"/>
      <c r="G12" s="15"/>
    </row>
    <row r="13" spans="1:7" ht="15" customHeight="1">
      <c r="A13" s="25" t="str">
        <f>'Trial Balance'!A212&amp;"-"&amp;'Trial Balance'!B212</f>
        <v>4035-General Energy Sales GS&gt; 50- 2999</v>
      </c>
      <c r="B13" s="339">
        <f>'Trial Balance'!H212</f>
        <v>0</v>
      </c>
      <c r="D13" s="11"/>
      <c r="E13" s="12"/>
      <c r="F13" s="13"/>
      <c r="G13" s="15"/>
    </row>
    <row r="14" spans="1:7" ht="15" customHeight="1">
      <c r="A14" s="25" t="str">
        <f>'Trial Balance'!A213&amp;"-"&amp;'Trial Balance'!B213</f>
        <v>4040-Other Energy Sales to Public Authorities</v>
      </c>
      <c r="B14" s="339">
        <f>'Trial Balance'!H213</f>
        <v>0</v>
      </c>
      <c r="D14" s="11"/>
      <c r="E14" s="12"/>
      <c r="F14" s="13"/>
      <c r="G14" s="15"/>
    </row>
    <row r="15" spans="1:7" ht="15" customHeight="1">
      <c r="A15" s="25" t="str">
        <f>'Trial Balance'!A214&amp;"-"&amp;'Trial Balance'!B214</f>
        <v>4045-Energy Sales to Railroads and Railways</v>
      </c>
      <c r="B15" s="339">
        <f>'Trial Balance'!H214</f>
        <v>0</v>
      </c>
      <c r="D15" s="11"/>
      <c r="E15" s="12"/>
      <c r="F15" s="13"/>
      <c r="G15" s="15"/>
    </row>
    <row r="16" spans="1:7" ht="15" customHeight="1">
      <c r="A16" s="25" t="str">
        <f>'Trial Balance'!A215&amp;"-"&amp;'Trial Balance'!B215</f>
        <v>4050-Revenue Adjustment</v>
      </c>
      <c r="B16" s="339">
        <f>'Trial Balance'!H215</f>
        <v>0</v>
      </c>
      <c r="D16" s="11"/>
      <c r="E16" s="12"/>
      <c r="F16" s="13"/>
      <c r="G16" s="15"/>
    </row>
    <row r="17" spans="1:7" ht="15" customHeight="1">
      <c r="A17" s="25" t="str">
        <f>'Trial Balance'!A216&amp;"-"&amp;'Trial Balance'!B216</f>
        <v>4055-Energy Sales for Resale</v>
      </c>
      <c r="B17" s="339">
        <f>'Trial Balance'!H216</f>
        <v>-1417143.59</v>
      </c>
      <c r="D17" s="11"/>
      <c r="E17" s="14"/>
      <c r="F17" s="13"/>
      <c r="G17" s="15"/>
    </row>
    <row r="18" spans="1:7" ht="15" customHeight="1">
      <c r="A18" s="25" t="str">
        <f>'Trial Balance'!A217&amp;"-"&amp;'Trial Balance'!B217</f>
        <v>4060-Interdepartmental Energy Sales</v>
      </c>
      <c r="B18" s="339">
        <f>'Trial Balance'!H217</f>
        <v>0</v>
      </c>
      <c r="D18" s="11"/>
      <c r="E18" s="12"/>
      <c r="F18" s="13"/>
      <c r="G18" s="15"/>
    </row>
    <row r="19" spans="1:7" ht="15" customHeight="1">
      <c r="A19" s="25" t="str">
        <f>'Trial Balance'!A218&amp;"-"&amp;'Trial Balance'!B218</f>
        <v>4062-WMS</v>
      </c>
      <c r="B19" s="339">
        <f>'Trial Balance'!H218</f>
        <v>-635585.03</v>
      </c>
      <c r="D19" s="11"/>
      <c r="E19" s="12"/>
      <c r="F19" s="13"/>
      <c r="G19" s="15"/>
    </row>
    <row r="20" spans="1:7" ht="15" customHeight="1">
      <c r="A20" s="25" t="str">
        <f>'Trial Balance'!A219&amp;"-"&amp;'Trial Balance'!B219</f>
        <v>4064-Billed WMS-One Time</v>
      </c>
      <c r="B20" s="339">
        <f>'Trial Balance'!H219</f>
        <v>0</v>
      </c>
      <c r="D20" s="11"/>
      <c r="E20" s="12"/>
      <c r="F20" s="13"/>
      <c r="G20" s="15"/>
    </row>
    <row r="21" spans="1:7" ht="15" customHeight="1">
      <c r="A21" s="25" t="str">
        <f>'Trial Balance'!A220&amp;"-"&amp;'Trial Balance'!B220</f>
        <v>4066-NS</v>
      </c>
      <c r="B21" s="339">
        <f>'Trial Balance'!H220</f>
        <v>-616961.51</v>
      </c>
      <c r="D21" s="11"/>
      <c r="E21" s="12"/>
      <c r="F21" s="13"/>
      <c r="G21" s="15"/>
    </row>
    <row r="22" spans="1:7" ht="15" customHeight="1">
      <c r="A22" s="25" t="str">
        <f>'Trial Balance'!A221&amp;"-"&amp;'Trial Balance'!B221</f>
        <v>4068-CS</v>
      </c>
      <c r="B22" s="339">
        <f>'Trial Balance'!H221</f>
        <v>-542831.74</v>
      </c>
      <c r="D22" s="11"/>
      <c r="E22" s="12"/>
      <c r="F22" s="13"/>
      <c r="G22" s="15"/>
    </row>
    <row r="23" spans="1:7" ht="15" customHeight="1" thickBot="1">
      <c r="A23" s="25" t="str">
        <f>'Trial Balance'!A222&amp;"-"&amp;'Trial Balance'!B222</f>
        <v>4075-LV Charges</v>
      </c>
      <c r="B23" s="339">
        <f>'Trial Balance'!H222</f>
        <v>-162271.28</v>
      </c>
      <c r="D23" s="11"/>
      <c r="E23" s="12"/>
      <c r="F23" s="13"/>
      <c r="G23" s="15"/>
    </row>
    <row r="24" spans="1:7" ht="15" customHeight="1" thickBot="1">
      <c r="A24" s="30" t="s">
        <v>139</v>
      </c>
      <c r="B24" s="341">
        <f>SUM(B7:B23)</f>
        <v>-9123037.35</v>
      </c>
      <c r="D24" s="11"/>
      <c r="E24" s="14"/>
      <c r="F24" s="13"/>
      <c r="G24" s="15"/>
    </row>
    <row r="25" spans="1:7" s="18" customFormat="1" ht="15" customHeight="1">
      <c r="A25" s="538"/>
      <c r="B25" s="539"/>
      <c r="D25" s="19"/>
      <c r="E25" s="12"/>
      <c r="F25" s="15"/>
      <c r="G25" s="15"/>
    </row>
    <row r="26" spans="1:7" s="18" customFormat="1" ht="15" customHeight="1">
      <c r="A26" s="542" t="s">
        <v>140</v>
      </c>
      <c r="B26" s="542"/>
      <c r="D26" s="19"/>
      <c r="E26" s="12"/>
      <c r="F26" s="15"/>
      <c r="G26" s="15"/>
    </row>
    <row r="27" spans="1:7" ht="15" customHeight="1">
      <c r="A27" s="25" t="str">
        <f>'Trial Balance'!A224&amp;"-"&amp;'Trial Balance'!B224</f>
        <v>4080-Distribution Services Revenue</v>
      </c>
      <c r="B27" s="339">
        <f>'Trial Balance'!H224</f>
        <v>-1976633.77</v>
      </c>
      <c r="D27" s="11"/>
      <c r="E27" s="14"/>
      <c r="F27" s="13"/>
      <c r="G27" s="15"/>
    </row>
    <row r="28" spans="1:7" ht="15" customHeight="1">
      <c r="A28" s="25" t="str">
        <f>'Trial Balance'!A225&amp;"-"&amp;'Trial Balance'!B225</f>
        <v>4082-RS Rev</v>
      </c>
      <c r="B28" s="339">
        <f>'Trial Balance'!H225</f>
        <v>-6766.95</v>
      </c>
      <c r="D28" s="11"/>
      <c r="E28" s="14"/>
      <c r="F28" s="13"/>
      <c r="G28" s="15"/>
    </row>
    <row r="29" spans="1:7" ht="15" customHeight="1">
      <c r="A29" s="25" t="str">
        <f>'Trial Balance'!A226&amp;"-"&amp;'Trial Balance'!B226</f>
        <v>4084-Serv Tx Requests</v>
      </c>
      <c r="B29" s="339">
        <f>'Trial Balance'!H226</f>
        <v>-248</v>
      </c>
      <c r="D29" s="11"/>
      <c r="E29" s="14"/>
      <c r="F29" s="13"/>
      <c r="G29" s="15"/>
    </row>
    <row r="30" spans="1:7" ht="15" customHeight="1" thickBot="1">
      <c r="A30" s="25" t="str">
        <f>'Trial Balance'!A227&amp;"-"&amp;'Trial Balance'!B227</f>
        <v>4090-Electric Services Incidental to Energy Sales</v>
      </c>
      <c r="B30" s="339">
        <f>'Trial Balance'!H227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41">
        <f>SUM(B27:B30)</f>
        <v>-1983648.72</v>
      </c>
      <c r="D31" s="11"/>
      <c r="E31" s="12"/>
      <c r="F31" s="13"/>
      <c r="G31" s="15"/>
    </row>
    <row r="32" spans="1:7" s="18" customFormat="1" ht="15" customHeight="1">
      <c r="A32" s="538"/>
      <c r="B32" s="539"/>
      <c r="D32" s="19"/>
      <c r="E32" s="12"/>
      <c r="F32" s="15"/>
      <c r="G32" s="15"/>
    </row>
    <row r="33" spans="1:7" s="18" customFormat="1" ht="15" customHeight="1">
      <c r="A33" s="542" t="s">
        <v>75</v>
      </c>
      <c r="B33" s="542"/>
      <c r="D33" s="19"/>
      <c r="E33" s="12"/>
      <c r="F33" s="15"/>
      <c r="G33" s="15"/>
    </row>
    <row r="34" spans="1:7" ht="15" customHeight="1">
      <c r="A34" s="25" t="str">
        <f>'Trial Balance'!A229&amp;"-"&amp;'Trial Balance'!B229</f>
        <v>4205-Interdepartmental Rents</v>
      </c>
      <c r="B34" s="339">
        <f>'Trial Balance'!H229</f>
        <v>0</v>
      </c>
      <c r="D34" s="11"/>
      <c r="E34" s="14"/>
      <c r="F34" s="13"/>
      <c r="G34" s="15"/>
    </row>
    <row r="35" spans="1:2" ht="15" customHeight="1">
      <c r="A35" s="25" t="str">
        <f>'Trial Balance'!A230&amp;"-"&amp;'Trial Balance'!B230</f>
        <v>4210-Rent from Electric Property</v>
      </c>
      <c r="B35" s="339">
        <f>'Trial Balance'!H230</f>
        <v>-59022.3</v>
      </c>
    </row>
    <row r="36" spans="1:2" ht="15" customHeight="1">
      <c r="A36" s="25" t="str">
        <f>'Trial Balance'!A231&amp;"-"&amp;'Trial Balance'!B231</f>
        <v>4215-Other Utility Operating Income</v>
      </c>
      <c r="B36" s="339">
        <f>'Trial Balance'!H231</f>
        <v>0</v>
      </c>
    </row>
    <row r="37" spans="1:2" ht="15" customHeight="1">
      <c r="A37" s="25" t="str">
        <f>'Trial Balance'!A232&amp;"-"&amp;'Trial Balance'!B232</f>
        <v>4220-Other Electric Revenues</v>
      </c>
      <c r="B37" s="339">
        <f>'Trial Balance'!H232</f>
        <v>0</v>
      </c>
    </row>
    <row r="38" spans="1:2" ht="15" customHeight="1">
      <c r="A38" s="25" t="str">
        <f>'Trial Balance'!A233&amp;"-"&amp;'Trial Balance'!B233</f>
        <v>4225-Late Payment Charges</v>
      </c>
      <c r="B38" s="339">
        <f>'Trial Balance'!H233</f>
        <v>-44525.83</v>
      </c>
    </row>
    <row r="39" spans="1:2" ht="15" customHeight="1">
      <c r="A39" s="25" t="str">
        <f>'Trial Balance'!A234&amp;"-"&amp;'Trial Balance'!B234</f>
        <v>4230-Sales of Water and Water Power</v>
      </c>
      <c r="B39" s="339">
        <f>'Trial Balance'!H234</f>
        <v>0</v>
      </c>
    </row>
    <row r="40" spans="1:2" ht="15" customHeight="1">
      <c r="A40" s="25" t="str">
        <f>'Trial Balance'!A235&amp;"-"&amp;'Trial Balance'!B235</f>
        <v>4235-Miscellaneous Service Revenues</v>
      </c>
      <c r="B40" s="339">
        <f>'Trial Balance'!H235</f>
        <v>-104818.5</v>
      </c>
    </row>
    <row r="41" spans="1:2" ht="15" customHeight="1">
      <c r="A41" s="25" t="str">
        <f>'Trial Balance'!A236&amp;"-"&amp;'Trial Balance'!B236</f>
        <v>4240-Provision for Rate Refunds</v>
      </c>
      <c r="B41" s="339">
        <f>'Trial Balance'!H236</f>
        <v>0</v>
      </c>
    </row>
    <row r="42" spans="1:2" ht="15" customHeight="1" thickBot="1">
      <c r="A42" s="25" t="str">
        <f>'Trial Balance'!A237&amp;"-"&amp;'Trial Balance'!B237</f>
        <v>4245-Government Assistance Directly Credited to Income</v>
      </c>
      <c r="B42" s="339">
        <f>'Trial Balance'!H237</f>
        <v>0</v>
      </c>
    </row>
    <row r="43" spans="1:2" ht="15" customHeight="1" thickBot="1">
      <c r="A43" s="30" t="s">
        <v>86</v>
      </c>
      <c r="B43" s="341">
        <f>SUM(B34:B42)</f>
        <v>-208366.63</v>
      </c>
    </row>
    <row r="44" spans="1:2" s="18" customFormat="1" ht="15" customHeight="1">
      <c r="A44" s="538"/>
      <c r="B44" s="539"/>
    </row>
    <row r="45" spans="1:2" s="18" customFormat="1" ht="15" customHeight="1">
      <c r="A45" s="542" t="s">
        <v>87</v>
      </c>
      <c r="B45" s="542"/>
    </row>
    <row r="46" spans="1:2" ht="15" customHeight="1">
      <c r="A46" s="25" t="str">
        <f>'Trial Balance'!A239&amp;"-"&amp;'Trial Balance'!B239</f>
        <v>4305-Regulatory Debits</v>
      </c>
      <c r="B46" s="339">
        <f>'Trial Balance'!H239</f>
        <v>0</v>
      </c>
    </row>
    <row r="47" spans="1:2" ht="15" customHeight="1">
      <c r="A47" s="25" t="str">
        <f>'Trial Balance'!A240&amp;"-"&amp;'Trial Balance'!B240</f>
        <v>4310-Regulatory Credits</v>
      </c>
      <c r="B47" s="339">
        <f>'Trial Balance'!H240</f>
        <v>0</v>
      </c>
    </row>
    <row r="48" spans="1:2" ht="15" customHeight="1">
      <c r="A48" s="25" t="str">
        <f>'Trial Balance'!A241&amp;"-"&amp;'Trial Balance'!B241</f>
        <v>4315-Revenues from Electric Plant Leased to Others</v>
      </c>
      <c r="B48" s="339">
        <f>'Trial Balance'!H241</f>
        <v>0</v>
      </c>
    </row>
    <row r="49" spans="1:2" ht="15" customHeight="1">
      <c r="A49" s="25" t="str">
        <f>'Trial Balance'!A242&amp;"-"&amp;'Trial Balance'!B242</f>
        <v>4320-Expenses of Electric Plant Leased to Others</v>
      </c>
      <c r="B49" s="339">
        <f>'Trial Balance'!H242</f>
        <v>0</v>
      </c>
    </row>
    <row r="50" spans="1:2" ht="15" customHeight="1">
      <c r="A50" s="25" t="str">
        <f>'Trial Balance'!A243&amp;"-"&amp;'Trial Balance'!B243</f>
        <v>4324-Special Purpose Charge Revenue</v>
      </c>
      <c r="B50" s="339">
        <f>'Trial Balance'!H243</f>
        <v>-1796.63</v>
      </c>
    </row>
    <row r="51" spans="1:2" ht="15" customHeight="1">
      <c r="A51" s="25" t="str">
        <f>'Trial Balance'!A244&amp;"-"&amp;'Trial Balance'!B244</f>
        <v>4325-Revenues from Merchandise, Jobbing, Etc.</v>
      </c>
      <c r="B51" s="339">
        <f>'Trial Balance'!H244</f>
        <v>0</v>
      </c>
    </row>
    <row r="52" spans="1:2" ht="15" customHeight="1">
      <c r="A52" s="25" t="str">
        <f>'Trial Balance'!A245&amp;"-"&amp;'Trial Balance'!B245</f>
        <v>4330-Costs and Expenses of Merchandising, Jobbing, Etc</v>
      </c>
      <c r="B52" s="339">
        <f>'Trial Balance'!H245</f>
        <v>0</v>
      </c>
    </row>
    <row r="53" spans="1:2" ht="15" customHeight="1">
      <c r="A53" s="25" t="str">
        <f>'Trial Balance'!A246&amp;"-"&amp;'Trial Balance'!B246</f>
        <v>4335-Profits and Losses from Financial Instrument Hedges</v>
      </c>
      <c r="B53" s="339">
        <f>'Trial Balance'!H246</f>
        <v>0</v>
      </c>
    </row>
    <row r="54" spans="1:2" ht="15" customHeight="1">
      <c r="A54" s="25" t="str">
        <f>'Trial Balance'!A247&amp;"-"&amp;'Trial Balance'!B247</f>
        <v>4340-Profits and Losses from Financial Instrument Investments</v>
      </c>
      <c r="B54" s="339">
        <f>'Trial Balance'!H247</f>
        <v>0</v>
      </c>
    </row>
    <row r="55" spans="1:2" ht="15" customHeight="1">
      <c r="A55" s="25" t="str">
        <f>'Trial Balance'!A248&amp;"-"&amp;'Trial Balance'!B248</f>
        <v>4345-Gains from Disposition of Future Use Utility Plant</v>
      </c>
      <c r="B55" s="339">
        <f>'Trial Balance'!H248</f>
        <v>0</v>
      </c>
    </row>
    <row r="56" spans="1:2" ht="15" customHeight="1">
      <c r="A56" s="25" t="str">
        <f>'Trial Balance'!A249&amp;"-"&amp;'Trial Balance'!B249</f>
        <v>4350-Losses from Disposition of Future Use Utility Plant</v>
      </c>
      <c r="B56" s="339">
        <f>'Trial Balance'!H249</f>
        <v>0</v>
      </c>
    </row>
    <row r="57" spans="1:2" ht="15" customHeight="1">
      <c r="A57" s="25" t="str">
        <f>'Trial Balance'!A250&amp;"-"&amp;'Trial Balance'!B250</f>
        <v>4355-Gain on Disposition of Utility and Other Property</v>
      </c>
      <c r="B57" s="339">
        <f>'Trial Balance'!H250</f>
        <v>0</v>
      </c>
    </row>
    <row r="58" spans="1:2" ht="15" customHeight="1">
      <c r="A58" s="25" t="str">
        <f>'Trial Balance'!A251&amp;"-"&amp;'Trial Balance'!B251</f>
        <v>4360-Loss on Disposition of Utility and Other Property</v>
      </c>
      <c r="B58" s="339">
        <f>'Trial Balance'!H251</f>
        <v>0</v>
      </c>
    </row>
    <row r="59" spans="1:2" ht="15" customHeight="1">
      <c r="A59" s="25" t="str">
        <f>'Trial Balance'!A252&amp;"-"&amp;'Trial Balance'!B252</f>
        <v>4365-Gains from Disposition of Allowances for Emission</v>
      </c>
      <c r="B59" s="339">
        <f>'Trial Balance'!H252</f>
        <v>0</v>
      </c>
    </row>
    <row r="60" spans="1:2" ht="15" customHeight="1">
      <c r="A60" s="25" t="str">
        <f>'Trial Balance'!A253&amp;"-"&amp;'Trial Balance'!B253</f>
        <v>4370-Losses from Disposition of Allowances for Emission</v>
      </c>
      <c r="B60" s="339">
        <f>'Trial Balance'!H253</f>
        <v>0</v>
      </c>
    </row>
    <row r="61" spans="1:2" ht="15" customHeight="1">
      <c r="A61" s="25" t="str">
        <f>'Trial Balance'!A254&amp;"-"&amp;'Trial Balance'!B254</f>
        <v>4375-Revenues from Non-Utility Operations</v>
      </c>
      <c r="B61" s="339">
        <f>'Trial Balance'!H254</f>
        <v>-554.11</v>
      </c>
    </row>
    <row r="62" spans="1:2" ht="15" customHeight="1">
      <c r="A62" s="25" t="str">
        <f>'Trial Balance'!A255&amp;"-"&amp;'Trial Balance'!B255</f>
        <v>4380-Expenses of Non-Utility Operations</v>
      </c>
      <c r="B62" s="339">
        <f>'Trial Balance'!H255</f>
        <v>-32070.27</v>
      </c>
    </row>
    <row r="63" spans="1:2" ht="15" customHeight="1">
      <c r="A63" s="25" t="str">
        <f>'Trial Balance'!A256&amp;"-"&amp;'Trial Balance'!B256</f>
        <v>4385-Expenses of Non-Utility Operations</v>
      </c>
      <c r="B63" s="339">
        <f>'Trial Balance'!H256</f>
        <v>0</v>
      </c>
    </row>
    <row r="64" spans="1:2" ht="15" customHeight="1">
      <c r="A64" s="25" t="str">
        <f>'Trial Balance'!A257&amp;"-"&amp;'Trial Balance'!B257</f>
        <v>4390-Miscellaneous Non-Operating Income</v>
      </c>
      <c r="B64" s="339">
        <f>'Trial Balance'!H257</f>
        <v>0</v>
      </c>
    </row>
    <row r="65" spans="1:2" ht="15" customHeight="1">
      <c r="A65" s="25" t="str">
        <f>'Trial Balance'!A258&amp;"-"&amp;'Trial Balance'!B258</f>
        <v>4395-Rate-Payer Benefit Including Interest</v>
      </c>
      <c r="B65" s="339">
        <f>'Trial Balance'!H258</f>
        <v>0</v>
      </c>
    </row>
    <row r="66" spans="1:2" ht="15" customHeight="1" thickBot="1">
      <c r="A66" s="25" t="str">
        <f>'Trial Balance'!A259&amp;"-"&amp;'Trial Balance'!B259</f>
        <v>4398-Foreign Exchange Gains and Losses, Including Amortization</v>
      </c>
      <c r="B66" s="339">
        <f>'Trial Balance'!H259</f>
        <v>0</v>
      </c>
    </row>
    <row r="67" spans="1:2" ht="15" customHeight="1" thickBot="1">
      <c r="A67" s="30" t="s">
        <v>82</v>
      </c>
      <c r="B67" s="341">
        <f>SUM(B46:B66)</f>
        <v>-34421.01</v>
      </c>
    </row>
    <row r="68" spans="1:2" s="18" customFormat="1" ht="15" customHeight="1">
      <c r="A68" s="538"/>
      <c r="B68" s="539"/>
    </row>
    <row r="69" spans="1:2" s="18" customFormat="1" ht="15" customHeight="1">
      <c r="A69" s="542" t="s">
        <v>83</v>
      </c>
      <c r="B69" s="542"/>
    </row>
    <row r="70" spans="1:2" s="18" customFormat="1" ht="15" customHeight="1">
      <c r="A70" s="25" t="str">
        <f>'Trial Balance'!A261&amp;"-"&amp;'Trial Balance'!B261</f>
        <v>4405-Interest and Dividend Income</v>
      </c>
      <c r="B70" s="339">
        <f>'Trial Balance'!H261</f>
        <v>-8018.52</v>
      </c>
    </row>
    <row r="71" spans="1:2" ht="15" customHeight="1" thickBot="1">
      <c r="A71" s="25" t="str">
        <f>'Trial Balance'!A262&amp;"-"&amp;'Trial Balance'!B262</f>
        <v>4415-Equity in Earnings of Subsidiary Companies</v>
      </c>
      <c r="B71" s="339">
        <f>'Trial Balance'!H262</f>
        <v>0</v>
      </c>
    </row>
    <row r="72" spans="1:2" ht="15" customHeight="1" thickBot="1">
      <c r="A72" s="30" t="s">
        <v>84</v>
      </c>
      <c r="B72" s="341">
        <f>SUM(B70:B71)</f>
        <v>-8018.52</v>
      </c>
    </row>
    <row r="73" spans="1:2" s="18" customFormat="1" ht="15" customHeight="1">
      <c r="A73" s="538"/>
      <c r="B73" s="539"/>
    </row>
    <row r="74" spans="1:2" s="18" customFormat="1" ht="15" customHeight="1">
      <c r="A74" s="542" t="s">
        <v>85</v>
      </c>
      <c r="B74" s="542"/>
    </row>
    <row r="75" spans="1:2" ht="15" customHeight="1">
      <c r="A75" s="25" t="str">
        <f>'Trial Balance'!A264&amp;"-"&amp;'Trial Balance'!B264</f>
        <v>4705-Power Purchased</v>
      </c>
      <c r="B75" s="339">
        <f>'Trial Balance'!H264</f>
        <v>7174199.37</v>
      </c>
    </row>
    <row r="76" spans="1:2" ht="15" customHeight="1">
      <c r="A76" s="25" t="str">
        <f>'Trial Balance'!A265&amp;"-"&amp;'Trial Balance'!B265</f>
        <v>4708-WMS</v>
      </c>
      <c r="B76" s="339">
        <f>'Trial Balance'!H265</f>
        <v>484014.52</v>
      </c>
    </row>
    <row r="77" spans="1:2" ht="15" customHeight="1">
      <c r="A77" s="25" t="str">
        <f>'Trial Balance'!A266&amp;"-"&amp;'Trial Balance'!B266</f>
        <v>4710-Cost of Power Adjustments</v>
      </c>
      <c r="B77" s="339">
        <f>'Trial Balance'!H266</f>
        <v>0</v>
      </c>
    </row>
    <row r="78" spans="1:2" ht="15" customHeight="1">
      <c r="A78" s="25" t="str">
        <f>'Trial Balance'!A267&amp;"-"&amp;'Trial Balance'!B267</f>
        <v>4712-0</v>
      </c>
      <c r="B78" s="339">
        <f>'Trial Balance'!H267</f>
        <v>0</v>
      </c>
    </row>
    <row r="79" spans="1:2" ht="15" customHeight="1">
      <c r="A79" s="25" t="str">
        <f>'Trial Balance'!A268&amp;"-"&amp;'Trial Balance'!B268</f>
        <v>4714-NW</v>
      </c>
      <c r="B79" s="339">
        <f>'Trial Balance'!H268</f>
        <v>616961.51</v>
      </c>
    </row>
    <row r="80" spans="1:2" ht="15" customHeight="1">
      <c r="A80" s="25" t="str">
        <f>'Trial Balance'!A269&amp;"-"&amp;'Trial Balance'!B269</f>
        <v>4715-System Control and Load Dispatching</v>
      </c>
      <c r="B80" s="339">
        <f>'Trial Balance'!H269</f>
        <v>0</v>
      </c>
    </row>
    <row r="81" spans="1:2" ht="15" customHeight="1">
      <c r="A81" s="25" t="str">
        <f>'Trial Balance'!A270&amp;"-"&amp;'Trial Balance'!B270</f>
        <v>4716-NCN</v>
      </c>
      <c r="B81" s="339">
        <f>'Trial Balance'!H270</f>
        <v>542831.74</v>
      </c>
    </row>
    <row r="82" spans="1:2" ht="15" customHeight="1">
      <c r="A82" s="25" t="str">
        <f>'Trial Balance'!A271&amp;"-"&amp;'Trial Balance'!B271</f>
        <v>4720-Other Expenses</v>
      </c>
      <c r="B82" s="339">
        <f>'Trial Balance'!H271</f>
        <v>0</v>
      </c>
    </row>
    <row r="83" spans="1:2" ht="15" customHeight="1">
      <c r="A83" s="25" t="str">
        <f>'Trial Balance'!A272&amp;"-"&amp;'Trial Balance'!B272</f>
        <v>4725-Competition Transition Expense</v>
      </c>
      <c r="B83" s="339">
        <f>'Trial Balance'!H272</f>
        <v>0</v>
      </c>
    </row>
    <row r="84" spans="1:2" ht="15" customHeight="1">
      <c r="A84" s="25" t="str">
        <f>'Trial Balance'!A273&amp;"-"&amp;'Trial Balance'!B273</f>
        <v>4730-Rural Rate Assistance Expense</v>
      </c>
      <c r="B84" s="339">
        <f>'Trial Balance'!H273</f>
        <v>151570.51</v>
      </c>
    </row>
    <row r="85" spans="1:2" ht="15" customHeight="1" thickBot="1">
      <c r="A85" s="25" t="str">
        <f>'Trial Balance'!A274&amp;"-"&amp;'Trial Balance'!B274</f>
        <v>4750-LV Charges</v>
      </c>
      <c r="B85" s="339">
        <f>'Trial Balance'!H274</f>
        <v>162271.28</v>
      </c>
    </row>
    <row r="86" spans="1:2" ht="15" customHeight="1" thickBot="1">
      <c r="A86" s="30" t="s">
        <v>519</v>
      </c>
      <c r="B86" s="341">
        <f>SUM(B75:B85)</f>
        <v>9131848.93</v>
      </c>
    </row>
    <row r="87" spans="1:2" s="18" customFormat="1" ht="15" customHeight="1">
      <c r="A87" s="538"/>
      <c r="B87" s="539"/>
    </row>
    <row r="88" spans="1:2" s="18" customFormat="1" ht="15" customHeight="1">
      <c r="A88" s="542" t="s">
        <v>520</v>
      </c>
      <c r="B88" s="542"/>
    </row>
    <row r="89" spans="1:2" ht="15" customHeight="1">
      <c r="A89" s="25" t="str">
        <f>'Trial Balance'!A276&amp;"-"&amp;'Trial Balance'!B276</f>
        <v>5005-Operation Supervision and Engineering</v>
      </c>
      <c r="B89" s="339">
        <f>'Trial Balance'!H276</f>
        <v>68611.19</v>
      </c>
    </row>
    <row r="90" spans="1:2" ht="15" customHeight="1">
      <c r="A90" s="25" t="str">
        <f>'Trial Balance'!A277&amp;"-"&amp;'Trial Balance'!B277</f>
        <v>5010-Load Dispatching</v>
      </c>
      <c r="B90" s="339">
        <f>'Trial Balance'!H277</f>
        <v>0</v>
      </c>
    </row>
    <row r="91" spans="1:2" ht="15" customHeight="1">
      <c r="A91" s="25" t="str">
        <f>'Trial Balance'!A278&amp;"-"&amp;'Trial Balance'!B278</f>
        <v>5012-Station Buildings and Fixtures Expense</v>
      </c>
      <c r="B91" s="339">
        <f>'Trial Balance'!H278</f>
        <v>0</v>
      </c>
    </row>
    <row r="92" spans="1:2" ht="15" customHeight="1">
      <c r="A92" s="25" t="str">
        <f>'Trial Balance'!A279&amp;"-"&amp;'Trial Balance'!B279</f>
        <v>5014-Transformer Station Equipment - Operation Labour</v>
      </c>
      <c r="B92" s="339">
        <f>'Trial Balance'!H279</f>
        <v>0</v>
      </c>
    </row>
    <row r="93" spans="1:2" ht="15" customHeight="1">
      <c r="A93" s="25" t="str">
        <f>'Trial Balance'!A280&amp;"-"&amp;'Trial Balance'!B280</f>
        <v>5015-Transformer Station Equipment - Operation Supplies and Expenses</v>
      </c>
      <c r="B93" s="339">
        <f>'Trial Balance'!H280</f>
        <v>0</v>
      </c>
    </row>
    <row r="94" spans="1:2" ht="15" customHeight="1">
      <c r="A94" s="25" t="str">
        <f>'Trial Balance'!A281&amp;"-"&amp;'Trial Balance'!B281</f>
        <v>5016-Distribution Station Equipment - Operation Labour</v>
      </c>
      <c r="B94" s="339">
        <f>'Trial Balance'!H281</f>
        <v>0</v>
      </c>
    </row>
    <row r="95" spans="1:2" ht="15" customHeight="1">
      <c r="A95" s="25" t="str">
        <f>'Trial Balance'!A282&amp;"-"&amp;'Trial Balance'!B282</f>
        <v>5017-Distribution Station Equipment - Operation Supplies and Expenses</v>
      </c>
      <c r="B95" s="339">
        <f>'Trial Balance'!H282</f>
        <v>0</v>
      </c>
    </row>
    <row r="96" spans="1:2" ht="15" customHeight="1">
      <c r="A96" s="25" t="str">
        <f>'Trial Balance'!A283&amp;"-"&amp;'Trial Balance'!B283</f>
        <v>5020-Overhead Distribution Lines and Feeders - Operation Labour</v>
      </c>
      <c r="B96" s="339">
        <f>'Trial Balance'!H283</f>
        <v>0</v>
      </c>
    </row>
    <row r="97" spans="1:2" ht="15" customHeight="1">
      <c r="A97" s="25" t="str">
        <f>'Trial Balance'!A284&amp;"-"&amp;'Trial Balance'!B284</f>
        <v>5025-Overhead Distribution Lines and Feeders - Operation Supplies and Expenses</v>
      </c>
      <c r="B97" s="339">
        <f>'Trial Balance'!H284</f>
        <v>0</v>
      </c>
    </row>
    <row r="98" spans="1:2" ht="15" customHeight="1">
      <c r="A98" s="25" t="str">
        <f>'Trial Balance'!A285&amp;"-"&amp;'Trial Balance'!B285</f>
        <v>5030-Overhead Subtransmission Feeders - Operation</v>
      </c>
      <c r="B98" s="339">
        <f>'Trial Balance'!H285</f>
        <v>0</v>
      </c>
    </row>
    <row r="99" spans="1:2" ht="15" customHeight="1">
      <c r="A99" s="25" t="str">
        <f>'Trial Balance'!A286&amp;"-"&amp;'Trial Balance'!B286</f>
        <v>5035-Overhead Distribution Transformers - Operation</v>
      </c>
      <c r="B99" s="339">
        <f>'Trial Balance'!H286</f>
        <v>7953.43</v>
      </c>
    </row>
    <row r="100" spans="1:2" ht="15" customHeight="1">
      <c r="A100" s="25" t="str">
        <f>'Trial Balance'!A287&amp;"-"&amp;'Trial Balance'!B287</f>
        <v>5040-Underground Distribution Lines and Feeders - Operation Labour</v>
      </c>
      <c r="B100" s="339">
        <f>'Trial Balance'!H287</f>
        <v>0</v>
      </c>
    </row>
    <row r="101" spans="1:2" ht="15" customHeight="1">
      <c r="A101" s="25" t="str">
        <f>'Trial Balance'!A288&amp;"-"&amp;'Trial Balance'!B288</f>
        <v>5045-Underground Distribution Lines and Feeders - Operation Supplies and Expenses</v>
      </c>
      <c r="B101" s="339">
        <f>'Trial Balance'!H288</f>
        <v>0</v>
      </c>
    </row>
    <row r="102" spans="1:2" ht="15" customHeight="1">
      <c r="A102" s="25" t="str">
        <f>'Trial Balance'!A289&amp;"-"&amp;'Trial Balance'!B289</f>
        <v>5050-Underground Subtransmission Feeders - Operation</v>
      </c>
      <c r="B102" s="339">
        <f>'Trial Balance'!H289</f>
        <v>0</v>
      </c>
    </row>
    <row r="103" spans="1:2" ht="15" customHeight="1">
      <c r="A103" s="25" t="str">
        <f>'Trial Balance'!A290&amp;"-"&amp;'Trial Balance'!B290</f>
        <v>5055-Underground Distribution Transformers - Operation</v>
      </c>
      <c r="B103" s="339">
        <f>'Trial Balance'!H290</f>
        <v>0</v>
      </c>
    </row>
    <row r="104" spans="1:2" ht="15" customHeight="1">
      <c r="A104" s="25" t="str">
        <f>'Trial Balance'!A291&amp;"-"&amp;'Trial Balance'!B291</f>
        <v>5060-Street Lighting and Signal System Expense</v>
      </c>
      <c r="B104" s="339">
        <f>'Trial Balance'!H291</f>
        <v>0</v>
      </c>
    </row>
    <row r="105" spans="1:2" ht="15" customHeight="1">
      <c r="A105" s="25" t="str">
        <f>'Trial Balance'!A292&amp;"-"&amp;'Trial Balance'!B292</f>
        <v>5065-Meter Expense</v>
      </c>
      <c r="B105" s="339">
        <f>'Trial Balance'!H292</f>
        <v>19331.47</v>
      </c>
    </row>
    <row r="106" spans="1:2" ht="15" customHeight="1">
      <c r="A106" s="25" t="str">
        <f>'Trial Balance'!A293&amp;"-"&amp;'Trial Balance'!B293</f>
        <v>5070-Customer Premises - Operation Labour</v>
      </c>
      <c r="B106" s="339">
        <f>'Trial Balance'!H293</f>
        <v>0</v>
      </c>
    </row>
    <row r="107" spans="1:2" ht="15" customHeight="1">
      <c r="A107" s="25" t="str">
        <f>'Trial Balance'!A294&amp;"-"&amp;'Trial Balance'!B294</f>
        <v>5075-Customer Premises - Materials and Expenses</v>
      </c>
      <c r="B107" s="339">
        <f>'Trial Balance'!H294</f>
        <v>0</v>
      </c>
    </row>
    <row r="108" spans="1:2" ht="15" customHeight="1">
      <c r="A108" s="25" t="str">
        <f>'Trial Balance'!A295&amp;"-"&amp;'Trial Balance'!B295</f>
        <v>5085-Miscellaneous Distribution Expense</v>
      </c>
      <c r="B108" s="339">
        <f>'Trial Balance'!H295</f>
        <v>59216.93</v>
      </c>
    </row>
    <row r="109" spans="1:2" ht="15" customHeight="1">
      <c r="A109" s="25" t="str">
        <f>'Trial Balance'!A296&amp;"-"&amp;'Trial Balance'!B296</f>
        <v>5090-Underground Distribution Lines and Feeders - Rental Paid</v>
      </c>
      <c r="B109" s="339">
        <f>'Trial Balance'!H296</f>
        <v>0</v>
      </c>
    </row>
    <row r="110" spans="1:2" ht="15" customHeight="1">
      <c r="A110" s="25" t="str">
        <f>'Trial Balance'!A297&amp;"-"&amp;'Trial Balance'!B297</f>
        <v>5095-Overhead Distribution Lines and Feeders - Rental Paid</v>
      </c>
      <c r="B110" s="339">
        <f>'Trial Balance'!H297</f>
        <v>23189.19</v>
      </c>
    </row>
    <row r="111" spans="1:2" ht="15" customHeight="1" thickBot="1">
      <c r="A111" s="25" t="str">
        <f>'Trial Balance'!A298&amp;"-"&amp;'Trial Balance'!B298</f>
        <v>5096-Other Rent</v>
      </c>
      <c r="B111" s="339">
        <f>'Trial Balance'!H298</f>
        <v>0</v>
      </c>
    </row>
    <row r="112" spans="1:2" ht="15" customHeight="1" thickBot="1">
      <c r="A112" s="30" t="s">
        <v>523</v>
      </c>
      <c r="B112" s="341">
        <f>SUM(B89:B111)</f>
        <v>178302.21</v>
      </c>
    </row>
    <row r="113" spans="1:2" s="18" customFormat="1" ht="15" customHeight="1">
      <c r="A113" s="538"/>
      <c r="B113" s="539"/>
    </row>
    <row r="114" spans="1:2" s="18" customFormat="1" ht="15" customHeight="1">
      <c r="A114" s="542" t="s">
        <v>524</v>
      </c>
      <c r="B114" s="542"/>
    </row>
    <row r="115" spans="1:2" ht="15" customHeight="1">
      <c r="A115" s="25" t="str">
        <f>'Trial Balance'!A300&amp;"-"&amp;'Trial Balance'!B300</f>
        <v>5105-Maintenance Supervision and Engineering</v>
      </c>
      <c r="B115" s="339">
        <f>'Trial Balance'!H300</f>
        <v>0</v>
      </c>
    </row>
    <row r="116" spans="1:2" ht="15" customHeight="1">
      <c r="A116" s="25" t="str">
        <f>'Trial Balance'!A301&amp;"-"&amp;'Trial Balance'!B301</f>
        <v>5110-Maintenance of Structures</v>
      </c>
      <c r="B116" s="339">
        <f>'Trial Balance'!H301</f>
        <v>0</v>
      </c>
    </row>
    <row r="117" spans="1:2" ht="15" customHeight="1">
      <c r="A117" s="25" t="str">
        <f>'Trial Balance'!A302&amp;"-"&amp;'Trial Balance'!B302</f>
        <v>5112-Maintenance of Transformer Station Equipment</v>
      </c>
      <c r="B117" s="339">
        <f>'Trial Balance'!H302</f>
        <v>0</v>
      </c>
    </row>
    <row r="118" spans="1:2" ht="15" customHeight="1">
      <c r="A118" s="25" t="str">
        <f>'Trial Balance'!A303&amp;"-"&amp;'Trial Balance'!B303</f>
        <v>5114-Mtaint Dist Stn Equip</v>
      </c>
      <c r="B118" s="339">
        <f>'Trial Balance'!H303</f>
        <v>43623.78</v>
      </c>
    </row>
    <row r="119" spans="1:2" ht="15" customHeight="1">
      <c r="A119" s="25" t="str">
        <f>'Trial Balance'!A304&amp;"-"&amp;'Trial Balance'!B304</f>
        <v>5120-Maintenance of Poles, Towers and Fixtures</v>
      </c>
      <c r="B119" s="339">
        <f>'Trial Balance'!H304</f>
        <v>53602.25</v>
      </c>
    </row>
    <row r="120" spans="1:2" ht="15" customHeight="1">
      <c r="A120" s="25" t="str">
        <f>'Trial Balance'!A305&amp;"-"&amp;'Trial Balance'!B305</f>
        <v>5125-Maintenance of Overhead Conductors and Devices</v>
      </c>
      <c r="B120" s="339">
        <f>'Trial Balance'!H305</f>
        <v>116109.4</v>
      </c>
    </row>
    <row r="121" spans="1:2" ht="15" customHeight="1">
      <c r="A121" s="25" t="str">
        <f>'Trial Balance'!A306&amp;"-"&amp;'Trial Balance'!B306</f>
        <v>5130-Maintenance of Overhead Services</v>
      </c>
      <c r="B121" s="339">
        <f>'Trial Balance'!H306</f>
        <v>39236.31</v>
      </c>
    </row>
    <row r="122" spans="1:2" ht="15" customHeight="1">
      <c r="A122" s="25" t="str">
        <f>'Trial Balance'!A307&amp;"-"&amp;'Trial Balance'!B307</f>
        <v>5135-Overhead Distribution Lines and Feeders - Right of Way</v>
      </c>
      <c r="B122" s="339">
        <f>'Trial Balance'!H307</f>
        <v>44748.39</v>
      </c>
    </row>
    <row r="123" spans="1:2" ht="15" customHeight="1">
      <c r="A123" s="25" t="str">
        <f>'Trial Balance'!A308&amp;"-"&amp;'Trial Balance'!B308</f>
        <v>5145-Maintenance of Underground Conduit</v>
      </c>
      <c r="B123" s="339">
        <f>'Trial Balance'!H308</f>
        <v>1952.27</v>
      </c>
    </row>
    <row r="124" spans="1:2" ht="15" customHeight="1">
      <c r="A124" s="25" t="str">
        <f>'Trial Balance'!A309&amp;"-"&amp;'Trial Balance'!B309</f>
        <v>5150-Maintenance of Underground Conductors and Devices</v>
      </c>
      <c r="B124" s="339">
        <f>'Trial Balance'!H309</f>
        <v>12515.29</v>
      </c>
    </row>
    <row r="125" spans="1:2" ht="15" customHeight="1">
      <c r="A125" s="25" t="str">
        <f>'Trial Balance'!A310&amp;"-"&amp;'Trial Balance'!B310</f>
        <v>5155-Maintenance of Underground Services</v>
      </c>
      <c r="B125" s="339">
        <f>'Trial Balance'!H310</f>
        <v>19973.46</v>
      </c>
    </row>
    <row r="126" spans="1:2" ht="15" customHeight="1">
      <c r="A126" s="25" t="str">
        <f>'Trial Balance'!A311&amp;"-"&amp;'Trial Balance'!B311</f>
        <v>5160-Maintenance of Line Transformers</v>
      </c>
      <c r="B126" s="339">
        <f>'Trial Balance'!H311</f>
        <v>9211.68</v>
      </c>
    </row>
    <row r="127" spans="1:2" ht="15" customHeight="1">
      <c r="A127" s="25" t="str">
        <f>'Trial Balance'!A312&amp;"-"&amp;'Trial Balance'!B312</f>
        <v>5165-Maintenance of Street Lighting and Signal Systems</v>
      </c>
      <c r="B127" s="339">
        <f>'Trial Balance'!H312</f>
        <v>0</v>
      </c>
    </row>
    <row r="128" spans="1:2" ht="15" customHeight="1">
      <c r="A128" s="25" t="str">
        <f>'Trial Balance'!A313&amp;"-"&amp;'Trial Balance'!B313</f>
        <v>5170-Sentinel Lights - Labour</v>
      </c>
      <c r="B128" s="339">
        <f>'Trial Balance'!H313</f>
        <v>0</v>
      </c>
    </row>
    <row r="129" spans="1:2" ht="15" customHeight="1">
      <c r="A129" s="25" t="str">
        <f>'Trial Balance'!A314&amp;"-"&amp;'Trial Balance'!B314</f>
        <v>5172-Sentinel Lights - Materials and Expenses</v>
      </c>
      <c r="B129" s="339">
        <f>'Trial Balance'!H314</f>
        <v>0</v>
      </c>
    </row>
    <row r="130" spans="1:2" ht="15" customHeight="1">
      <c r="A130" s="25" t="str">
        <f>'Trial Balance'!A315&amp;"-"&amp;'Trial Balance'!B315</f>
        <v>5175-Maintenance of Meters</v>
      </c>
      <c r="B130" s="339">
        <f>'Trial Balance'!H315</f>
        <v>5435.63</v>
      </c>
    </row>
    <row r="131" spans="1:2" ht="15" customHeight="1">
      <c r="A131" s="25" t="str">
        <f>'Trial Balance'!A316&amp;"-"&amp;'Trial Balance'!B316</f>
        <v>5178-Customer Installations Expenses - Leased Property</v>
      </c>
      <c r="B131" s="339">
        <f>'Trial Balance'!H316</f>
        <v>0</v>
      </c>
    </row>
    <row r="132" spans="1:2" ht="15" customHeight="1" thickBot="1">
      <c r="A132" s="25" t="str">
        <f>'Trial Balance'!A317&amp;"-"&amp;'Trial Balance'!B317</f>
        <v>5195-Maintenance of Other Installations on Customer Premises</v>
      </c>
      <c r="B132" s="339">
        <f>'Trial Balance'!H317</f>
        <v>0</v>
      </c>
    </row>
    <row r="133" spans="1:2" ht="15" customHeight="1" thickBot="1">
      <c r="A133" s="30" t="s">
        <v>88</v>
      </c>
      <c r="B133" s="341">
        <f>SUM(B115:B132)</f>
        <v>346408.46</v>
      </c>
    </row>
    <row r="134" spans="1:2" s="18" customFormat="1" ht="15" customHeight="1">
      <c r="A134" s="538"/>
      <c r="B134" s="539"/>
    </row>
    <row r="135" spans="1:2" s="18" customFormat="1" ht="15" customHeight="1">
      <c r="A135" s="540" t="s">
        <v>89</v>
      </c>
      <c r="B135" s="541"/>
    </row>
    <row r="136" spans="1:2" ht="15" customHeight="1">
      <c r="A136" s="25" t="str">
        <f>'Trial Balance'!A323&amp;"-"&amp;'Trial Balance'!B323</f>
        <v>5305-Supervision</v>
      </c>
      <c r="B136" s="339">
        <f>'Trial Balance'!H323</f>
        <v>0</v>
      </c>
    </row>
    <row r="137" spans="1:2" ht="15" customHeight="1">
      <c r="A137" s="25" t="str">
        <f>'Trial Balance'!A324&amp;"-"&amp;'Trial Balance'!B324</f>
        <v>5310-Meter Reading Expense</v>
      </c>
      <c r="B137" s="339">
        <f>'Trial Balance'!H324</f>
        <v>68647.67</v>
      </c>
    </row>
    <row r="138" spans="1:2" ht="15" customHeight="1">
      <c r="A138" s="25" t="str">
        <f>'Trial Balance'!A325&amp;"-"&amp;'Trial Balance'!B325</f>
        <v>5315-Customer Billing</v>
      </c>
      <c r="B138" s="339">
        <f>'Trial Balance'!H325</f>
        <v>282861.7</v>
      </c>
    </row>
    <row r="139" spans="1:2" ht="15" customHeight="1">
      <c r="A139" s="25" t="str">
        <f>'Trial Balance'!A326&amp;"-"&amp;'Trial Balance'!B326</f>
        <v>5320-Collecting</v>
      </c>
      <c r="B139" s="339">
        <f>'Trial Balance'!H326</f>
        <v>35090.44</v>
      </c>
    </row>
    <row r="140" spans="1:2" ht="15" customHeight="1">
      <c r="A140" s="25" t="str">
        <f>'Trial Balance'!A327&amp;"-"&amp;'Trial Balance'!B327</f>
        <v>5325-Collecting - Cash Over and Short</v>
      </c>
      <c r="B140" s="339">
        <f>'Trial Balance'!H327</f>
        <v>-10.91</v>
      </c>
    </row>
    <row r="141" spans="1:2" ht="15" customHeight="1">
      <c r="A141" s="25" t="str">
        <f>'Trial Balance'!A328&amp;"-"&amp;'Trial Balance'!B328</f>
        <v>5330-Collection Charges</v>
      </c>
      <c r="B141" s="339">
        <f>'Trial Balance'!H328</f>
        <v>0</v>
      </c>
    </row>
    <row r="142" spans="1:2" ht="15" customHeight="1">
      <c r="A142" s="25" t="str">
        <f>'Trial Balance'!A329&amp;"-"&amp;'Trial Balance'!B329</f>
        <v>5335-Bad Debt Expense</v>
      </c>
      <c r="B142" s="339">
        <f>'Trial Balance'!H329</f>
        <v>36066.59</v>
      </c>
    </row>
    <row r="143" spans="1:2" ht="15" customHeight="1" thickBot="1">
      <c r="A143" s="25" t="str">
        <f>'Trial Balance'!A330&amp;"-"&amp;'Trial Balance'!B330</f>
        <v>5340-Miscellaneous Customer Accounts Expenses</v>
      </c>
      <c r="B143" s="339">
        <f>'Trial Balance'!H330</f>
        <v>0</v>
      </c>
    </row>
    <row r="144" spans="1:2" ht="15" customHeight="1" thickBot="1">
      <c r="A144" s="30" t="s">
        <v>97</v>
      </c>
      <c r="B144" s="341">
        <f>SUM(B136:B143)</f>
        <v>422655.49</v>
      </c>
    </row>
    <row r="145" spans="1:2" s="18" customFormat="1" ht="15" customHeight="1">
      <c r="A145" s="538"/>
      <c r="B145" s="539"/>
    </row>
    <row r="146" spans="1:2" s="18" customFormat="1" ht="15" customHeight="1">
      <c r="A146" s="540" t="s">
        <v>98</v>
      </c>
      <c r="B146" s="541"/>
    </row>
    <row r="147" spans="1:2" ht="15" customHeight="1">
      <c r="A147" s="25" t="str">
        <f>'Trial Balance'!A332&amp;"-"&amp;'Trial Balance'!B332</f>
        <v>5405-Supervision</v>
      </c>
      <c r="B147" s="339">
        <f>'Trial Balance'!H332</f>
        <v>0</v>
      </c>
    </row>
    <row r="148" spans="1:2" ht="15" customHeight="1">
      <c r="A148" s="25" t="str">
        <f>'Trial Balance'!A333&amp;"-"&amp;'Trial Balance'!B333</f>
        <v>5410-Community Relations - Sundry</v>
      </c>
      <c r="B148" s="339">
        <f>'Trial Balance'!H333</f>
        <v>450</v>
      </c>
    </row>
    <row r="149" spans="1:2" ht="15" customHeight="1">
      <c r="A149" s="25" t="str">
        <f>'Trial Balance'!A334&amp;"-"&amp;'Trial Balance'!B334</f>
        <v>5415-Energy Conservation</v>
      </c>
      <c r="B149" s="339">
        <f>'Trial Balance'!H334</f>
        <v>0</v>
      </c>
    </row>
    <row r="150" spans="1:2" ht="15" customHeight="1">
      <c r="A150" s="25" t="str">
        <f>'Trial Balance'!A335&amp;"-"&amp;'Trial Balance'!B335</f>
        <v>5420-Community Safety Program</v>
      </c>
      <c r="B150" s="339">
        <f>'Trial Balance'!H335</f>
        <v>0</v>
      </c>
    </row>
    <row r="151" spans="1:2" ht="15" customHeight="1" thickBot="1">
      <c r="A151" s="25" t="str">
        <f>'Trial Balance'!A336&amp;"-"&amp;'Trial Balance'!B336</f>
        <v>5425-Miscellaneous Customer Service and Informational Expenses</v>
      </c>
      <c r="B151" s="339">
        <f>'Trial Balance'!H336</f>
        <v>0</v>
      </c>
    </row>
    <row r="152" spans="1:2" ht="15" customHeight="1" thickBot="1">
      <c r="A152" s="30" t="s">
        <v>99</v>
      </c>
      <c r="B152" s="341">
        <f>SUM(B147:B151)</f>
        <v>450</v>
      </c>
    </row>
    <row r="153" spans="1:2" s="18" customFormat="1" ht="15" customHeight="1">
      <c r="A153" s="538"/>
      <c r="B153" s="539"/>
    </row>
    <row r="154" spans="1:2" s="18" customFormat="1" ht="15" customHeight="1">
      <c r="A154" s="540" t="s">
        <v>100</v>
      </c>
      <c r="B154" s="541"/>
    </row>
    <row r="155" spans="1:2" ht="15" customHeight="1">
      <c r="A155" s="25" t="str">
        <f>'Trial Balance'!A343&amp;"-"&amp;'Trial Balance'!B343</f>
        <v>5605-Executive Salaries and Expenses</v>
      </c>
      <c r="B155" s="339">
        <f>'Trial Balance'!H343</f>
        <v>0</v>
      </c>
    </row>
    <row r="156" spans="1:2" ht="15" customHeight="1">
      <c r="A156" s="25" t="str">
        <f>'Trial Balance'!A344&amp;"-"&amp;'Trial Balance'!B344</f>
        <v>5610-Management Salaries and Expenses</v>
      </c>
      <c r="B156" s="339">
        <f>'Trial Balance'!H344</f>
        <v>0</v>
      </c>
    </row>
    <row r="157" spans="1:2" ht="15" customHeight="1">
      <c r="A157" s="25" t="str">
        <f>'Trial Balance'!A345&amp;"-"&amp;'Trial Balance'!B345</f>
        <v>5615-General Administrative Salaries and Expenses</v>
      </c>
      <c r="B157" s="339">
        <f>'Trial Balance'!H345</f>
        <v>357418.29</v>
      </c>
    </row>
    <row r="158" spans="1:2" ht="15" customHeight="1">
      <c r="A158" s="25" t="str">
        <f>'Trial Balance'!A346&amp;"-"&amp;'Trial Balance'!B346</f>
        <v>5620-Office Supplies and Expenses</v>
      </c>
      <c r="B158" s="339">
        <f>'Trial Balance'!H346</f>
        <v>10529.3</v>
      </c>
    </row>
    <row r="159" spans="1:2" ht="15" customHeight="1">
      <c r="A159" s="25" t="str">
        <f>'Trial Balance'!A347&amp;"-"&amp;'Trial Balance'!B347</f>
        <v>5625-Administrative Expense Transferred-Credit</v>
      </c>
      <c r="B159" s="339">
        <f>'Trial Balance'!H347</f>
        <v>46446</v>
      </c>
    </row>
    <row r="160" spans="1:2" ht="15" customHeight="1">
      <c r="A160" s="25" t="str">
        <f>'Trial Balance'!A348&amp;"-"&amp;'Trial Balance'!B348</f>
        <v>5630-Outside Services Employed</v>
      </c>
      <c r="B160" s="339">
        <f>'Trial Balance'!H348</f>
        <v>59587.14</v>
      </c>
    </row>
    <row r="161" spans="1:2" ht="15" customHeight="1">
      <c r="A161" s="25" t="str">
        <f>'Trial Balance'!A349&amp;"-"&amp;'Trial Balance'!B349</f>
        <v>5635-Property Insurance</v>
      </c>
      <c r="B161" s="339">
        <f>'Trial Balance'!H349</f>
        <v>49844.54</v>
      </c>
    </row>
    <row r="162" spans="1:2" ht="15" customHeight="1">
      <c r="A162" s="25" t="str">
        <f>'Trial Balance'!A350&amp;"-"&amp;'Trial Balance'!B350</f>
        <v>5640-Injuries and Damages</v>
      </c>
      <c r="B162" s="339">
        <f>'Trial Balance'!H350</f>
        <v>0</v>
      </c>
    </row>
    <row r="163" spans="1:2" ht="15" customHeight="1">
      <c r="A163" s="25" t="str">
        <f>'Trial Balance'!A351&amp;"-"&amp;'Trial Balance'!B351</f>
        <v>5645-Employee Pensions and Benefits</v>
      </c>
      <c r="B163" s="339">
        <f>'Trial Balance'!H351</f>
        <v>0</v>
      </c>
    </row>
    <row r="164" spans="1:2" ht="15" customHeight="1">
      <c r="A164" s="25" t="str">
        <f>'Trial Balance'!A352&amp;"-"&amp;'Trial Balance'!B352</f>
        <v>5650-Franchise Requirements</v>
      </c>
      <c r="B164" s="339">
        <f>'Trial Balance'!H352</f>
        <v>0</v>
      </c>
    </row>
    <row r="165" spans="1:2" ht="15" customHeight="1">
      <c r="A165" s="25" t="str">
        <f>'Trial Balance'!A353&amp;"-"&amp;'Trial Balance'!B353</f>
        <v>5655-Regulatory Expenses</v>
      </c>
      <c r="B165" s="339">
        <f>'Trial Balance'!H353</f>
        <v>44991.87</v>
      </c>
    </row>
    <row r="166" spans="1:2" ht="15" customHeight="1">
      <c r="A166" s="25" t="str">
        <f>'Trial Balance'!A354&amp;"-"&amp;'Trial Balance'!B354</f>
        <v>5660-General Advertising Expenses</v>
      </c>
      <c r="B166" s="339">
        <f>'Trial Balance'!H354</f>
        <v>0</v>
      </c>
    </row>
    <row r="167" spans="1:2" ht="15" customHeight="1">
      <c r="A167" s="25" t="str">
        <f>'Trial Balance'!A355&amp;"-"&amp;'Trial Balance'!B355</f>
        <v>5665-Miscellaneous Expenses</v>
      </c>
      <c r="B167" s="339">
        <f>'Trial Balance'!H355</f>
        <v>91625.67</v>
      </c>
    </row>
    <row r="168" spans="1:2" ht="15" customHeight="1">
      <c r="A168" s="25" t="str">
        <f>'Trial Balance'!A356&amp;"-"&amp;'Trial Balance'!B356</f>
        <v>5670-Rent  </v>
      </c>
      <c r="B168" s="339">
        <f>'Trial Balance'!H356</f>
        <v>6945.85</v>
      </c>
    </row>
    <row r="169" spans="1:2" ht="15" customHeight="1">
      <c r="A169" s="25" t="str">
        <f>'Trial Balance'!A357&amp;"-"&amp;'Trial Balance'!B357</f>
        <v>5675-Maintenance of General Plant</v>
      </c>
      <c r="B169" s="339">
        <f>'Trial Balance'!H357</f>
        <v>24213.45</v>
      </c>
    </row>
    <row r="170" spans="1:2" ht="15" customHeight="1">
      <c r="A170" s="25" t="str">
        <f>'Trial Balance'!A358&amp;"-"&amp;'Trial Balance'!B358</f>
        <v>5680-Electrical Safety Authority Fees</v>
      </c>
      <c r="B170" s="339">
        <f>'Trial Balance'!H358</f>
        <v>3606.35</v>
      </c>
    </row>
    <row r="171" spans="1:2" ht="15" customHeight="1">
      <c r="A171" s="25" t="str">
        <f>'Trial Balance'!A359&amp;"-"&amp;'Trial Balance'!B359</f>
        <v>5681-Special Purpose Charge Expense</v>
      </c>
      <c r="B171" s="339">
        <f>'Trial Balance'!H359</f>
        <v>0</v>
      </c>
    </row>
    <row r="172" spans="1:2" ht="15" customHeight="1">
      <c r="A172" s="25" t="str">
        <f>'Trial Balance'!A360&amp;"-"&amp;'Trial Balance'!B360</f>
        <v>5685-Independent Market Operator Fees and Penalties</v>
      </c>
      <c r="B172" s="339">
        <f>'Trial Balance'!H360</f>
        <v>0</v>
      </c>
    </row>
    <row r="173" spans="1:2" ht="15" customHeight="1" thickBot="1">
      <c r="A173" s="25" t="str">
        <f>'Trial Balance'!A361&amp;"-"&amp;'Trial Balance'!B361</f>
        <v>5695-OM&amp;A Contra Account</v>
      </c>
      <c r="B173" s="339">
        <f>'Trial Balance'!H361</f>
        <v>0</v>
      </c>
    </row>
    <row r="174" spans="1:2" ht="15" customHeight="1" thickBot="1">
      <c r="A174" s="30" t="s">
        <v>76</v>
      </c>
      <c r="B174" s="341">
        <f>SUM(B155:B173)</f>
        <v>695208.46</v>
      </c>
    </row>
    <row r="175" spans="1:2" s="18" customFormat="1" ht="15" customHeight="1">
      <c r="A175" s="538"/>
      <c r="B175" s="539"/>
    </row>
    <row r="176" spans="1:2" s="18" customFormat="1" ht="15" customHeight="1">
      <c r="A176" s="540" t="s">
        <v>77</v>
      </c>
      <c r="B176" s="541"/>
    </row>
    <row r="177" spans="1:2" s="18" customFormat="1" ht="15" customHeight="1">
      <c r="A177" s="25" t="str">
        <f>'Trial Balance'!A363&amp;"-"&amp;'Trial Balance'!B363</f>
        <v>5705-Amortization Expense - Property, Plant and Equipment</v>
      </c>
      <c r="B177" s="339">
        <f>'Trial Balance'!H363</f>
        <v>379401.05433333333</v>
      </c>
    </row>
    <row r="178" spans="1:2" s="18" customFormat="1" ht="15" customHeight="1">
      <c r="A178" s="25" t="str">
        <f>'Trial Balance'!A364&amp;"-"&amp;'Trial Balance'!B364</f>
        <v>5710-Amortization of Limited Term Electric Plant</v>
      </c>
      <c r="B178" s="339">
        <f>'Trial Balance'!H364</f>
        <v>0</v>
      </c>
    </row>
    <row r="179" spans="1:2" s="18" customFormat="1" ht="15" customHeight="1">
      <c r="A179" s="25" t="str">
        <f>'Trial Balance'!A365&amp;"-"&amp;'Trial Balance'!B365</f>
        <v>5715-Amortization of Intangibles and Other Electric Plant</v>
      </c>
      <c r="B179" s="339">
        <f>'Trial Balance'!H365</f>
        <v>0</v>
      </c>
    </row>
    <row r="180" spans="1:2" s="18" customFormat="1" ht="15" customHeight="1">
      <c r="A180" s="25" t="str">
        <f>'Trial Balance'!A366&amp;"-"&amp;'Trial Balance'!B366</f>
        <v>5720-Amortization of Electric Plant Acquisition Adjustments</v>
      </c>
      <c r="B180" s="339">
        <f>'Trial Balance'!H366</f>
        <v>0</v>
      </c>
    </row>
    <row r="181" spans="1:2" s="18" customFormat="1" ht="15" customHeight="1">
      <c r="A181" s="25" t="str">
        <f>'Trial Balance'!A367&amp;"-"&amp;'Trial Balance'!B367</f>
        <v>5725-Miscellaneous Amortization</v>
      </c>
      <c r="B181" s="339">
        <f>'Trial Balance'!H367</f>
        <v>0</v>
      </c>
    </row>
    <row r="182" spans="1:2" s="18" customFormat="1" ht="15" customHeight="1">
      <c r="A182" s="25" t="str">
        <f>'Trial Balance'!A368&amp;"-"&amp;'Trial Balance'!B368</f>
        <v>5730-Amortization of Unrecovered Plant and Regulatory Study Costs</v>
      </c>
      <c r="B182" s="339">
        <f>'Trial Balance'!H368</f>
        <v>0</v>
      </c>
    </row>
    <row r="183" spans="1:2" s="18" customFormat="1" ht="15" customHeight="1">
      <c r="A183" s="25" t="str">
        <f>'Trial Balance'!A369&amp;"-"&amp;'Trial Balance'!B369</f>
        <v>5735-Amortization of Deferred Development Costs</v>
      </c>
      <c r="B183" s="339">
        <f>'Trial Balance'!H369</f>
        <v>0</v>
      </c>
    </row>
    <row r="184" spans="1:2" ht="15" customHeight="1" thickBot="1">
      <c r="A184" s="25" t="str">
        <f>'Trial Balance'!A370&amp;"-"&amp;'Trial Balance'!B370</f>
        <v>5740-Amortization of Deferred Charges</v>
      </c>
      <c r="B184" s="339">
        <f>'Trial Balance'!H370</f>
        <v>0</v>
      </c>
    </row>
    <row r="185" spans="1:2" ht="15" customHeight="1" thickBot="1">
      <c r="A185" s="30" t="s">
        <v>78</v>
      </c>
      <c r="B185" s="341">
        <f>SUM(B177:B184)</f>
        <v>379401.05433333333</v>
      </c>
    </row>
    <row r="186" spans="1:2" s="18" customFormat="1" ht="15" customHeight="1">
      <c r="A186" s="538"/>
      <c r="B186" s="539"/>
    </row>
    <row r="187" spans="1:2" s="18" customFormat="1" ht="15" customHeight="1">
      <c r="A187" s="540" t="s">
        <v>79</v>
      </c>
      <c r="B187" s="541"/>
    </row>
    <row r="188" spans="1:2" ht="15" customHeight="1">
      <c r="A188" s="25" t="str">
        <f>'Trial Balance'!A372&amp;"-"&amp;'Trial Balance'!B372</f>
        <v>6005-Interest on Long Term Debt</v>
      </c>
      <c r="B188" s="339">
        <f>'Trial Balance'!H372</f>
        <v>0</v>
      </c>
    </row>
    <row r="189" spans="1:2" ht="15" customHeight="1">
      <c r="A189" s="25" t="str">
        <f>'Trial Balance'!A373&amp;"-"&amp;'Trial Balance'!B373</f>
        <v>6010-Amortization of Debt Discount and Expense</v>
      </c>
      <c r="B189" s="339">
        <f>'Trial Balance'!H373</f>
        <v>0</v>
      </c>
    </row>
    <row r="190" spans="1:2" ht="15" customHeight="1">
      <c r="A190" s="25" t="str">
        <f>'Trial Balance'!A374&amp;"-"&amp;'Trial Balance'!B374</f>
        <v>6015-Amortization of Premium on Debt-Credit</v>
      </c>
      <c r="B190" s="339">
        <f>'Trial Balance'!H374</f>
        <v>0</v>
      </c>
    </row>
    <row r="191" spans="1:2" ht="15" customHeight="1">
      <c r="A191" s="25" t="str">
        <f>'Trial Balance'!A375&amp;"-"&amp;'Trial Balance'!B375</f>
        <v>6020-Amortization of Loss on Reacquired Debt</v>
      </c>
      <c r="B191" s="339">
        <f>'Trial Balance'!H375</f>
        <v>0</v>
      </c>
    </row>
    <row r="192" spans="1:2" ht="15" customHeight="1">
      <c r="A192" s="25" t="str">
        <f>'Trial Balance'!A376&amp;"-"&amp;'Trial Balance'!B376</f>
        <v>6025-Amortization of Gain on Reacquired Debt-Credit</v>
      </c>
      <c r="B192" s="339">
        <f>'Trial Balance'!H376</f>
        <v>0</v>
      </c>
    </row>
    <row r="193" spans="1:2" ht="15" customHeight="1">
      <c r="A193" s="25" t="str">
        <f>'Trial Balance'!A377&amp;"-"&amp;'Trial Balance'!B377</f>
        <v>6030-Interest on Debt to Associated Companies</v>
      </c>
      <c r="B193" s="339">
        <f>'Trial Balance'!H377</f>
        <v>58051.27</v>
      </c>
    </row>
    <row r="194" spans="1:2" ht="15" customHeight="1">
      <c r="A194" s="25" t="str">
        <f>'Trial Balance'!A378&amp;"-"&amp;'Trial Balance'!B378</f>
        <v>6035-Other Interest Expense</v>
      </c>
      <c r="B194" s="339">
        <f>'Trial Balance'!H378</f>
        <v>42128.3</v>
      </c>
    </row>
    <row r="195" spans="1:2" ht="15" customHeight="1">
      <c r="A195" s="25" t="str">
        <f>'Trial Balance'!A379&amp;"-"&amp;'Trial Balance'!B379</f>
        <v>6040-Allowance for Borrowed Funds Used During Construction-Credit</v>
      </c>
      <c r="B195" s="339">
        <f>'Trial Balance'!H379</f>
        <v>0</v>
      </c>
    </row>
    <row r="196" spans="1:2" ht="15" customHeight="1">
      <c r="A196" s="25" t="str">
        <f>'Trial Balance'!A380&amp;"-"&amp;'Trial Balance'!B380</f>
        <v>6042-Allowance for Other Funds Used During Construction</v>
      </c>
      <c r="B196" s="339">
        <f>'Trial Balance'!H380</f>
        <v>0</v>
      </c>
    </row>
    <row r="197" spans="1:2" ht="15" customHeight="1" thickBot="1">
      <c r="A197" s="25" t="str">
        <f>'Trial Balance'!A381&amp;"-"&amp;'Trial Balance'!B381</f>
        <v>6045-Interest Expense on Capital Lease Obligations</v>
      </c>
      <c r="B197" s="339">
        <f>'Trial Balance'!H381</f>
        <v>0</v>
      </c>
    </row>
    <row r="198" spans="1:2" ht="15" customHeight="1" thickBot="1">
      <c r="A198" s="30" t="s">
        <v>521</v>
      </c>
      <c r="B198" s="341">
        <f>SUM(B188:B197)</f>
        <v>100179.57</v>
      </c>
    </row>
    <row r="199" spans="1:2" s="18" customFormat="1" ht="15" customHeight="1">
      <c r="A199" s="538"/>
      <c r="B199" s="539"/>
    </row>
    <row r="200" spans="1:2" s="18" customFormat="1" ht="15" customHeight="1">
      <c r="A200" s="540" t="s">
        <v>522</v>
      </c>
      <c r="B200" s="541"/>
    </row>
    <row r="201" spans="1:2" ht="15" customHeight="1" thickBot="1">
      <c r="A201" s="25" t="str">
        <f>'Trial Balance'!A383&amp;"-"&amp;'Trial Balance'!B383</f>
        <v>6105-Taxes Other Than Income Taxes</v>
      </c>
      <c r="B201" s="339">
        <f>'Trial Balance'!H383</f>
        <v>21558.3</v>
      </c>
    </row>
    <row r="202" spans="1:2" ht="15" customHeight="1" thickBot="1">
      <c r="A202" s="30" t="s">
        <v>525</v>
      </c>
      <c r="B202" s="341">
        <f>SUM(B201)</f>
        <v>21558.3</v>
      </c>
    </row>
    <row r="203" spans="1:2" s="18" customFormat="1" ht="15" customHeight="1">
      <c r="A203" s="538"/>
      <c r="B203" s="539"/>
    </row>
    <row r="204" spans="1:2" s="18" customFormat="1" ht="15" customHeight="1">
      <c r="A204" s="540" t="s">
        <v>526</v>
      </c>
      <c r="B204" s="541"/>
    </row>
    <row r="205" spans="1:2" ht="15" customHeight="1">
      <c r="A205" s="25" t="str">
        <f>'Trial Balance'!A384&amp;"-"&amp;'Trial Balance'!B384</f>
        <v>6110-Income Taxes</v>
      </c>
      <c r="B205" s="339">
        <f>'Trial Balance'!H384</f>
        <v>-1414</v>
      </c>
    </row>
    <row r="206" spans="1:2" ht="15" customHeight="1" thickBot="1">
      <c r="A206" s="25" t="str">
        <f>'Trial Balance'!A385&amp;"-"&amp;'Trial Balance'!B385</f>
        <v>6115-Provision for Future Income Taxes</v>
      </c>
      <c r="B206" s="339">
        <f>'Trial Balance'!H385</f>
        <v>0</v>
      </c>
    </row>
    <row r="207" spans="1:2" ht="15" customHeight="1" thickBot="1">
      <c r="A207" s="30" t="s">
        <v>527</v>
      </c>
      <c r="B207" s="341">
        <f>SUM(B205:B206)</f>
        <v>-1414</v>
      </c>
    </row>
    <row r="208" spans="1:2" s="18" customFormat="1" ht="15" customHeight="1">
      <c r="A208" s="538"/>
      <c r="B208" s="539"/>
    </row>
    <row r="209" spans="1:2" s="18" customFormat="1" ht="15" customHeight="1">
      <c r="A209" s="540" t="s">
        <v>508</v>
      </c>
      <c r="B209" s="541"/>
    </row>
    <row r="210" spans="1:2" ht="15" customHeight="1">
      <c r="A210" s="25" t="str">
        <f>'Trial Balance'!A387&amp;"-"&amp;'Trial Balance'!B387</f>
        <v>6205-Donations</v>
      </c>
      <c r="B210" s="339">
        <f>'Trial Balance'!H387</f>
        <v>0</v>
      </c>
    </row>
    <row r="211" spans="1:2" ht="15" customHeight="1">
      <c r="A211" s="25" t="str">
        <f>'Trial Balance'!A388&amp;"-"&amp;'Trial Balance'!B388</f>
        <v>6210-Life Insurance</v>
      </c>
      <c r="B211" s="339">
        <f>'Trial Balance'!H388</f>
        <v>0</v>
      </c>
    </row>
    <row r="212" spans="1:2" ht="15" customHeight="1">
      <c r="A212" s="25" t="str">
        <f>'Trial Balance'!A389&amp;"-"&amp;'Trial Balance'!B389</f>
        <v>6215-Penalties</v>
      </c>
      <c r="B212" s="339">
        <f>'Trial Balance'!H389</f>
        <v>0</v>
      </c>
    </row>
    <row r="213" spans="1:7" ht="15" customHeight="1" thickBot="1">
      <c r="A213" s="25" t="str">
        <f>'Trial Balance'!A390&amp;"-"&amp;'Trial Balance'!B390</f>
        <v>6225-Other Deductions</v>
      </c>
      <c r="B213" s="339">
        <f>'Trial Balance'!H390</f>
        <v>0</v>
      </c>
      <c r="D213" s="10"/>
      <c r="E213" s="10"/>
      <c r="F213" s="10"/>
      <c r="G213" s="10"/>
    </row>
    <row r="214" spans="1:2" ht="15" customHeight="1" thickBot="1">
      <c r="A214" s="30" t="s">
        <v>509</v>
      </c>
      <c r="B214" s="341">
        <f>SUM(B210:B213)</f>
        <v>0</v>
      </c>
    </row>
    <row r="215" spans="1:7" s="10" customFormat="1" ht="15" customHeight="1" thickBot="1">
      <c r="A215" s="538"/>
      <c r="B215" s="539"/>
      <c r="D215"/>
      <c r="E215"/>
      <c r="F215"/>
      <c r="G215"/>
    </row>
    <row r="216" spans="1:2" ht="18.75" customHeight="1" thickBot="1">
      <c r="A216" s="31" t="s">
        <v>776</v>
      </c>
      <c r="B216" s="342">
        <f>B24+B31+B43+B67+B72+B86+B112+B133+B144+B152+B174+B185+B198+B202+B207+B214</f>
        <v>-82893.75566666752</v>
      </c>
    </row>
    <row r="217" spans="1:2" ht="15">
      <c r="A217" s="9"/>
      <c r="B217" s="343"/>
    </row>
    <row r="218" spans="1:2" ht="15">
      <c r="A218" s="9"/>
      <c r="B218" s="343">
        <v>-0.332957973703742</v>
      </c>
    </row>
    <row r="219" spans="1:2" ht="15">
      <c r="A219" s="9" t="s">
        <v>865</v>
      </c>
      <c r="B219" s="343">
        <f>B216-B207</f>
        <v>-81479.75566666752</v>
      </c>
    </row>
    <row r="220" spans="1:2" ht="15">
      <c r="A220" s="9"/>
      <c r="B220" s="343"/>
    </row>
    <row r="221" spans="1:2" ht="15">
      <c r="A221" s="9" t="s">
        <v>881</v>
      </c>
      <c r="B221" s="437">
        <f>'FA Continuity 2010'!J17</f>
        <v>118840.6443333333</v>
      </c>
    </row>
    <row r="222" spans="1:2" ht="15">
      <c r="A222" s="9" t="s">
        <v>882</v>
      </c>
      <c r="B222" s="343">
        <f>B216-B221</f>
        <v>-201734.40000000084</v>
      </c>
    </row>
    <row r="223" spans="1:2" ht="15">
      <c r="A223" s="9"/>
      <c r="B223" s="343"/>
    </row>
    <row r="224" spans="1:2" ht="15">
      <c r="A224" s="9"/>
      <c r="B224" s="343"/>
    </row>
    <row r="225" spans="1:2" ht="15">
      <c r="A225" s="9"/>
      <c r="B225" s="343"/>
    </row>
    <row r="226" spans="1:2" ht="15">
      <c r="A226" s="9"/>
      <c r="B226" s="343"/>
    </row>
    <row r="227" spans="1:2" ht="15">
      <c r="A227" s="9"/>
      <c r="B227" s="343"/>
    </row>
    <row r="228" spans="1:2" ht="15">
      <c r="A228" s="9"/>
      <c r="B228" s="343"/>
    </row>
    <row r="229" spans="1:2" ht="15">
      <c r="A229" s="9"/>
      <c r="B229" s="343"/>
    </row>
    <row r="230" spans="1:2" ht="15">
      <c r="A230" s="9"/>
      <c r="B230" s="343"/>
    </row>
    <row r="231" spans="1:2" ht="15">
      <c r="A231" s="9"/>
      <c r="B231" s="343"/>
    </row>
    <row r="232" spans="1:2" ht="15">
      <c r="A232" s="9"/>
      <c r="B232" s="343"/>
    </row>
    <row r="233" spans="1:2" ht="15">
      <c r="A233" s="9"/>
      <c r="B233" s="343"/>
    </row>
    <row r="234" spans="1:2" ht="15">
      <c r="A234" s="9"/>
      <c r="B234" s="343"/>
    </row>
    <row r="235" spans="1:2" ht="15">
      <c r="A235" s="9"/>
      <c r="B235" s="343"/>
    </row>
    <row r="236" spans="1:2" ht="15">
      <c r="A236" s="9"/>
      <c r="B236" s="343"/>
    </row>
    <row r="237" spans="1:2" ht="15">
      <c r="A237" s="9"/>
      <c r="B237" s="343"/>
    </row>
    <row r="238" spans="1:2" ht="15">
      <c r="A238" s="9"/>
      <c r="B238" s="343"/>
    </row>
    <row r="239" spans="1:2" ht="15">
      <c r="A239" s="9"/>
      <c r="B239" s="343"/>
    </row>
    <row r="240" spans="1:2" ht="15">
      <c r="A240" s="9"/>
      <c r="B240" s="343"/>
    </row>
    <row r="241" spans="1:2" ht="15">
      <c r="A241" s="9"/>
      <c r="B241" s="343"/>
    </row>
    <row r="242" spans="1:2" ht="15">
      <c r="A242" s="9"/>
      <c r="B242" s="343"/>
    </row>
    <row r="243" spans="1:2" ht="15">
      <c r="A243" s="9"/>
      <c r="B243" s="343"/>
    </row>
    <row r="244" spans="1:2" ht="15">
      <c r="A244" s="9"/>
      <c r="B244" s="343"/>
    </row>
    <row r="245" spans="1:2" ht="15">
      <c r="A245" s="9"/>
      <c r="B245" s="343"/>
    </row>
    <row r="246" spans="1:2" ht="15">
      <c r="A246" s="9"/>
      <c r="B246" s="343"/>
    </row>
    <row r="247" spans="1:2" ht="15">
      <c r="A247" s="9"/>
      <c r="B247" s="343"/>
    </row>
    <row r="248" spans="1:2" ht="15">
      <c r="A248" s="9"/>
      <c r="B248" s="343"/>
    </row>
    <row r="249" spans="1:2" ht="15">
      <c r="A249" s="9"/>
      <c r="B249" s="343"/>
    </row>
    <row r="250" spans="1:2" ht="15">
      <c r="A250" s="9"/>
      <c r="B250" s="343"/>
    </row>
    <row r="251" spans="1:2" ht="15">
      <c r="A251" s="9"/>
      <c r="B251" s="343"/>
    </row>
    <row r="252" spans="1:2" ht="15">
      <c r="A252" s="9"/>
      <c r="B252" s="343"/>
    </row>
    <row r="253" spans="1:2" ht="15">
      <c r="A253" s="9"/>
      <c r="B253" s="343"/>
    </row>
    <row r="254" spans="1:2" ht="15">
      <c r="A254" s="9"/>
      <c r="B254" s="343"/>
    </row>
    <row r="255" spans="1:2" ht="15">
      <c r="A255" s="9"/>
      <c r="B255" s="343"/>
    </row>
    <row r="256" spans="1:2" ht="15">
      <c r="A256" s="9"/>
      <c r="B256" s="343"/>
    </row>
    <row r="257" spans="1:2" ht="15">
      <c r="A257" s="9"/>
      <c r="B257" s="343"/>
    </row>
    <row r="258" spans="1:2" ht="15">
      <c r="A258" s="9"/>
      <c r="B258" s="343"/>
    </row>
    <row r="259" spans="1:2" ht="15">
      <c r="A259" s="9"/>
      <c r="B259" s="343"/>
    </row>
    <row r="260" spans="1:2" ht="15">
      <c r="A260" s="9"/>
      <c r="B260" s="343"/>
    </row>
    <row r="261" spans="1:2" ht="15">
      <c r="A261" s="9"/>
      <c r="B261" s="343"/>
    </row>
    <row r="262" spans="1:2" ht="15">
      <c r="A262" s="9"/>
      <c r="B262" s="343"/>
    </row>
    <row r="263" spans="1:2" ht="15">
      <c r="A263" s="9"/>
      <c r="B263" s="343"/>
    </row>
    <row r="264" spans="1:2" ht="15">
      <c r="A264" s="9"/>
      <c r="B264" s="343"/>
    </row>
    <row r="265" spans="1:2" ht="15">
      <c r="A265" s="9"/>
      <c r="B265" s="343"/>
    </row>
    <row r="266" spans="1:2" ht="15">
      <c r="A266" s="9"/>
      <c r="B266" s="343"/>
    </row>
    <row r="267" spans="1:2" ht="15">
      <c r="A267" s="9"/>
      <c r="B267" s="343"/>
    </row>
    <row r="268" spans="1:2" ht="15">
      <c r="A268" s="9"/>
      <c r="B268" s="343"/>
    </row>
    <row r="269" spans="1:2" ht="15">
      <c r="A269" s="9"/>
      <c r="B269" s="343"/>
    </row>
    <row r="270" spans="1:2" ht="15">
      <c r="A270" s="9"/>
      <c r="B270" s="343"/>
    </row>
    <row r="271" spans="1:2" ht="15">
      <c r="A271" s="9"/>
      <c r="B271" s="343"/>
    </row>
    <row r="272" spans="1:2" ht="15">
      <c r="A272" s="9"/>
      <c r="B272" s="343"/>
    </row>
    <row r="273" spans="1:2" ht="15">
      <c r="A273" s="9"/>
      <c r="B273" s="343"/>
    </row>
    <row r="274" spans="1:2" ht="15">
      <c r="A274" s="9"/>
      <c r="B274" s="343"/>
    </row>
    <row r="275" spans="1:2" ht="15">
      <c r="A275" s="9"/>
      <c r="B275" s="343"/>
    </row>
    <row r="276" spans="1:2" ht="15">
      <c r="A276" s="9"/>
      <c r="B276" s="343"/>
    </row>
    <row r="277" spans="1:2" ht="15">
      <c r="A277" s="9"/>
      <c r="B277" s="343"/>
    </row>
    <row r="278" spans="1:2" ht="15">
      <c r="A278" s="9"/>
      <c r="B278" s="343"/>
    </row>
    <row r="279" spans="1:2" ht="15">
      <c r="A279" s="9"/>
      <c r="B279" s="343"/>
    </row>
    <row r="280" spans="1:2" ht="15">
      <c r="A280" s="9"/>
      <c r="B280" s="343"/>
    </row>
    <row r="281" spans="1:2" ht="15">
      <c r="A281" s="9"/>
      <c r="B281" s="343"/>
    </row>
    <row r="282" spans="1:2" ht="15">
      <c r="A282" s="9"/>
      <c r="B282" s="343"/>
    </row>
    <row r="283" spans="1:2" ht="15">
      <c r="A283" s="9"/>
      <c r="B283" s="343"/>
    </row>
    <row r="284" spans="1:2" ht="15">
      <c r="A284" s="9"/>
      <c r="B284" s="343"/>
    </row>
    <row r="285" spans="1:2" ht="15">
      <c r="A285" s="9"/>
      <c r="B285" s="343"/>
    </row>
    <row r="286" spans="1:2" ht="15">
      <c r="A286" s="9"/>
      <c r="B286" s="343"/>
    </row>
    <row r="287" spans="1:2" ht="15">
      <c r="A287" s="9"/>
      <c r="B287" s="343"/>
    </row>
    <row r="288" spans="1:2" ht="15">
      <c r="A288" s="9"/>
      <c r="B288" s="343"/>
    </row>
    <row r="289" spans="1:2" ht="15">
      <c r="A289" s="9"/>
      <c r="B289" s="343"/>
    </row>
    <row r="290" spans="1:2" ht="15">
      <c r="A290" s="9"/>
      <c r="B290" s="343"/>
    </row>
    <row r="291" spans="1:2" ht="15">
      <c r="A291" s="9"/>
      <c r="B291" s="343"/>
    </row>
    <row r="292" spans="1:2" ht="15">
      <c r="A292" s="9"/>
      <c r="B292" s="343"/>
    </row>
    <row r="293" spans="1:2" ht="15">
      <c r="A293" s="9"/>
      <c r="B293" s="343"/>
    </row>
    <row r="294" spans="1:2" ht="15">
      <c r="A294" s="9"/>
      <c r="B294" s="343"/>
    </row>
    <row r="295" spans="1:2" ht="15">
      <c r="A295" s="9"/>
      <c r="B295" s="343"/>
    </row>
    <row r="296" spans="1:2" ht="15">
      <c r="A296" s="9"/>
      <c r="B296" s="343"/>
    </row>
    <row r="297" spans="1:2" ht="15">
      <c r="A297" s="9"/>
      <c r="B297" s="343"/>
    </row>
    <row r="298" spans="1:2" ht="15">
      <c r="A298" s="9"/>
      <c r="B298" s="343"/>
    </row>
    <row r="299" spans="1:2" ht="15">
      <c r="A299" s="9"/>
      <c r="B299" s="343"/>
    </row>
    <row r="300" spans="1:2" ht="15">
      <c r="A300" s="9"/>
      <c r="B300" s="343"/>
    </row>
    <row r="301" spans="1:2" ht="15">
      <c r="A301" s="9"/>
      <c r="B301" s="343"/>
    </row>
    <row r="302" spans="1:2" ht="15">
      <c r="A302" s="9"/>
      <c r="B302" s="343"/>
    </row>
    <row r="303" spans="1:2" ht="15">
      <c r="A303" s="9"/>
      <c r="B303" s="343"/>
    </row>
    <row r="304" spans="1:2" ht="15">
      <c r="A304" s="9"/>
      <c r="B304" s="343"/>
    </row>
    <row r="305" spans="1:2" ht="15">
      <c r="A305" s="9"/>
      <c r="B305" s="343"/>
    </row>
    <row r="306" spans="1:2" ht="15">
      <c r="A306" s="9"/>
      <c r="B306" s="343"/>
    </row>
    <row r="307" spans="1:2" ht="15">
      <c r="A307" s="9"/>
      <c r="B307" s="343"/>
    </row>
    <row r="308" spans="1:2" ht="15">
      <c r="A308" s="9"/>
      <c r="B308" s="343"/>
    </row>
    <row r="309" spans="1:2" ht="15">
      <c r="A309" s="9"/>
      <c r="B309" s="343"/>
    </row>
    <row r="310" spans="1:2" ht="15">
      <c r="A310" s="9"/>
      <c r="B310" s="343"/>
    </row>
    <row r="311" spans="1:2" ht="15">
      <c r="A311" s="9"/>
      <c r="B311" s="343"/>
    </row>
    <row r="312" spans="1:2" ht="15">
      <c r="A312" s="9"/>
      <c r="B312" s="343"/>
    </row>
    <row r="313" spans="1:2" ht="15">
      <c r="A313" s="9"/>
      <c r="B313" s="343"/>
    </row>
    <row r="314" spans="1:2" ht="15">
      <c r="A314" s="9"/>
      <c r="B314" s="343"/>
    </row>
    <row r="315" spans="1:2" ht="15">
      <c r="A315" s="9"/>
      <c r="B315" s="343"/>
    </row>
    <row r="316" spans="1:2" ht="15">
      <c r="A316" s="9"/>
      <c r="B316" s="343"/>
    </row>
    <row r="317" spans="1:2" ht="15">
      <c r="A317" s="9"/>
      <c r="B317" s="343"/>
    </row>
    <row r="318" spans="1:2" ht="15">
      <c r="A318" s="9"/>
      <c r="B318" s="343"/>
    </row>
    <row r="319" spans="1:2" ht="15">
      <c r="A319" s="9"/>
      <c r="B319" s="343"/>
    </row>
    <row r="320" spans="1:2" ht="15">
      <c r="A320" s="9"/>
      <c r="B320" s="343"/>
    </row>
    <row r="321" spans="1:2" ht="15">
      <c r="A321" s="9"/>
      <c r="B321" s="343"/>
    </row>
    <row r="322" spans="1:2" ht="15">
      <c r="A322" s="9"/>
      <c r="B322" s="343"/>
    </row>
    <row r="323" spans="1:2" ht="15">
      <c r="A323" s="9"/>
      <c r="B323" s="343"/>
    </row>
    <row r="324" spans="1:2" ht="15">
      <c r="A324" s="9"/>
      <c r="B324" s="343"/>
    </row>
    <row r="325" spans="1:2" ht="15">
      <c r="A325" s="9"/>
      <c r="B325" s="343"/>
    </row>
    <row r="326" spans="1:2" ht="15">
      <c r="A326" s="9"/>
      <c r="B326" s="343"/>
    </row>
    <row r="327" spans="1:2" ht="15">
      <c r="A327" s="9"/>
      <c r="B327" s="343"/>
    </row>
    <row r="328" spans="1:2" ht="15">
      <c r="A328" s="9"/>
      <c r="B328" s="343"/>
    </row>
    <row r="329" spans="1:2" ht="15">
      <c r="A329" s="9"/>
      <c r="B329" s="343"/>
    </row>
    <row r="330" spans="1:2" ht="15">
      <c r="A330" s="9"/>
      <c r="B330" s="343"/>
    </row>
    <row r="331" spans="1:2" ht="15">
      <c r="A331" s="9"/>
      <c r="B331" s="343"/>
    </row>
    <row r="332" spans="1:2" ht="15">
      <c r="A332" s="9"/>
      <c r="B332" s="343"/>
    </row>
  </sheetData>
  <sheetProtection/>
  <mergeCells count="36">
    <mergeCell ref="A215:B215"/>
    <mergeCell ref="A203:B203"/>
    <mergeCell ref="A204:B204"/>
    <mergeCell ref="A208:B208"/>
    <mergeCell ref="A209:B209"/>
    <mergeCell ref="A186:B186"/>
    <mergeCell ref="A187:B187"/>
    <mergeCell ref="A199:B199"/>
    <mergeCell ref="A200:B200"/>
    <mergeCell ref="A114:B114"/>
    <mergeCell ref="A153:B153"/>
    <mergeCell ref="A175:B175"/>
    <mergeCell ref="A176:B176"/>
    <mergeCell ref="A146:B146"/>
    <mergeCell ref="A135:B135"/>
    <mergeCell ref="A154:B154"/>
    <mergeCell ref="A134:B134"/>
    <mergeCell ref="A145:B145"/>
    <mergeCell ref="A74:B74"/>
    <mergeCell ref="A87:B87"/>
    <mergeCell ref="A88:B88"/>
    <mergeCell ref="A113:B113"/>
    <mergeCell ref="A25:B25"/>
    <mergeCell ref="A26:B26"/>
    <mergeCell ref="A32:B32"/>
    <mergeCell ref="A33:B33"/>
    <mergeCell ref="A44:B44"/>
    <mergeCell ref="A68:B68"/>
    <mergeCell ref="A1:B1"/>
    <mergeCell ref="A2:B2"/>
    <mergeCell ref="A69:B69"/>
    <mergeCell ref="A73:B73"/>
    <mergeCell ref="A45:B45"/>
    <mergeCell ref="A3:B3"/>
    <mergeCell ref="A4:B4"/>
    <mergeCell ref="A6:B6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Footer>&amp;L&amp;A</oddFooter>
  </headerFooter>
  <rowBreaks count="5" manualBreakCount="5">
    <brk id="44" max="255" man="1"/>
    <brk id="87" max="255" man="1"/>
    <brk id="113" max="255" man="1"/>
    <brk id="153" max="255" man="1"/>
    <brk id="18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B350"/>
  <sheetViews>
    <sheetView showGridLines="0" zoomScalePageLayoutView="0" workbookViewId="0" topLeftCell="A1">
      <selection activeCell="B62" sqref="B62"/>
    </sheetView>
  </sheetViews>
  <sheetFormatPr defaultColWidth="9.140625" defaultRowHeight="12.75"/>
  <cols>
    <col min="1" max="1" width="73.28125" style="24" customWidth="1"/>
    <col min="2" max="2" width="20.8515625" style="354" customWidth="1"/>
  </cols>
  <sheetData>
    <row r="1" spans="1:2" ht="12.75">
      <c r="A1" s="519" t="str">
        <f>'Trial Balance'!A1:F1</f>
        <v>Rideau St. Lawrence Distribution Inc.</v>
      </c>
      <c r="B1" s="519"/>
    </row>
    <row r="2" spans="1:2" ht="12.75">
      <c r="A2" s="519" t="str">
        <f>'Trial Balance'!A2:F2</f>
        <v> License Number ED-2003-0003, File Number EB-2011-0274</v>
      </c>
      <c r="B2" s="519"/>
    </row>
    <row r="3" spans="1:2" ht="15.75">
      <c r="A3" s="537" t="str">
        <f>Notes!B4</f>
        <v>Rideau St. Lawrence Distribution Inc.</v>
      </c>
      <c r="B3" s="537"/>
    </row>
    <row r="4" spans="1:2" ht="15.75">
      <c r="A4" s="537" t="s">
        <v>823</v>
      </c>
      <c r="B4" s="537"/>
    </row>
    <row r="5" spans="1:2" ht="15" customHeight="1">
      <c r="A5" s="62" t="s">
        <v>510</v>
      </c>
      <c r="B5" s="344" t="s">
        <v>150</v>
      </c>
    </row>
    <row r="6" spans="1:2" s="18" customFormat="1" ht="15" customHeight="1">
      <c r="A6" s="535" t="s">
        <v>145</v>
      </c>
      <c r="B6" s="535"/>
    </row>
    <row r="7" spans="1:2" ht="15" customHeight="1">
      <c r="A7" s="25" t="str">
        <f>'Trial Balance'!A8&amp;"-"&amp;'Trial Balance'!B8</f>
        <v>1005-Cash</v>
      </c>
      <c r="B7" s="345">
        <f>'Trial Balance'!J8</f>
        <v>650000</v>
      </c>
    </row>
    <row r="8" spans="1:2" ht="15" customHeight="1">
      <c r="A8" s="25" t="str">
        <f>'Trial Balance'!A9&amp;"-"&amp;'Trial Balance'!B9</f>
        <v>1010-Cash Advances and Working Funds</v>
      </c>
      <c r="B8" s="345">
        <f>'Trial Balance'!J9</f>
        <v>950</v>
      </c>
    </row>
    <row r="9" spans="1:2" ht="15" customHeight="1">
      <c r="A9" s="25" t="str">
        <f>'Trial Balance'!A10&amp;"-"&amp;'Trial Balance'!B10</f>
        <v>1020-Interest Special Deposits</v>
      </c>
      <c r="B9" s="345">
        <f>'Trial Balance'!J10</f>
        <v>0</v>
      </c>
    </row>
    <row r="10" spans="1:2" ht="15" customHeight="1">
      <c r="A10" s="25" t="str">
        <f>'Trial Balance'!A11&amp;"-"&amp;'Trial Balance'!B11</f>
        <v>1030-Dividend Special Deposits</v>
      </c>
      <c r="B10" s="345">
        <f>'Trial Balance'!J11</f>
        <v>0</v>
      </c>
    </row>
    <row r="11" spans="1:2" ht="15" customHeight="1">
      <c r="A11" s="25" t="str">
        <f>'Trial Balance'!A12&amp;"-"&amp;'Trial Balance'!B12</f>
        <v>1040-Other Special Deposits</v>
      </c>
      <c r="B11" s="345">
        <f>'Trial Balance'!J12</f>
        <v>0</v>
      </c>
    </row>
    <row r="12" spans="1:2" ht="15" customHeight="1">
      <c r="A12" s="25" t="str">
        <f>'Trial Balance'!A13&amp;"-"&amp;'Trial Balance'!B13</f>
        <v>1060-Term Deposits</v>
      </c>
      <c r="B12" s="345">
        <f>'Trial Balance'!J13</f>
        <v>8447</v>
      </c>
    </row>
    <row r="13" spans="1:2" ht="15" customHeight="1">
      <c r="A13" s="25" t="str">
        <f>'Trial Balance'!A14&amp;"-"&amp;'Trial Balance'!B14</f>
        <v>1070-Current Investments</v>
      </c>
      <c r="B13" s="345">
        <f>'Trial Balance'!J14</f>
        <v>0</v>
      </c>
    </row>
    <row r="14" spans="1:2" ht="15" customHeight="1">
      <c r="A14" s="25" t="str">
        <f>'Trial Balance'!A15&amp;"-"&amp;'Trial Balance'!B15</f>
        <v>1100-Customer Accounts Receivable</v>
      </c>
      <c r="B14" s="345">
        <f>'Trial Balance'!J15</f>
        <v>1000000</v>
      </c>
    </row>
    <row r="15" spans="1:2" ht="15" customHeight="1">
      <c r="A15" s="25" t="str">
        <f>'Trial Balance'!A16&amp;"-"&amp;'Trial Balance'!B16</f>
        <v>1102-Accounts Receivable - Services</v>
      </c>
      <c r="B15" s="345">
        <f>'Trial Balance'!J16</f>
        <v>70000</v>
      </c>
    </row>
    <row r="16" spans="1:2" ht="15" customHeight="1">
      <c r="A16" s="25" t="str">
        <f>'Trial Balance'!A17&amp;"-"&amp;'Trial Balance'!B17</f>
        <v>1104-Accounts Receivable - Recoverable Work</v>
      </c>
      <c r="B16" s="345">
        <f>'Trial Balance'!J17</f>
        <v>0</v>
      </c>
    </row>
    <row r="17" spans="1:2" ht="15" customHeight="1">
      <c r="A17" s="25" t="str">
        <f>'Trial Balance'!A18&amp;"-"&amp;'Trial Balance'!B18</f>
        <v>1105-Accounts Receivable - Merchandise, Jobbing, etc.</v>
      </c>
      <c r="B17" s="345">
        <f>'Trial Balance'!J18</f>
        <v>0</v>
      </c>
    </row>
    <row r="18" spans="1:2" ht="15" customHeight="1">
      <c r="A18" s="25" t="str">
        <f>'Trial Balance'!A19&amp;"-"&amp;'Trial Balance'!B19</f>
        <v>1110-Other Accounts Receivable</v>
      </c>
      <c r="B18" s="345">
        <f>'Trial Balance'!J19</f>
        <v>60000</v>
      </c>
    </row>
    <row r="19" spans="1:2" ht="15" customHeight="1">
      <c r="A19" s="25" t="str">
        <f>'Trial Balance'!A20&amp;"-"&amp;'Trial Balance'!B20</f>
        <v>1120-Accrued Utility Revenues</v>
      </c>
      <c r="B19" s="345">
        <f>'Trial Balance'!J20</f>
        <v>1400000</v>
      </c>
    </row>
    <row r="20" spans="1:2" ht="15" customHeight="1">
      <c r="A20" s="25" t="str">
        <f>'Trial Balance'!A21&amp;"-"&amp;'Trial Balance'!B21</f>
        <v>1130-Accumulated Provision for Uncollectable Accounts -- Credit</v>
      </c>
      <c r="B20" s="345">
        <f>'Trial Balance'!J21</f>
        <v>-40000</v>
      </c>
    </row>
    <row r="21" spans="1:2" ht="15" customHeight="1">
      <c r="A21" s="25" t="str">
        <f>'Trial Balance'!A22&amp;"-"&amp;'Trial Balance'!B22</f>
        <v>1140-Interest and Dividends Receivable</v>
      </c>
      <c r="B21" s="345">
        <f>'Trial Balance'!J22</f>
        <v>0</v>
      </c>
    </row>
    <row r="22" spans="1:2" ht="15" customHeight="1">
      <c r="A22" s="25" t="str">
        <f>'Trial Balance'!A23&amp;"-"&amp;'Trial Balance'!B23</f>
        <v>1150-Rents Receivable</v>
      </c>
      <c r="B22" s="345">
        <f>'Trial Balance'!J23</f>
        <v>0</v>
      </c>
    </row>
    <row r="23" spans="1:2" ht="15" customHeight="1">
      <c r="A23" s="25" t="str">
        <f>'Trial Balance'!A24&amp;"-"&amp;'Trial Balance'!B24</f>
        <v>1170-Notes Receivable</v>
      </c>
      <c r="B23" s="345">
        <f>'Trial Balance'!J24</f>
        <v>0</v>
      </c>
    </row>
    <row r="24" spans="1:2" ht="15" customHeight="1">
      <c r="A24" s="25" t="str">
        <f>'Trial Balance'!A25&amp;"-"&amp;'Trial Balance'!B25</f>
        <v>1180-Prepayments</v>
      </c>
      <c r="B24" s="345">
        <f>'Trial Balance'!J25</f>
        <v>25000</v>
      </c>
    </row>
    <row r="25" spans="1:2" ht="15" customHeight="1">
      <c r="A25" s="25" t="str">
        <f>'Trial Balance'!A26&amp;"-"&amp;'Trial Balance'!B26</f>
        <v>1190-Miscellaneous Current and Accrued Assets</v>
      </c>
      <c r="B25" s="345">
        <f>'Trial Balance'!J26</f>
        <v>0</v>
      </c>
    </row>
    <row r="26" spans="1:2" ht="15" customHeight="1">
      <c r="A26" s="25" t="str">
        <f>'Trial Balance'!A27&amp;"-"&amp;'Trial Balance'!B27</f>
        <v>1200-Accounts Receivable from Associated Companies</v>
      </c>
      <c r="B26" s="345">
        <f>'Trial Balance'!J27</f>
        <v>0</v>
      </c>
    </row>
    <row r="27" spans="1:2" ht="15" customHeight="1" thickBot="1">
      <c r="A27" s="25" t="str">
        <f>'Trial Balance'!A28&amp;"-"&amp;'Trial Balance'!B28</f>
        <v>1210-Notes  Receivable from Associated Companies</v>
      </c>
      <c r="B27" s="345">
        <f>'Trial Balance'!J28</f>
        <v>0</v>
      </c>
    </row>
    <row r="28" spans="1:2" ht="15" customHeight="1" thickBot="1">
      <c r="A28" s="26" t="s">
        <v>146</v>
      </c>
      <c r="B28" s="346">
        <f>SUM(B7:B27)</f>
        <v>3174397</v>
      </c>
    </row>
    <row r="29" spans="1:2" s="18" customFormat="1" ht="8.25" customHeight="1">
      <c r="A29" s="536"/>
      <c r="B29" s="536"/>
    </row>
    <row r="30" spans="1:2" s="18" customFormat="1" ht="15" customHeight="1">
      <c r="A30" s="534" t="s">
        <v>147</v>
      </c>
      <c r="B30" s="534"/>
    </row>
    <row r="31" spans="1:2" ht="15" customHeight="1">
      <c r="A31" s="25" t="str">
        <f>'Trial Balance'!A30&amp;"-"&amp;'Trial Balance'!B30</f>
        <v>1305-Fuel Stock</v>
      </c>
      <c r="B31" s="345">
        <f>'Trial Balance'!J30</f>
        <v>0</v>
      </c>
    </row>
    <row r="32" spans="1:2" ht="15" customHeight="1">
      <c r="A32" s="25" t="str">
        <f>'Trial Balance'!A31&amp;"-"&amp;'Trial Balance'!B31</f>
        <v>1330-Plant Materials and Operating Supplies</v>
      </c>
      <c r="B32" s="345">
        <f>'Trial Balance'!J31</f>
        <v>275000</v>
      </c>
    </row>
    <row r="33" spans="1:2" ht="15" customHeight="1">
      <c r="A33" s="25" t="str">
        <f>'Trial Balance'!A32&amp;"-"&amp;'Trial Balance'!B32</f>
        <v>1340-Merchandise</v>
      </c>
      <c r="B33" s="345">
        <f>'Trial Balance'!J32</f>
        <v>0</v>
      </c>
    </row>
    <row r="34" spans="1:2" ht="15" customHeight="1" thickBot="1">
      <c r="A34" s="25" t="str">
        <f>'Trial Balance'!A33&amp;"-"&amp;'Trial Balance'!B33</f>
        <v>1350-Other Material and Supplies</v>
      </c>
      <c r="B34" s="345">
        <f>'Trial Balance'!J33</f>
        <v>0</v>
      </c>
    </row>
    <row r="35" spans="1:2" ht="15" customHeight="1" thickBot="1">
      <c r="A35" s="27" t="s">
        <v>101</v>
      </c>
      <c r="B35" s="346">
        <f>SUM(B31:B34)</f>
        <v>275000</v>
      </c>
    </row>
    <row r="36" spans="1:2" s="18" customFormat="1" ht="15" customHeight="1">
      <c r="A36" s="22"/>
      <c r="B36" s="347"/>
    </row>
    <row r="37" spans="1:2" s="18" customFormat="1" ht="15" customHeight="1">
      <c r="A37" s="534" t="s">
        <v>102</v>
      </c>
      <c r="B37" s="534"/>
    </row>
    <row r="38" spans="1:2" ht="15" customHeight="1">
      <c r="A38" s="25" t="str">
        <f>'Trial Balance'!A35&amp;"-"&amp;'Trial Balance'!B35</f>
        <v>1405-Long Term Investments in Non-Associated Companies</v>
      </c>
      <c r="B38" s="345">
        <f>'Trial Balance'!J35</f>
        <v>0</v>
      </c>
    </row>
    <row r="39" spans="1:2" ht="15" customHeight="1">
      <c r="A39" s="25" t="str">
        <f>'Trial Balance'!A36&amp;"-"&amp;'Trial Balance'!B36</f>
        <v>1408-Long Term Receivable - Street Lighting Transfer</v>
      </c>
      <c r="B39" s="345">
        <f>'Trial Balance'!J36</f>
        <v>0</v>
      </c>
    </row>
    <row r="40" spans="1:2" ht="15" customHeight="1">
      <c r="A40" s="25" t="str">
        <f>'Trial Balance'!A37&amp;"-"&amp;'Trial Balance'!B37</f>
        <v>1410-Other Special or Collateral Funds</v>
      </c>
      <c r="B40" s="345">
        <f>'Trial Balance'!J37</f>
        <v>0</v>
      </c>
    </row>
    <row r="41" spans="1:2" ht="15" customHeight="1">
      <c r="A41" s="25" t="str">
        <f>'Trial Balance'!A38&amp;"-"&amp;'Trial Balance'!B38</f>
        <v>1415-Sinking Funds</v>
      </c>
      <c r="B41" s="345">
        <f>'Trial Balance'!J38</f>
        <v>0</v>
      </c>
    </row>
    <row r="42" spans="1:2" ht="15" customHeight="1">
      <c r="A42" s="25" t="str">
        <f>'Trial Balance'!A39&amp;"-"&amp;'Trial Balance'!B39</f>
        <v>1425-Unamortized Debt Expense</v>
      </c>
      <c r="B42" s="345">
        <f>'Trial Balance'!J39</f>
        <v>0</v>
      </c>
    </row>
    <row r="43" spans="1:2" ht="15" customHeight="1">
      <c r="A43" s="25" t="str">
        <f>'Trial Balance'!A40&amp;"-"&amp;'Trial Balance'!B40</f>
        <v>1445-Unamortized Discount on Long-Term Debt--Debit</v>
      </c>
      <c r="B43" s="345">
        <f>'Trial Balance'!J40</f>
        <v>0</v>
      </c>
    </row>
    <row r="44" spans="1:2" ht="15" customHeight="1">
      <c r="A44" s="25" t="str">
        <f>'Trial Balance'!A41&amp;"-"&amp;'Trial Balance'!B41</f>
        <v>1455-Unamortized Deferred Foreign Currency Translation Gains and Losses</v>
      </c>
      <c r="B44" s="345">
        <f>'Trial Balance'!J41</f>
        <v>0</v>
      </c>
    </row>
    <row r="45" spans="1:2" ht="15" customHeight="1">
      <c r="A45" s="25" t="str">
        <f>'Trial Balance'!A42&amp;"-"&amp;'Trial Balance'!B42</f>
        <v>1460-Other Non-Current Assets</v>
      </c>
      <c r="B45" s="345">
        <f>'Trial Balance'!J42</f>
        <v>0</v>
      </c>
    </row>
    <row r="46" spans="1:2" ht="15" customHeight="1">
      <c r="A46" s="25" t="str">
        <f>'Trial Balance'!A43&amp;"-"&amp;'Trial Balance'!B43</f>
        <v>1465-O.M.E.R.S. Past Service Costs</v>
      </c>
      <c r="B46" s="345">
        <f>'Trial Balance'!J43</f>
        <v>0</v>
      </c>
    </row>
    <row r="47" spans="1:2" ht="15" customHeight="1">
      <c r="A47" s="25" t="str">
        <f>'Trial Balance'!A44&amp;"-"&amp;'Trial Balance'!B44</f>
        <v>1470-Past Service Costs - Employee Future Benefits</v>
      </c>
      <c r="B47" s="345">
        <f>'Trial Balance'!J44</f>
        <v>0</v>
      </c>
    </row>
    <row r="48" spans="1:2" ht="15" customHeight="1">
      <c r="A48" s="25" t="str">
        <f>'Trial Balance'!A45&amp;"-"&amp;'Trial Balance'!B45</f>
        <v>1475-Past Service Costs -Other Pension Plans</v>
      </c>
      <c r="B48" s="345">
        <f>'Trial Balance'!J45</f>
        <v>0</v>
      </c>
    </row>
    <row r="49" spans="1:2" ht="15" customHeight="1">
      <c r="A49" s="25" t="str">
        <f>'Trial Balance'!A46&amp;"-"&amp;'Trial Balance'!B46</f>
        <v>1480-Portfolio Investments - Associated Companies</v>
      </c>
      <c r="B49" s="345">
        <f>'Trial Balance'!J46</f>
        <v>0</v>
      </c>
    </row>
    <row r="50" spans="1:2" ht="15" customHeight="1">
      <c r="A50" s="25" t="str">
        <f>'Trial Balance'!A47&amp;"-"&amp;'Trial Balance'!B47</f>
        <v>1485-Investment In Subsidiary Companies - Significant Influence</v>
      </c>
      <c r="B50" s="345">
        <f>'Trial Balance'!J47</f>
        <v>0</v>
      </c>
    </row>
    <row r="51" spans="1:2" ht="15" customHeight="1" thickBot="1">
      <c r="A51" s="25" t="str">
        <f>'Trial Balance'!A48&amp;"-"&amp;'Trial Balance'!B48</f>
        <v>1490-Investment in Subsidiary Companies</v>
      </c>
      <c r="B51" s="345">
        <f>'Trial Balance'!J48</f>
        <v>0</v>
      </c>
    </row>
    <row r="52" spans="1:2" ht="15" customHeight="1" thickBot="1">
      <c r="A52" s="27" t="s">
        <v>103</v>
      </c>
      <c r="B52" s="346">
        <f>SUM(B38:B51)</f>
        <v>0</v>
      </c>
    </row>
    <row r="53" spans="1:2" s="18" customFormat="1" ht="15" customHeight="1">
      <c r="A53" s="22"/>
      <c r="B53" s="347"/>
    </row>
    <row r="54" spans="1:2" s="18" customFormat="1" ht="15" customHeight="1">
      <c r="A54" s="534" t="s">
        <v>104</v>
      </c>
      <c r="B54" s="534"/>
    </row>
    <row r="55" spans="1:2" ht="15" customHeight="1">
      <c r="A55" s="25" t="str">
        <f>'Trial Balance'!A50&amp;"-"&amp;'Trial Balance'!B50</f>
        <v>1505-Unrecovered Plant and Regulatory Study Costs</v>
      </c>
      <c r="B55" s="345">
        <f>'Trial Balance'!J50</f>
        <v>0</v>
      </c>
    </row>
    <row r="56" spans="1:2" ht="15" customHeight="1">
      <c r="A56" s="25" t="str">
        <f>'Trial Balance'!A51&amp;"-"&amp;'Trial Balance'!B51</f>
        <v>1508-Other Regulatory Assets</v>
      </c>
      <c r="B56" s="345">
        <f>'Trial Balance'!J51</f>
        <v>60000</v>
      </c>
    </row>
    <row r="57" spans="1:2" ht="15" customHeight="1">
      <c r="A57" s="25" t="str">
        <f>'Trial Balance'!A52&amp;"-"&amp;'Trial Balance'!B52</f>
        <v>1510-Preliminary Survey and Investigation Charges</v>
      </c>
      <c r="B57" s="345">
        <f>'Trial Balance'!J52</f>
        <v>0</v>
      </c>
    </row>
    <row r="58" spans="1:2" ht="15" customHeight="1">
      <c r="A58" s="25" t="str">
        <f>'Trial Balance'!A53&amp;"-"&amp;'Trial Balance'!B53</f>
        <v>1515-Emission Allowance Inventory</v>
      </c>
      <c r="B58" s="345">
        <f>'Trial Balance'!J53</f>
        <v>0</v>
      </c>
    </row>
    <row r="59" spans="1:2" ht="15" customHeight="1">
      <c r="A59" s="25" t="str">
        <f>'Trial Balance'!A54&amp;"-"&amp;'Trial Balance'!B54</f>
        <v>1516-Emission Allowance Withheld</v>
      </c>
      <c r="B59" s="345">
        <f>'Trial Balance'!J54</f>
        <v>0</v>
      </c>
    </row>
    <row r="60" spans="1:2" ht="15" customHeight="1">
      <c r="A60" s="25" t="str">
        <f>'Trial Balance'!A55&amp;"-"&amp;'Trial Balance'!B55</f>
        <v>1518-RCVA Retail</v>
      </c>
      <c r="B60" s="345">
        <f>'Trial Balance'!J55</f>
        <v>723</v>
      </c>
    </row>
    <row r="61" spans="1:2" ht="15" customHeight="1">
      <c r="A61" s="25" t="str">
        <f>'Trial Balance'!A56&amp;"-"&amp;'Trial Balance'!B56</f>
        <v>1521-Special Purpose Charge Deferral</v>
      </c>
      <c r="B61" s="345">
        <f>'Trial Balance'!J56</f>
        <v>8000</v>
      </c>
    </row>
    <row r="62" spans="1:2" ht="15" customHeight="1">
      <c r="A62" s="25" t="str">
        <f>'Trial Balance'!A58&amp;"-"&amp;'Trial Balance'!B58</f>
        <v>1530-Deferred Losses from Disposition of Utility Plant</v>
      </c>
      <c r="B62" s="345">
        <f>'Trial Balance'!J58</f>
        <v>0</v>
      </c>
    </row>
    <row r="63" spans="1:2" ht="15" customHeight="1">
      <c r="A63" s="25" t="str">
        <f>'Trial Balance'!A59&amp;"-"&amp;'Trial Balance'!B59</f>
        <v>1540-Deferred Losses from Disposition of Utility Plant</v>
      </c>
      <c r="B63" s="345">
        <f>'Trial Balance'!J59</f>
        <v>0</v>
      </c>
    </row>
    <row r="64" spans="1:2" ht="15" customHeight="1">
      <c r="A64" s="25" t="str">
        <f>'Trial Balance'!A60&amp;"-"&amp;'Trial Balance'!B60</f>
        <v>1545-Development Charge Deposits/ Receivables</v>
      </c>
      <c r="B64" s="345">
        <f>'Trial Balance'!J60</f>
        <v>0</v>
      </c>
    </row>
    <row r="65" spans="1:2" ht="15" customHeight="1">
      <c r="A65" s="25" t="str">
        <f>'Trial Balance'!A61&amp;"-"&amp;'Trial Balance'!B61</f>
        <v>1548-RCVA - Service Transaction Request (STR)</v>
      </c>
      <c r="B65" s="345">
        <f>'Trial Balance'!J61</f>
        <v>95000</v>
      </c>
    </row>
    <row r="66" spans="1:2" ht="15" customHeight="1">
      <c r="A66" s="25" t="str">
        <f>'Trial Balance'!A62&amp;"-"&amp;'Trial Balance'!B62</f>
        <v>1550-LV Charges - Variance</v>
      </c>
      <c r="B66" s="345">
        <f>'Trial Balance'!J62</f>
        <v>-65000</v>
      </c>
    </row>
    <row r="67" spans="1:2" ht="15" customHeight="1">
      <c r="A67" s="25" t="str">
        <f>'Trial Balance'!A63&amp;"-"&amp;'Trial Balance'!B63</f>
        <v>1555-Smart Meters Recovery</v>
      </c>
      <c r="B67" s="345">
        <f>'Trial Balance'!J63</f>
        <v>180000</v>
      </c>
    </row>
    <row r="68" spans="1:2" ht="15" customHeight="1">
      <c r="A68" s="25" t="str">
        <f>'Trial Balance'!A64&amp;"-"&amp;'Trial Balance'!B64</f>
        <v>1556-Smart Meters OM &amp; A</v>
      </c>
      <c r="B68" s="345">
        <f>'Trial Balance'!J64</f>
        <v>0</v>
      </c>
    </row>
    <row r="69" spans="1:2" ht="15" customHeight="1">
      <c r="A69" s="25" t="str">
        <f>'Trial Balance'!A65&amp;"-"&amp;'Trial Balance'!B65</f>
        <v>1562-Deferred PILs</v>
      </c>
      <c r="B69" s="345">
        <f>'Trial Balance'!J65</f>
        <v>39582</v>
      </c>
    </row>
    <row r="70" spans="1:2" ht="15" customHeight="1">
      <c r="A70" s="25" t="str">
        <f>'Trial Balance'!A66&amp;"-"&amp;'Trial Balance'!B66</f>
        <v>1563-Deferred PILs - Contra</v>
      </c>
      <c r="B70" s="345">
        <f>'Trial Balance'!J66</f>
        <v>-39582</v>
      </c>
    </row>
    <row r="71" spans="1:2" ht="15" customHeight="1">
      <c r="A71" s="25" t="str">
        <f>'Trial Balance'!A67&amp;"-"&amp;'Trial Balance'!B67</f>
        <v>1565-C &amp; DM Costs</v>
      </c>
      <c r="B71" s="345">
        <f>'Trial Balance'!J67</f>
        <v>0</v>
      </c>
    </row>
    <row r="72" spans="1:2" ht="15" customHeight="1">
      <c r="A72" s="25" t="str">
        <f>'Trial Balance'!A68&amp;"-"&amp;'Trial Balance'!B68</f>
        <v>1566-C &amp; DM Costs Contra - SM Costs to Fixed Assets</v>
      </c>
      <c r="B72" s="345">
        <f>'Trial Balance'!J68</f>
        <v>0</v>
      </c>
    </row>
    <row r="73" spans="1:2" ht="15" customHeight="1">
      <c r="A73" s="25" t="str">
        <f>'Trial Balance'!A69&amp;"-"&amp;'Trial Balance'!B69</f>
        <v>1570-Qualifying Transition Costs</v>
      </c>
      <c r="B73" s="345">
        <f>'Trial Balance'!J69</f>
        <v>0</v>
      </c>
    </row>
    <row r="74" spans="1:2" ht="15" customHeight="1">
      <c r="A74" s="25" t="str">
        <f>'Trial Balance'!A70&amp;"-"&amp;'Trial Balance'!B70</f>
        <v>1571-Pre Market CofP Variance</v>
      </c>
      <c r="B74" s="345">
        <f>'Trial Balance'!J70</f>
        <v>0</v>
      </c>
    </row>
    <row r="75" spans="1:2" ht="15" customHeight="1">
      <c r="A75" s="25" t="str">
        <f>'Trial Balance'!A71&amp;"-"&amp;'Trial Balance'!B71</f>
        <v>1572-Extraordinary Event Losses</v>
      </c>
      <c r="B75" s="345">
        <f>'Trial Balance'!J71</f>
        <v>0</v>
      </c>
    </row>
    <row r="76" spans="1:2" ht="15" customHeight="1">
      <c r="A76" s="25" t="str">
        <f>'Trial Balance'!A72&amp;"-"&amp;'Trial Balance'!B72</f>
        <v>1574-Deferred Rate Impact Amounts</v>
      </c>
      <c r="B76" s="345">
        <f>'Trial Balance'!J72</f>
        <v>0</v>
      </c>
    </row>
    <row r="77" spans="1:2" ht="15" customHeight="1">
      <c r="A77" s="25" t="str">
        <f>'Trial Balance'!A73&amp;"-"&amp;'Trial Balance'!B73</f>
        <v>1580-RSVA - Wholesale Market Services</v>
      </c>
      <c r="B77" s="345">
        <f>'Trial Balance'!J73</f>
        <v>-2000</v>
      </c>
    </row>
    <row r="78" spans="1:2" ht="15" customHeight="1">
      <c r="A78" s="25" t="str">
        <f>'Trial Balance'!A74&amp;"-"&amp;'Trial Balance'!B74</f>
        <v>1582-RSVA - One-Time</v>
      </c>
      <c r="B78" s="345">
        <f>'Trial Balance'!J74</f>
        <v>7500</v>
      </c>
    </row>
    <row r="79" spans="1:2" ht="15" customHeight="1">
      <c r="A79" s="25" t="str">
        <f>'Trial Balance'!A75&amp;"-"&amp;'Trial Balance'!B75</f>
        <v>1584-RSVA - Network Charges</v>
      </c>
      <c r="B79" s="345">
        <f>'Trial Balance'!J75</f>
        <v>-148068</v>
      </c>
    </row>
    <row r="80" spans="1:2" ht="15" customHeight="1">
      <c r="A80" s="25" t="str">
        <f>'Trial Balance'!A76&amp;"-"&amp;'Trial Balance'!B76</f>
        <v>1586-RSVA - Connection Charges</v>
      </c>
      <c r="B80" s="345">
        <f>'Trial Balance'!J76</f>
        <v>-93378</v>
      </c>
    </row>
    <row r="81" spans="1:2" ht="15" customHeight="1">
      <c r="A81" s="25" t="str">
        <f>'Trial Balance'!A77&amp;"-"&amp;'Trial Balance'!B77</f>
        <v>1588-RSVA - Commodity (Power)</v>
      </c>
      <c r="B81" s="345">
        <f>'Trial Balance'!J77</f>
        <v>-200799</v>
      </c>
    </row>
    <row r="82" spans="1:2" ht="15" customHeight="1">
      <c r="A82" s="25" t="str">
        <f>'Trial Balance'!A78&amp;"-"&amp;'Trial Balance'!B78</f>
        <v>1590-Recovery of Regulatory Assets (25% of 2002 bal.)</v>
      </c>
      <c r="B82" s="345">
        <f>'Trial Balance'!J78</f>
        <v>4757</v>
      </c>
    </row>
    <row r="83" spans="1:2" ht="15" customHeight="1">
      <c r="A83" s="25" t="str">
        <f>'Trial Balance'!A79&amp;"-"&amp;'Trial Balance'!B79</f>
        <v>1592-PILs and Tax Variance for 2006 &amp; Subsequent Years</v>
      </c>
      <c r="B83" s="345">
        <f>'Trial Balance'!J79</f>
        <v>0</v>
      </c>
    </row>
    <row r="84" spans="1:2" ht="15" customHeight="1" thickBot="1">
      <c r="A84" s="25" t="str">
        <f>'Trial Balance'!A80&amp;"-"&amp;'Trial Balance'!B80</f>
        <v>1595-Disposition and Recovery of Regulatory Balances</v>
      </c>
      <c r="B84" s="345">
        <f>'Trial Balance'!J80</f>
        <v>5472</v>
      </c>
    </row>
    <row r="85" spans="1:2" ht="15" customHeight="1" thickBot="1">
      <c r="A85" s="27" t="s">
        <v>151</v>
      </c>
      <c r="B85" s="346">
        <f>SUM(B55:B84)</f>
        <v>-147793</v>
      </c>
    </row>
    <row r="86" spans="1:2" s="18" customFormat="1" ht="15" customHeight="1">
      <c r="A86" s="22"/>
      <c r="B86" s="347"/>
    </row>
    <row r="87" spans="1:2" s="18" customFormat="1" ht="15" customHeight="1">
      <c r="A87" s="534" t="s">
        <v>152</v>
      </c>
      <c r="B87" s="534"/>
    </row>
    <row r="88" spans="1:2" ht="15" customHeight="1">
      <c r="A88" s="25" t="str">
        <f>'Trial Balance'!A82&amp;"-"&amp;'Trial Balance'!B82</f>
        <v>1610-Intangible Assets</v>
      </c>
      <c r="B88" s="345">
        <f>'Trial Balance'!J82</f>
        <v>0</v>
      </c>
    </row>
    <row r="89" spans="1:2" ht="15" customHeight="1">
      <c r="A89" s="25" t="str">
        <f>'Trial Balance'!A83&amp;"-"&amp;'Trial Balance'!B83</f>
        <v>1805-Land</v>
      </c>
      <c r="B89" s="345">
        <f>'Trial Balance'!J83</f>
        <v>84205.25</v>
      </c>
    </row>
    <row r="90" spans="1:2" ht="15" customHeight="1">
      <c r="A90" s="25" t="str">
        <f>'Trial Balance'!A84&amp;"-"&amp;'Trial Balance'!B84</f>
        <v>1806-Land Rights</v>
      </c>
      <c r="B90" s="345">
        <f>'Trial Balance'!J84</f>
        <v>0</v>
      </c>
    </row>
    <row r="91" spans="1:2" ht="15" customHeight="1">
      <c r="A91" s="25" t="str">
        <f>'Trial Balance'!A85&amp;"-"&amp;'Trial Balance'!B85</f>
        <v>1808-Buildings and Fixtures</v>
      </c>
      <c r="B91" s="345">
        <f>'Trial Balance'!J85</f>
        <v>82287.41</v>
      </c>
    </row>
    <row r="92" spans="1:2" ht="15" customHeight="1">
      <c r="A92" s="25" t="str">
        <f>'Trial Balance'!A86&amp;"-"&amp;'Trial Balance'!B86</f>
        <v>1810-Leasehold Improvements</v>
      </c>
      <c r="B92" s="345">
        <f>'Trial Balance'!J86</f>
        <v>0</v>
      </c>
    </row>
    <row r="93" spans="1:2" ht="15" customHeight="1">
      <c r="A93" s="25" t="str">
        <f>'Trial Balance'!A87&amp;"-"&amp;'Trial Balance'!B87</f>
        <v>1815-Transformer Station Equipment - Normally Primary above 50 kV</v>
      </c>
      <c r="B93" s="345">
        <f>'Trial Balance'!J87</f>
        <v>0</v>
      </c>
    </row>
    <row r="94" spans="1:2" ht="15" customHeight="1">
      <c r="A94" s="25" t="str">
        <f>'Trial Balance'!A88&amp;"-"&amp;'Trial Balance'!B88</f>
        <v>1820-Distribution Station Equipment - Normally Primary below 50 kV</v>
      </c>
      <c r="B94" s="345">
        <f>'Trial Balance'!J88</f>
        <v>724883.89</v>
      </c>
    </row>
    <row r="95" spans="1:2" ht="15" customHeight="1">
      <c r="A95" s="25" t="str">
        <f>'Trial Balance'!A89&amp;"-"&amp;'Trial Balance'!B89</f>
        <v>1825-Storage Battery Equipment</v>
      </c>
      <c r="B95" s="345">
        <f>'Trial Balance'!J89</f>
        <v>0</v>
      </c>
    </row>
    <row r="96" spans="1:2" ht="15" customHeight="1">
      <c r="A96" s="25" t="str">
        <f>'Trial Balance'!A90&amp;"-"&amp;'Trial Balance'!B90</f>
        <v>1830-Poles, Towers and Fixtures</v>
      </c>
      <c r="B96" s="345">
        <f>'Trial Balance'!J90</f>
        <v>502091.9</v>
      </c>
    </row>
    <row r="97" spans="1:2" ht="15" customHeight="1">
      <c r="A97" s="25" t="str">
        <f>'Trial Balance'!A91&amp;"-"&amp;'Trial Balance'!B91</f>
        <v>1835-Overhead Conductors and Devices</v>
      </c>
      <c r="B97" s="345">
        <f>'Trial Balance'!J91</f>
        <v>1839430.1</v>
      </c>
    </row>
    <row r="98" spans="1:2" ht="15" customHeight="1">
      <c r="A98" s="25" t="str">
        <f>'Trial Balance'!A92&amp;"-"&amp;'Trial Balance'!B92</f>
        <v>1840-Underground Conduit</v>
      </c>
      <c r="B98" s="345">
        <f>'Trial Balance'!J92</f>
        <v>36862.350000000035</v>
      </c>
    </row>
    <row r="99" spans="1:2" ht="15" customHeight="1">
      <c r="A99" s="25" t="str">
        <f>'Trial Balance'!A93&amp;"-"&amp;'Trial Balance'!B93</f>
        <v>1845-Underground Conductors and Devices</v>
      </c>
      <c r="B99" s="345">
        <f>'Trial Balance'!J93</f>
        <v>797248.3200000001</v>
      </c>
    </row>
    <row r="100" spans="1:2" ht="15" customHeight="1">
      <c r="A100" s="25" t="str">
        <f>'Trial Balance'!A94&amp;"-"&amp;'Trial Balance'!B94</f>
        <v>1850-Line Transformers</v>
      </c>
      <c r="B100" s="345">
        <f>'Trial Balance'!J94</f>
        <v>1031223.28</v>
      </c>
    </row>
    <row r="101" spans="1:2" ht="15" customHeight="1">
      <c r="A101" s="25" t="str">
        <f>'Trial Balance'!A95&amp;"-"&amp;'Trial Balance'!B95</f>
        <v>1855-Services</v>
      </c>
      <c r="B101" s="345">
        <f>'Trial Balance'!J95</f>
        <v>281636.54</v>
      </c>
    </row>
    <row r="102" spans="1:2" ht="15" customHeight="1">
      <c r="A102" s="25" t="str">
        <f>'Trial Balance'!A96&amp;"-"&amp;'Trial Balance'!B96</f>
        <v>1860-Meters</v>
      </c>
      <c r="B102" s="345">
        <f>'Trial Balance'!J96</f>
        <v>1470244.2799999998</v>
      </c>
    </row>
    <row r="103" spans="1:2" ht="15" customHeight="1" thickBot="1">
      <c r="A103" s="25" t="str">
        <f>'Trial Balance'!A97&amp;"-"&amp;'Trial Balance'!B97</f>
        <v>1865-Other Installations on Customer's Premises</v>
      </c>
      <c r="B103" s="345">
        <f>'Trial Balance'!J97</f>
        <v>0</v>
      </c>
    </row>
    <row r="104" spans="1:2" ht="15" customHeight="1" thickBot="1">
      <c r="A104" s="28" t="s">
        <v>80</v>
      </c>
      <c r="B104" s="346">
        <f>SUM(B88:B103)</f>
        <v>6850113.32</v>
      </c>
    </row>
    <row r="105" spans="1:2" s="18" customFormat="1" ht="15" customHeight="1">
      <c r="A105" s="21"/>
      <c r="B105" s="347"/>
    </row>
    <row r="106" spans="1:2" s="18" customFormat="1" ht="15" customHeight="1">
      <c r="A106" s="534" t="s">
        <v>81</v>
      </c>
      <c r="B106" s="534"/>
    </row>
    <row r="107" spans="1:2" ht="15" customHeight="1">
      <c r="A107" s="25" t="str">
        <f>'Trial Balance'!A98&amp;"-"&amp;'Trial Balance'!B98</f>
        <v>1905-Land</v>
      </c>
      <c r="B107" s="345">
        <f>'Trial Balance'!J98</f>
        <v>0</v>
      </c>
    </row>
    <row r="108" spans="1:2" ht="15" customHeight="1">
      <c r="A108" s="25" t="str">
        <f>'Trial Balance'!A99&amp;"-"&amp;'Trial Balance'!B99</f>
        <v>1906-Land Rights</v>
      </c>
      <c r="B108" s="345">
        <f>'Trial Balance'!J99</f>
        <v>0</v>
      </c>
    </row>
    <row r="109" spans="1:2" ht="15" customHeight="1">
      <c r="A109" s="25" t="str">
        <f>'Trial Balance'!A100&amp;"-"&amp;'Trial Balance'!B100</f>
        <v>1908-Buildings and Fixtures</v>
      </c>
      <c r="B109" s="345">
        <f>'Trial Balance'!J100</f>
        <v>0</v>
      </c>
    </row>
    <row r="110" spans="1:2" ht="15" customHeight="1">
      <c r="A110" s="25" t="str">
        <f>'Trial Balance'!A101&amp;"-"&amp;'Trial Balance'!B101</f>
        <v>1910-Leasehold Improvements</v>
      </c>
      <c r="B110" s="345">
        <f>'Trial Balance'!J101</f>
        <v>8796.45</v>
      </c>
    </row>
    <row r="111" spans="1:2" ht="15" customHeight="1">
      <c r="A111" s="25" t="str">
        <f>'Trial Balance'!A102&amp;"-"&amp;'Trial Balance'!B102</f>
        <v>1915-Office Furniture and Equipment</v>
      </c>
      <c r="B111" s="345">
        <f>'Trial Balance'!J102</f>
        <v>0</v>
      </c>
    </row>
    <row r="112" spans="1:2" ht="15" customHeight="1">
      <c r="A112" s="25" t="str">
        <f>'Trial Balance'!A103&amp;"-"&amp;'Trial Balance'!B103</f>
        <v>1920-Computer Equipment - Hardware</v>
      </c>
      <c r="B112" s="345">
        <f>'Trial Balance'!J103</f>
        <v>163687.65999999997</v>
      </c>
    </row>
    <row r="113" spans="1:2" ht="15" customHeight="1">
      <c r="A113" s="25" t="str">
        <f>'Trial Balance'!A104&amp;"-"&amp;'Trial Balance'!B104</f>
        <v>1925-Computer Software</v>
      </c>
      <c r="B113" s="345">
        <f>'Trial Balance'!J104</f>
        <v>164826.66</v>
      </c>
    </row>
    <row r="114" spans="1:2" ht="15" customHeight="1">
      <c r="A114" s="25" t="str">
        <f>'Trial Balance'!A105&amp;"-"&amp;'Trial Balance'!B105</f>
        <v>1930-Transportation Equipment</v>
      </c>
      <c r="B114" s="345">
        <f>'Trial Balance'!J105</f>
        <v>627095.3799999999</v>
      </c>
    </row>
    <row r="115" spans="1:2" ht="15" customHeight="1">
      <c r="A115" s="25" t="str">
        <f>'Trial Balance'!A106&amp;"-"&amp;'Trial Balance'!B106</f>
        <v>1935-Stores Equipment</v>
      </c>
      <c r="B115" s="345">
        <f>'Trial Balance'!J106</f>
        <v>0</v>
      </c>
    </row>
    <row r="116" spans="1:2" ht="15" customHeight="1">
      <c r="A116" s="25" t="str">
        <f>'Trial Balance'!A107&amp;"-"&amp;'Trial Balance'!B107</f>
        <v>1940-Tools, Shop and Garage Equipment</v>
      </c>
      <c r="B116" s="345">
        <f>'Trial Balance'!J107</f>
        <v>137983.96</v>
      </c>
    </row>
    <row r="117" spans="1:2" ht="15" customHeight="1">
      <c r="A117" s="25" t="str">
        <f>'Trial Balance'!A108&amp;"-"&amp;'Trial Balance'!B108</f>
        <v>1945-Measurement and Testing Equipment</v>
      </c>
      <c r="B117" s="345">
        <f>'Trial Balance'!J108</f>
        <v>0</v>
      </c>
    </row>
    <row r="118" spans="1:2" ht="15" customHeight="1">
      <c r="A118" s="25" t="str">
        <f>'Trial Balance'!A109&amp;"-"&amp;'Trial Balance'!B109</f>
        <v>1950-Power Operated Equipment</v>
      </c>
      <c r="B118" s="345">
        <f>'Trial Balance'!J109</f>
        <v>0</v>
      </c>
    </row>
    <row r="119" spans="1:2" ht="15" customHeight="1">
      <c r="A119" s="25" t="str">
        <f>'Trial Balance'!A110&amp;"-"&amp;'Trial Balance'!B110</f>
        <v>1955-Communication Equipment</v>
      </c>
      <c r="B119" s="345">
        <f>'Trial Balance'!J110</f>
        <v>0</v>
      </c>
    </row>
    <row r="120" spans="1:2" ht="15" customHeight="1">
      <c r="A120" s="25" t="str">
        <f>'Trial Balance'!A111&amp;"-"&amp;'Trial Balance'!B111</f>
        <v>1960-Miscellaneous Equipment</v>
      </c>
      <c r="B120" s="345">
        <f>'Trial Balance'!J111</f>
        <v>0</v>
      </c>
    </row>
    <row r="121" spans="1:2" ht="15" customHeight="1">
      <c r="A121" s="25" t="str">
        <f>'Trial Balance'!A112&amp;"-"&amp;'Trial Balance'!B112</f>
        <v>1970-Load Management Controls - Customer Premises </v>
      </c>
      <c r="B121" s="345">
        <f>'Trial Balance'!J112</f>
        <v>0</v>
      </c>
    </row>
    <row r="122" spans="1:2" ht="15" customHeight="1">
      <c r="A122" s="25" t="str">
        <f>'Trial Balance'!A113&amp;"-"&amp;'Trial Balance'!B113</f>
        <v>1975-Load Management Controls - Utility Premises</v>
      </c>
      <c r="B122" s="345">
        <f>'Trial Balance'!J113</f>
        <v>0</v>
      </c>
    </row>
    <row r="123" spans="1:2" ht="15" customHeight="1">
      <c r="A123" s="25" t="str">
        <f>'Trial Balance'!A114&amp;"-"&amp;'Trial Balance'!B114</f>
        <v>1980-System Supervisory Equipment</v>
      </c>
      <c r="B123" s="345">
        <f>'Trial Balance'!J114</f>
        <v>0</v>
      </c>
    </row>
    <row r="124" spans="1:2" ht="15" customHeight="1">
      <c r="A124" s="25" t="str">
        <f>'Trial Balance'!A115&amp;"-"&amp;'Trial Balance'!B115</f>
        <v>1985-Sentinel Lighting Rentals</v>
      </c>
      <c r="B124" s="345">
        <f>'Trial Balance'!J115</f>
        <v>0</v>
      </c>
    </row>
    <row r="125" spans="1:2" ht="15" customHeight="1">
      <c r="A125" s="25" t="str">
        <f>'Trial Balance'!A116&amp;"-"&amp;'Trial Balance'!B116</f>
        <v>1990-Other Tangible Property</v>
      </c>
      <c r="B125" s="345">
        <f>'Trial Balance'!J116</f>
        <v>0</v>
      </c>
    </row>
    <row r="126" spans="1:2" ht="15" customHeight="1" thickBot="1">
      <c r="A126" s="25" t="str">
        <f>'Trial Balance'!A117&amp;"-"&amp;'Trial Balance'!B117</f>
        <v>1995-Contributions and Grants</v>
      </c>
      <c r="B126" s="345">
        <f>'Trial Balance'!J117</f>
        <v>-360987.58999999997</v>
      </c>
    </row>
    <row r="127" spans="1:2" ht="15" customHeight="1" thickBot="1">
      <c r="A127" s="28" t="s">
        <v>141</v>
      </c>
      <c r="B127" s="346">
        <f>SUM(B107:B126)</f>
        <v>741402.5199999999</v>
      </c>
    </row>
    <row r="128" spans="1:2" s="18" customFormat="1" ht="15" customHeight="1">
      <c r="A128" s="21"/>
      <c r="B128" s="347"/>
    </row>
    <row r="129" spans="1:2" s="18" customFormat="1" ht="15" customHeight="1">
      <c r="A129" s="534" t="s">
        <v>142</v>
      </c>
      <c r="B129" s="534"/>
    </row>
    <row r="130" spans="1:2" ht="15" customHeight="1">
      <c r="A130" s="25" t="str">
        <f>'Trial Balance'!A119&amp;"-"&amp;'Trial Balance'!B119</f>
        <v>2005-Property Under Capital Leases</v>
      </c>
      <c r="B130" s="345">
        <f>'Trial Balance'!J119</f>
        <v>0</v>
      </c>
    </row>
    <row r="131" spans="1:2" ht="15" customHeight="1">
      <c r="A131" s="25" t="str">
        <f>'Trial Balance'!A120&amp;"-"&amp;'Trial Balance'!B120</f>
        <v>2010-Electric Plant Purchased or Sold</v>
      </c>
      <c r="B131" s="345">
        <f>'Trial Balance'!J120</f>
        <v>0</v>
      </c>
    </row>
    <row r="132" spans="1:2" ht="15" customHeight="1">
      <c r="A132" s="25" t="str">
        <f>'Trial Balance'!A121&amp;"-"&amp;'Trial Balance'!B121</f>
        <v>2020-Experimental Electric Plant Unclassified</v>
      </c>
      <c r="B132" s="345">
        <f>'Trial Balance'!J121</f>
        <v>0</v>
      </c>
    </row>
    <row r="133" spans="1:2" ht="15" customHeight="1">
      <c r="A133" s="25" t="str">
        <f>'Trial Balance'!A122&amp;"-"&amp;'Trial Balance'!B122</f>
        <v>2030-Electric Plant and Equipment Leased to Others</v>
      </c>
      <c r="B133" s="345">
        <f>'Trial Balance'!J122</f>
        <v>0</v>
      </c>
    </row>
    <row r="134" spans="1:2" ht="15" customHeight="1">
      <c r="A134" s="25" t="str">
        <f>'Trial Balance'!A123&amp;"-"&amp;'Trial Balance'!B123</f>
        <v>2040-Electric Plant Held for Future Use</v>
      </c>
      <c r="B134" s="345">
        <f>'Trial Balance'!J123</f>
        <v>0</v>
      </c>
    </row>
    <row r="135" spans="1:2" ht="15" customHeight="1">
      <c r="A135" s="25" t="str">
        <f>'Trial Balance'!A124&amp;"-"&amp;'Trial Balance'!B124</f>
        <v>2050-Completed Construction Not Classified--Electric</v>
      </c>
      <c r="B135" s="345">
        <f>'Trial Balance'!J124</f>
        <v>0</v>
      </c>
    </row>
    <row r="136" spans="1:2" ht="15" customHeight="1">
      <c r="A136" s="25" t="str">
        <f>'Trial Balance'!A125&amp;"-"&amp;'Trial Balance'!B125</f>
        <v>2055-Construction Work in Progress--Electric</v>
      </c>
      <c r="B136" s="345">
        <f>'Trial Balance'!J125</f>
        <v>0</v>
      </c>
    </row>
    <row r="137" spans="1:2" ht="15" customHeight="1">
      <c r="A137" s="25" t="str">
        <f>'Trial Balance'!A126&amp;"-"&amp;'Trial Balance'!B126</f>
        <v>2060-Electric Plant Acquisition Adjustment</v>
      </c>
      <c r="B137" s="345">
        <f>'Trial Balance'!J126</f>
        <v>0</v>
      </c>
    </row>
    <row r="138" spans="1:2" ht="15" customHeight="1">
      <c r="A138" s="25" t="str">
        <f>'Trial Balance'!A127&amp;"-"&amp;'Trial Balance'!B127</f>
        <v>2065-Other Electric Plant Adjustment</v>
      </c>
      <c r="B138" s="345">
        <f>'Trial Balance'!J127</f>
        <v>0</v>
      </c>
    </row>
    <row r="139" spans="1:2" ht="15" customHeight="1">
      <c r="A139" s="25" t="str">
        <f>'Trial Balance'!A128&amp;"-"&amp;'Trial Balance'!B128</f>
        <v>2070-Other Utility Plant</v>
      </c>
      <c r="B139" s="345">
        <f>'Trial Balance'!J128</f>
        <v>0</v>
      </c>
    </row>
    <row r="140" spans="1:2" ht="15" customHeight="1" thickBot="1">
      <c r="A140" s="25" t="str">
        <f>'Trial Balance'!A129&amp;"-"&amp;'Trial Balance'!B129</f>
        <v>2075-Non-Utility Property Owned or Under Capital Lease</v>
      </c>
      <c r="B140" s="345">
        <f>'Trial Balance'!J129</f>
        <v>0</v>
      </c>
    </row>
    <row r="141" spans="1:2" ht="15" customHeight="1" thickBot="1">
      <c r="A141" s="28" t="s">
        <v>143</v>
      </c>
      <c r="B141" s="346">
        <f>SUM(B130:B140)</f>
        <v>0</v>
      </c>
    </row>
    <row r="142" spans="1:2" s="18" customFormat="1" ht="15" customHeight="1">
      <c r="A142" s="21"/>
      <c r="B142" s="347"/>
    </row>
    <row r="143" spans="1:2" s="18" customFormat="1" ht="15" customHeight="1">
      <c r="A143" s="534" t="s">
        <v>144</v>
      </c>
      <c r="B143" s="534"/>
    </row>
    <row r="144" spans="1:2" ht="15" customHeight="1">
      <c r="A144" s="25" t="str">
        <f>'Trial Balance'!A131&amp;"-"&amp;'Trial Balance'!B131</f>
        <v>2105-Accumulated Amortization of Electric Utility Plant - Property, Plant and Equipment</v>
      </c>
      <c r="B144" s="345">
        <f>'Trial Balance'!J131</f>
        <v>-2242277.8329401133</v>
      </c>
    </row>
    <row r="145" spans="1:2" ht="15" customHeight="1">
      <c r="A145" s="25" t="str">
        <f>'Trial Balance'!A132&amp;"-"&amp;'Trial Balance'!B132</f>
        <v>2120-Accumulated Amortization of Electric Utility Plant - Intangibles</v>
      </c>
      <c r="B145" s="345">
        <f>'Trial Balance'!J132</f>
        <v>0</v>
      </c>
    </row>
    <row r="146" spans="1:2" ht="15" customHeight="1">
      <c r="A146" s="25" t="str">
        <f>'Trial Balance'!A133&amp;"-"&amp;'Trial Balance'!B133</f>
        <v>2140-Accumulated Amortization of Electric Plant Acquisition Adjustment</v>
      </c>
      <c r="B146" s="345">
        <f>'Trial Balance'!J133</f>
        <v>0</v>
      </c>
    </row>
    <row r="147" spans="1:2" ht="15" customHeight="1">
      <c r="A147" s="25" t="str">
        <f>'Trial Balance'!A134&amp;"-"&amp;'Trial Balance'!B134</f>
        <v>2160-Accumulated Amortization of Other Utility Plant</v>
      </c>
      <c r="B147" s="345">
        <f>'Trial Balance'!J134</f>
        <v>0</v>
      </c>
    </row>
    <row r="148" spans="1:2" ht="15" customHeight="1" thickBot="1">
      <c r="A148" s="25" t="str">
        <f>'Trial Balance'!A135&amp;"-"&amp;'Trial Balance'!B135</f>
        <v>2180-Accumulated Amortization of Non-Utility Property</v>
      </c>
      <c r="B148" s="345">
        <f>'Trial Balance'!J135</f>
        <v>0</v>
      </c>
    </row>
    <row r="149" spans="1:2" ht="15" customHeight="1" thickBot="1">
      <c r="A149" s="205" t="s">
        <v>148</v>
      </c>
      <c r="B149" s="348">
        <f>SUM(B144:B148)</f>
        <v>-2242277.8329401133</v>
      </c>
    </row>
    <row r="150" spans="1:2" ht="15" customHeight="1" thickBot="1">
      <c r="A150" s="202"/>
      <c r="B150" s="347"/>
    </row>
    <row r="151" spans="1:2" ht="15" customHeight="1" thickBot="1">
      <c r="A151" s="203" t="s">
        <v>247</v>
      </c>
      <c r="B151" s="349">
        <f>B28+B35+B52+B85+B104+B127+B141+B149</f>
        <v>8650842.007059887</v>
      </c>
    </row>
    <row r="152" spans="1:2" s="18" customFormat="1" ht="15" customHeight="1">
      <c r="A152" s="22"/>
      <c r="B152" s="347"/>
    </row>
    <row r="153" spans="1:2" s="18" customFormat="1" ht="15" customHeight="1">
      <c r="A153" s="534" t="s">
        <v>149</v>
      </c>
      <c r="B153" s="534"/>
    </row>
    <row r="154" spans="1:2" ht="15" customHeight="1">
      <c r="A154" s="25" t="str">
        <f>'Trial Balance'!A137&amp;"-"&amp;'Trial Balance'!B137</f>
        <v>2205-Accounts Payable</v>
      </c>
      <c r="B154" s="345">
        <f>-'Trial Balance'!J137</f>
        <v>69845</v>
      </c>
    </row>
    <row r="155" spans="1:2" ht="15" customHeight="1">
      <c r="A155" s="25" t="str">
        <f>'Trial Balance'!A138&amp;"-"&amp;'Trial Balance'!B138</f>
        <v>2208-Customer Credit Balances</v>
      </c>
      <c r="B155" s="345">
        <f>-'Trial Balance'!J138</f>
        <v>90000</v>
      </c>
    </row>
    <row r="156" spans="1:2" ht="15" customHeight="1">
      <c r="A156" s="25" t="str">
        <f>'Trial Balance'!A139&amp;"-"&amp;'Trial Balance'!B139</f>
        <v>2210-Current Portion of Customer Deposits </v>
      </c>
      <c r="B156" s="345">
        <f>-'Trial Balance'!J139</f>
        <v>79000</v>
      </c>
    </row>
    <row r="157" spans="1:2" ht="15" customHeight="1">
      <c r="A157" s="25" t="str">
        <f>'Trial Balance'!A140&amp;"-"&amp;'Trial Balance'!B140</f>
        <v>2215-Dividends Declared</v>
      </c>
      <c r="B157" s="345">
        <f>-'Trial Balance'!J140</f>
        <v>0</v>
      </c>
    </row>
    <row r="158" spans="1:2" ht="15" customHeight="1">
      <c r="A158" s="25" t="str">
        <f>'Trial Balance'!A141&amp;"-"&amp;'Trial Balance'!B141</f>
        <v>2220-Miscellaneous Current and Accrued Liabilities</v>
      </c>
      <c r="B158" s="345">
        <f>-'Trial Balance'!J141</f>
        <v>1200000</v>
      </c>
    </row>
    <row r="159" spans="1:2" ht="15" customHeight="1">
      <c r="A159" s="25" t="str">
        <f>'Trial Balance'!A142&amp;"-"&amp;'Trial Balance'!B142</f>
        <v>2225-Notes and Loans Payable</v>
      </c>
      <c r="B159" s="345">
        <f>-'Trial Balance'!J142</f>
        <v>80000</v>
      </c>
    </row>
    <row r="160" spans="1:2" ht="15" customHeight="1">
      <c r="A160" s="25" t="str">
        <f>'Trial Balance'!A143&amp;"-"&amp;'Trial Balance'!B143</f>
        <v>2240-Accounts Payable to Associated Companies</v>
      </c>
      <c r="B160" s="345">
        <f>-'Trial Balance'!J143</f>
        <v>600000</v>
      </c>
    </row>
    <row r="161" spans="1:2" ht="15" customHeight="1">
      <c r="A161" s="25" t="str">
        <f>'Trial Balance'!A144&amp;"-"&amp;'Trial Balance'!B144</f>
        <v>2242-Notes Payable to Associated Companies</v>
      </c>
      <c r="B161" s="345">
        <f>-'Trial Balance'!J144</f>
        <v>1163352</v>
      </c>
    </row>
    <row r="162" spans="1:2" ht="15" customHeight="1">
      <c r="A162" s="25" t="str">
        <f>'Trial Balance'!A145&amp;"-"&amp;'Trial Balance'!B145</f>
        <v>2250-Debt Retirement  Charges (DRC) Payable</v>
      </c>
      <c r="B162" s="345">
        <f>-'Trial Balance'!J145</f>
        <v>70000</v>
      </c>
    </row>
    <row r="163" spans="1:2" ht="15" customHeight="1">
      <c r="A163" s="25" t="str">
        <f>'Trial Balance'!A146&amp;"-"&amp;'Trial Balance'!B146</f>
        <v>2252-Transmission Charges Payable</v>
      </c>
      <c r="B163" s="345">
        <f>-'Trial Balance'!J146</f>
        <v>0</v>
      </c>
    </row>
    <row r="164" spans="1:2" ht="15" customHeight="1">
      <c r="A164" s="25" t="str">
        <f>'Trial Balance'!A147&amp;"-"&amp;'Trial Balance'!B147</f>
        <v>2254-Electric Safety Authority Fees Payable</v>
      </c>
      <c r="B164" s="345">
        <f>-'Trial Balance'!J147</f>
        <v>0</v>
      </c>
    </row>
    <row r="165" spans="1:2" ht="15" customHeight="1">
      <c r="A165" s="25" t="str">
        <f>'Trial Balance'!A148&amp;"-"&amp;'Trial Balance'!B148</f>
        <v>2256-Independent Market Operator Fees and Penalties Payable</v>
      </c>
      <c r="B165" s="345">
        <f>-'Trial Balance'!J148</f>
        <v>0</v>
      </c>
    </row>
    <row r="166" spans="1:2" ht="15" customHeight="1">
      <c r="A166" s="25" t="str">
        <f>'Trial Balance'!A149&amp;"-"&amp;'Trial Balance'!B149</f>
        <v>2260-Current Portion of Long Term Debt</v>
      </c>
      <c r="B166" s="345">
        <f>-'Trial Balance'!J149</f>
        <v>0</v>
      </c>
    </row>
    <row r="167" spans="1:2" ht="15" customHeight="1">
      <c r="A167" s="25" t="str">
        <f>'Trial Balance'!A150&amp;"-"&amp;'Trial Balance'!B150</f>
        <v>2262-Ontario Hydro Debt - Current Portion</v>
      </c>
      <c r="B167" s="345">
        <f>-'Trial Balance'!J150</f>
        <v>0</v>
      </c>
    </row>
    <row r="168" spans="1:2" ht="15" customHeight="1">
      <c r="A168" s="25" t="str">
        <f>'Trial Balance'!A151&amp;"-"&amp;'Trial Balance'!B151</f>
        <v>2264-Pensions and Employee Benefits - Current Portion</v>
      </c>
      <c r="B168" s="345">
        <f>-'Trial Balance'!J151</f>
        <v>0</v>
      </c>
    </row>
    <row r="169" spans="1:2" ht="15" customHeight="1">
      <c r="A169" s="25" t="str">
        <f>'Trial Balance'!A152&amp;"-"&amp;'Trial Balance'!B152</f>
        <v>2268-Accrued Interest on Long Term Debt</v>
      </c>
      <c r="B169" s="345">
        <f>-'Trial Balance'!J152</f>
        <v>0</v>
      </c>
    </row>
    <row r="170" spans="1:2" ht="15" customHeight="1">
      <c r="A170" s="25" t="str">
        <f>'Trial Balance'!A153&amp;"-"&amp;'Trial Balance'!B153</f>
        <v>2270-Matured Long Term Debt</v>
      </c>
      <c r="B170" s="345">
        <f>-'Trial Balance'!J153</f>
        <v>0</v>
      </c>
    </row>
    <row r="171" spans="1:2" ht="15" customHeight="1">
      <c r="A171" s="25" t="str">
        <f>'Trial Balance'!A154&amp;"-"&amp;'Trial Balance'!B154</f>
        <v>2272-Matured Interest on Long Term Debt</v>
      </c>
      <c r="B171" s="345">
        <f>-'Trial Balance'!J154</f>
        <v>0</v>
      </c>
    </row>
    <row r="172" spans="1:2" ht="15" customHeight="1">
      <c r="A172" s="25" t="str">
        <f>'Trial Balance'!A155&amp;"-"&amp;'Trial Balance'!B155</f>
        <v>2285-Obligations Under Capital Leases--Current</v>
      </c>
      <c r="B172" s="345">
        <f>-'Trial Balance'!J155</f>
        <v>0</v>
      </c>
    </row>
    <row r="173" spans="1:2" ht="15" customHeight="1">
      <c r="A173" s="25" t="str">
        <f>'Trial Balance'!A156&amp;"-"&amp;'Trial Balance'!B156</f>
        <v>2290-Commodity Taxes</v>
      </c>
      <c r="B173" s="345">
        <f>-'Trial Balance'!J156</f>
        <v>65000</v>
      </c>
    </row>
    <row r="174" spans="1:2" ht="15" customHeight="1">
      <c r="A174" s="25" t="str">
        <f>'Trial Balance'!A157&amp;"-"&amp;'Trial Balance'!B157</f>
        <v>2292-Payroll Deductions / Expenses Payable</v>
      </c>
      <c r="B174" s="345">
        <f>-'Trial Balance'!J157</f>
        <v>20000</v>
      </c>
    </row>
    <row r="175" spans="1:2" ht="15" customHeight="1">
      <c r="A175" s="25" t="str">
        <f>'Trial Balance'!A158&amp;"-"&amp;'Trial Balance'!B158</f>
        <v>2294-Accrual for Taxes, "Payments in Lieu" of Taxes, Etc.</v>
      </c>
      <c r="B175" s="345">
        <f>-'Trial Balance'!J158</f>
        <v>0</v>
      </c>
    </row>
    <row r="176" spans="1:2" ht="15" customHeight="1" thickBot="1">
      <c r="A176" s="25" t="str">
        <f>'Trial Balance'!A159&amp;"-"&amp;'Trial Balance'!B159</f>
        <v>2296-Future Income Taxes - Current</v>
      </c>
      <c r="B176" s="345">
        <f>-'Trial Balance'!J159</f>
        <v>0</v>
      </c>
    </row>
    <row r="177" spans="1:2" ht="15" customHeight="1" thickBot="1">
      <c r="A177" s="28" t="s">
        <v>506</v>
      </c>
      <c r="B177" s="346">
        <f>SUM(B154:B176)</f>
        <v>3437197</v>
      </c>
    </row>
    <row r="178" spans="1:2" s="18" customFormat="1" ht="15" customHeight="1">
      <c r="A178" s="21"/>
      <c r="B178" s="347"/>
    </row>
    <row r="179" spans="1:2" s="18" customFormat="1" ht="15" customHeight="1">
      <c r="A179" s="534" t="s">
        <v>507</v>
      </c>
      <c r="B179" s="534"/>
    </row>
    <row r="180" spans="1:2" ht="15" customHeight="1">
      <c r="A180" s="25" t="str">
        <f>'Trial Balance'!A161&amp;"-"&amp;'Trial Balance'!B161</f>
        <v>2305-Accumulated Provision for Injuries and Damages</v>
      </c>
      <c r="B180" s="345">
        <f>-'Trial Balance'!J161</f>
        <v>0</v>
      </c>
    </row>
    <row r="181" spans="1:2" ht="15" customHeight="1">
      <c r="A181" s="25" t="str">
        <f>'Trial Balance'!A162&amp;"-"&amp;'Trial Balance'!B162</f>
        <v>2306-Employee Future Benefits</v>
      </c>
      <c r="B181" s="345">
        <f>-'Trial Balance'!J162</f>
        <v>0</v>
      </c>
    </row>
    <row r="182" spans="1:2" ht="15" customHeight="1">
      <c r="A182" s="25" t="str">
        <f>'Trial Balance'!A163&amp;"-"&amp;'Trial Balance'!B163</f>
        <v>2308-Other Pensions - Past Service Liability</v>
      </c>
      <c r="B182" s="345">
        <f>-'Trial Balance'!J163</f>
        <v>0</v>
      </c>
    </row>
    <row r="183" spans="1:2" ht="15" customHeight="1">
      <c r="A183" s="25" t="str">
        <f>'Trial Balance'!A164&amp;"-"&amp;'Trial Balance'!B164</f>
        <v>2310-Vested Sick Leave Liability</v>
      </c>
      <c r="B183" s="345">
        <f>-'Trial Balance'!J164</f>
        <v>0</v>
      </c>
    </row>
    <row r="184" spans="1:2" ht="15" customHeight="1">
      <c r="A184" s="25" t="str">
        <f>'Trial Balance'!A165&amp;"-"&amp;'Trial Balance'!B165</f>
        <v>2315-Accumulated Provision for Rate Refunds</v>
      </c>
      <c r="B184" s="345">
        <f>-'Trial Balance'!J165</f>
        <v>0</v>
      </c>
    </row>
    <row r="185" spans="1:2" ht="15" customHeight="1">
      <c r="A185" s="25" t="str">
        <f>'Trial Balance'!A166&amp;"-"&amp;'Trial Balance'!B166</f>
        <v>2320-Other Miscellaneous Non-Current Liabilities</v>
      </c>
      <c r="B185" s="345">
        <f>-'Trial Balance'!J166</f>
        <v>0</v>
      </c>
    </row>
    <row r="186" spans="1:2" ht="15" customHeight="1">
      <c r="A186" s="25" t="str">
        <f>'Trial Balance'!A167&amp;"-"&amp;'Trial Balance'!B167</f>
        <v>2325-Obligations Under Capital Lease--Non-Current</v>
      </c>
      <c r="B186" s="345">
        <f>-'Trial Balance'!J167</f>
        <v>0</v>
      </c>
    </row>
    <row r="187" spans="1:2" ht="15" customHeight="1">
      <c r="A187" s="25" t="str">
        <f>'Trial Balance'!A168&amp;"-"&amp;'Trial Balance'!B168</f>
        <v>2330-Devolpment Charge Fund</v>
      </c>
      <c r="B187" s="345">
        <f>-'Trial Balance'!J168</f>
        <v>0</v>
      </c>
    </row>
    <row r="188" spans="1:2" ht="15" customHeight="1">
      <c r="A188" s="25" t="str">
        <f>'Trial Balance'!A169&amp;"-"&amp;'Trial Balance'!B169</f>
        <v>2335-Long Term Customer Deposits</v>
      </c>
      <c r="B188" s="345">
        <f>-'Trial Balance'!J169</f>
        <v>45000</v>
      </c>
    </row>
    <row r="189" spans="1:2" ht="15" customHeight="1">
      <c r="A189" s="25" t="str">
        <f>'Trial Balance'!A170&amp;"-"&amp;'Trial Balance'!B170</f>
        <v>2340-Collateral Funds Liability</v>
      </c>
      <c r="B189" s="345">
        <f>-'Trial Balance'!J170</f>
        <v>0</v>
      </c>
    </row>
    <row r="190" spans="1:2" ht="15" customHeight="1">
      <c r="A190" s="25" t="str">
        <f>'Trial Balance'!A171&amp;"-"&amp;'Trial Balance'!B171</f>
        <v>2345-Unamortized Premium on Long Term Debt</v>
      </c>
      <c r="B190" s="345">
        <f>-'Trial Balance'!J171</f>
        <v>0</v>
      </c>
    </row>
    <row r="191" spans="1:2" ht="15" customHeight="1">
      <c r="A191" s="25" t="str">
        <f>'Trial Balance'!A172&amp;"-"&amp;'Trial Balance'!B172</f>
        <v>2348-O.M.E.R.S. - Past Service Liability - Long Term Portion</v>
      </c>
      <c r="B191" s="345">
        <f>-'Trial Balance'!J172</f>
        <v>0</v>
      </c>
    </row>
    <row r="192" spans="1:2" ht="15" customHeight="1">
      <c r="A192" s="25" t="str">
        <f>'Trial Balance'!A173&amp;"-"&amp;'Trial Balance'!B173</f>
        <v>2350-Future Income Tax - Non-Current</v>
      </c>
      <c r="B192" s="345">
        <f>-'Trial Balance'!J173</f>
        <v>0</v>
      </c>
    </row>
    <row r="193" spans="1:2" ht="15" customHeight="1">
      <c r="A193" s="25" t="str">
        <f>'Trial Balance'!A175&amp;"-"&amp;'Trial Balance'!B175</f>
        <v>2405-Other Regulatory Liabilities</v>
      </c>
      <c r="B193" s="345">
        <f>-'Trial Balance'!J175</f>
        <v>0</v>
      </c>
    </row>
    <row r="194" spans="1:2" ht="15" customHeight="1">
      <c r="A194" s="25" t="str">
        <f>'Trial Balance'!A176&amp;"-"&amp;'Trial Balance'!B176</f>
        <v>2410-Deferred Gains From Disposition of Utility Plant</v>
      </c>
      <c r="B194" s="345">
        <f>-'Trial Balance'!J176</f>
        <v>0</v>
      </c>
    </row>
    <row r="195" spans="1:2" ht="15" customHeight="1">
      <c r="A195" s="25" t="str">
        <f>'Trial Balance'!A177&amp;"-"&amp;'Trial Balance'!B177</f>
        <v>2415-Unamortized Gain on Reacquired Debt</v>
      </c>
      <c r="B195" s="345">
        <f>-'Trial Balance'!J177</f>
        <v>0</v>
      </c>
    </row>
    <row r="196" spans="1:2" ht="15" customHeight="1">
      <c r="A196" s="25" t="str">
        <f>'Trial Balance'!A178&amp;"-"&amp;'Trial Balance'!B178</f>
        <v>2425-Other Deferred Credits</v>
      </c>
      <c r="B196" s="345">
        <f>-'Trial Balance'!J178</f>
        <v>30000</v>
      </c>
    </row>
    <row r="197" spans="1:2" ht="15" customHeight="1" thickBot="1">
      <c r="A197" s="25" t="str">
        <f>'Trial Balance'!A179&amp;"-"&amp;'Trial Balance'!B179</f>
        <v>2435-Accrued Rate-Payer Benefit</v>
      </c>
      <c r="B197" s="345">
        <f>-'Trial Balance'!J179</f>
        <v>0</v>
      </c>
    </row>
    <row r="198" spans="1:2" ht="15" customHeight="1" thickBot="1">
      <c r="A198" s="28" t="s">
        <v>153</v>
      </c>
      <c r="B198" s="346">
        <f>SUM(B180:B197)</f>
        <v>75000</v>
      </c>
    </row>
    <row r="199" spans="1:2" s="18" customFormat="1" ht="15" customHeight="1">
      <c r="A199" s="21"/>
      <c r="B199" s="347"/>
    </row>
    <row r="200" spans="1:2" s="18" customFormat="1" ht="15" customHeight="1">
      <c r="A200" s="534" t="s">
        <v>154</v>
      </c>
      <c r="B200" s="534"/>
    </row>
    <row r="201" spans="1:2" s="18" customFormat="1" ht="15" customHeight="1">
      <c r="A201" s="25" t="str">
        <f>'Trial Balance'!A181&amp;"-"&amp;'Trial Balance'!B181</f>
        <v>2505-Debentures Outstanding - Long Term Portion</v>
      </c>
      <c r="B201" s="345">
        <f>-'Trial Balance'!J181</f>
        <v>1042255.2</v>
      </c>
    </row>
    <row r="202" spans="1:2" s="18" customFormat="1" ht="15" customHeight="1">
      <c r="A202" s="25" t="str">
        <f>'Trial Balance'!A182&amp;"-"&amp;'Trial Balance'!B182</f>
        <v>2510-Debenture Advances</v>
      </c>
      <c r="B202" s="345">
        <f>-'Trial Balance'!J182</f>
        <v>0</v>
      </c>
    </row>
    <row r="203" spans="1:2" s="18" customFormat="1" ht="15" customHeight="1">
      <c r="A203" s="25" t="str">
        <f>'Trial Balance'!A183&amp;"-"&amp;'Trial Balance'!B183</f>
        <v>2515-Required Bonds</v>
      </c>
      <c r="B203" s="345">
        <f>-'Trial Balance'!J183</f>
        <v>0</v>
      </c>
    </row>
    <row r="204" spans="1:2" s="18" customFormat="1" ht="15" customHeight="1">
      <c r="A204" s="25" t="str">
        <f>'Trial Balance'!A184&amp;"-"&amp;'Trial Balance'!B184</f>
        <v>2520-Other Long Term Debt</v>
      </c>
      <c r="B204" s="345">
        <f>-'Trial Balance'!J184</f>
        <v>214375</v>
      </c>
    </row>
    <row r="205" spans="1:2" s="18" customFormat="1" ht="15" customHeight="1">
      <c r="A205" s="25" t="str">
        <f>'Trial Balance'!A185&amp;"-"&amp;'Trial Balance'!B185</f>
        <v>2525-Term Bank Loans - Long Term Portion</v>
      </c>
      <c r="B205" s="345">
        <f>-'Trial Balance'!J185</f>
        <v>800000</v>
      </c>
    </row>
    <row r="206" spans="1:2" s="18" customFormat="1" ht="15" customHeight="1">
      <c r="A206" s="25" t="str">
        <f>'Trial Balance'!A186&amp;"-"&amp;'Trial Balance'!B186</f>
        <v>2530-Ontario Hydro Debt Outstanding - Long Term Portion</v>
      </c>
      <c r="B206" s="345">
        <f>-'Trial Balance'!J186</f>
        <v>0</v>
      </c>
    </row>
    <row r="207" spans="1:2" ht="15" customHeight="1" thickBot="1">
      <c r="A207" s="25" t="str">
        <f>'Trial Balance'!A187&amp;"-"&amp;'Trial Balance'!B187</f>
        <v>2550-Advances from Associated Companies</v>
      </c>
      <c r="B207" s="345">
        <f>-'Trial Balance'!J187</f>
        <v>0</v>
      </c>
    </row>
    <row r="208" spans="1:2" ht="15" customHeight="1" thickBot="1">
      <c r="A208" s="28" t="s">
        <v>155</v>
      </c>
      <c r="B208" s="346">
        <f>SUM(B201:B207)</f>
        <v>2056630.2</v>
      </c>
    </row>
    <row r="209" spans="1:2" s="18" customFormat="1" ht="15" customHeight="1">
      <c r="A209" s="21"/>
      <c r="B209" s="347"/>
    </row>
    <row r="210" spans="1:2" s="18" customFormat="1" ht="15" customHeight="1">
      <c r="A210" s="534" t="s">
        <v>156</v>
      </c>
      <c r="B210" s="534"/>
    </row>
    <row r="211" spans="1:2" ht="15" customHeight="1">
      <c r="A211" s="25" t="str">
        <f>'Trial Balance'!A189&amp;"-"&amp;'Trial Balance'!B189</f>
        <v>3005-Common Shares Issued</v>
      </c>
      <c r="B211" s="345">
        <f>-'Trial Balance'!J189</f>
        <v>2511123.49</v>
      </c>
    </row>
    <row r="212" spans="1:2" ht="15" customHeight="1">
      <c r="A212" s="25" t="str">
        <f>'Trial Balance'!A190&amp;"-"&amp;'Trial Balance'!B190</f>
        <v>3008-Preference Shares Issued</v>
      </c>
      <c r="B212" s="345">
        <f>-'Trial Balance'!J190</f>
        <v>0</v>
      </c>
    </row>
    <row r="213" spans="1:2" ht="15" customHeight="1">
      <c r="A213" s="25" t="str">
        <f>'Trial Balance'!A191&amp;"-"&amp;'Trial Balance'!B191</f>
        <v>3010-Contributed Surplus</v>
      </c>
      <c r="B213" s="345">
        <f>-'Trial Balance'!J191</f>
        <v>0</v>
      </c>
    </row>
    <row r="214" spans="1:2" ht="15" customHeight="1">
      <c r="A214" s="25" t="str">
        <f>'Trial Balance'!A192&amp;"-"&amp;'Trial Balance'!B192</f>
        <v>3020-Donations Received</v>
      </c>
      <c r="B214" s="345">
        <f>-'Trial Balance'!J192</f>
        <v>0</v>
      </c>
    </row>
    <row r="215" spans="1:2" ht="15" customHeight="1">
      <c r="A215" s="25" t="str">
        <f>'Trial Balance'!A193&amp;"-"&amp;'Trial Balance'!B193</f>
        <v>3022-Devolpment Charges Transferred to Equity</v>
      </c>
      <c r="B215" s="345">
        <f>-'Trial Balance'!J193</f>
        <v>0</v>
      </c>
    </row>
    <row r="216" spans="1:2" ht="15" customHeight="1">
      <c r="A216" s="25" t="str">
        <f>'Trial Balance'!A194&amp;"-"&amp;'Trial Balance'!B194</f>
        <v>3026-Capital Stock Held in Treasury</v>
      </c>
      <c r="B216" s="345">
        <f>-'Trial Balance'!J194</f>
        <v>0</v>
      </c>
    </row>
    <row r="217" spans="1:2" ht="15" customHeight="1">
      <c r="A217" s="25" t="str">
        <f>'Trial Balance'!A195&amp;"-"&amp;'Trial Balance'!B195</f>
        <v>3030-Miscellaneous Paid-In Capital</v>
      </c>
      <c r="B217" s="345">
        <f>-'Trial Balance'!J195</f>
        <v>0</v>
      </c>
    </row>
    <row r="218" spans="1:2" ht="15" customHeight="1">
      <c r="A218" s="25" t="str">
        <f>'Trial Balance'!A196&amp;"-"&amp;'Trial Balance'!B196</f>
        <v>3035-Installments Received on Capital Stock</v>
      </c>
      <c r="B218" s="345">
        <f>-'Trial Balance'!J196</f>
        <v>0</v>
      </c>
    </row>
    <row r="219" spans="1:2" ht="15" customHeight="1">
      <c r="A219" s="25" t="str">
        <f>'Trial Balance'!A197&amp;"-"&amp;'Trial Balance'!B197</f>
        <v>3040-Appropriated Retained Earnings</v>
      </c>
      <c r="B219" s="345">
        <f>-'Trial Balance'!J197</f>
        <v>0</v>
      </c>
    </row>
    <row r="220" spans="1:2" ht="15" customHeight="1">
      <c r="A220" s="25" t="str">
        <f>'Trial Balance'!A198&amp;"-"&amp;'Trial Balance'!B198</f>
        <v>3045-Unappropriated Retained Earnings</v>
      </c>
      <c r="B220" s="345">
        <f>-'Trial Balance'!J199</f>
        <v>769739.7434752797</v>
      </c>
    </row>
    <row r="221" spans="1:2" ht="15" customHeight="1">
      <c r="A221" s="25" t="s">
        <v>528</v>
      </c>
      <c r="B221" s="350">
        <f>-'2011 Income Statement'!B214</f>
        <v>-68848.60652472035</v>
      </c>
    </row>
    <row r="222" spans="1:2" ht="15" customHeight="1">
      <c r="A222" s="25" t="str">
        <f>'Trial Balance'!A200&amp;"-"&amp;'Trial Balance'!B200</f>
        <v>3047-Appropriations of Retained Earnings - Current Period</v>
      </c>
      <c r="B222" s="345">
        <f>-'Trial Balance'!J200</f>
        <v>0</v>
      </c>
    </row>
    <row r="223" spans="1:2" ht="15" customHeight="1">
      <c r="A223" s="25" t="str">
        <f>'Trial Balance'!A201&amp;"-"&amp;'Trial Balance'!B201</f>
        <v>3048-Dividends Payable-Preference Shares</v>
      </c>
      <c r="B223" s="345">
        <f>-'Trial Balance'!J201</f>
        <v>0</v>
      </c>
    </row>
    <row r="224" spans="1:2" ht="15" customHeight="1">
      <c r="A224" s="25" t="str">
        <f>'Trial Balance'!A202&amp;"-"&amp;'Trial Balance'!B202</f>
        <v>3049-Dividends Payable-Common Shares</v>
      </c>
      <c r="B224" s="345">
        <f>-'Trial Balance'!J202</f>
        <v>-130000</v>
      </c>
    </row>
    <row r="225" spans="1:2" ht="15" customHeight="1">
      <c r="A225" s="25" t="str">
        <f>'Trial Balance'!A203&amp;"-"&amp;'Trial Balance'!B203</f>
        <v>3055-Adjustment to Retained Earnings                 </v>
      </c>
      <c r="B225" s="345">
        <f>-'Trial Balance'!J203</f>
        <v>0</v>
      </c>
    </row>
    <row r="226" spans="1:2" ht="15" customHeight="1" thickBot="1">
      <c r="A226" s="25" t="str">
        <f>'Trial Balance'!A204&amp;"-"&amp;'Trial Balance'!B204</f>
        <v>3065-Unappropriated Undistributed Subsidiary Earnings</v>
      </c>
      <c r="B226" s="345">
        <f>-'Trial Balance'!J204</f>
        <v>0</v>
      </c>
    </row>
    <row r="227" spans="1:2" ht="15" customHeight="1" thickBot="1">
      <c r="A227" s="26" t="s">
        <v>529</v>
      </c>
      <c r="B227" s="346">
        <f>SUM(B211:B226)</f>
        <v>3082014.6269505597</v>
      </c>
    </row>
    <row r="228" spans="1:2" s="10" customFormat="1" ht="15" customHeight="1">
      <c r="A228" s="22"/>
      <c r="B228" s="347"/>
    </row>
    <row r="229" spans="1:2" s="10" customFormat="1" ht="15" customHeight="1">
      <c r="A229" s="204" t="s">
        <v>256</v>
      </c>
      <c r="B229" s="351">
        <f>B177+B198+B208+B227</f>
        <v>8650841.82695056</v>
      </c>
    </row>
    <row r="230" spans="1:2" s="10" customFormat="1" ht="15" customHeight="1" thickBot="1">
      <c r="A230" s="22"/>
      <c r="B230" s="347"/>
    </row>
    <row r="231" spans="1:2" ht="15" customHeight="1" thickBot="1">
      <c r="A231" s="29" t="s">
        <v>255</v>
      </c>
      <c r="B231" s="352">
        <f>B151-B229</f>
        <v>0.1801093276590109</v>
      </c>
    </row>
    <row r="232" spans="1:2" ht="15">
      <c r="A232" s="23"/>
      <c r="B232" s="353"/>
    </row>
    <row r="233" spans="1:2" ht="15">
      <c r="A233" s="23"/>
      <c r="B233" s="353"/>
    </row>
    <row r="234" spans="1:2" ht="15">
      <c r="A234" s="23"/>
      <c r="B234" s="353"/>
    </row>
    <row r="235" spans="1:2" ht="15">
      <c r="A235" s="23"/>
      <c r="B235" s="353"/>
    </row>
    <row r="236" spans="1:2" ht="15">
      <c r="A236" s="23"/>
      <c r="B236" s="353"/>
    </row>
    <row r="237" spans="1:2" ht="15">
      <c r="A237" s="23"/>
      <c r="B237" s="353"/>
    </row>
    <row r="238" spans="1:2" ht="15">
      <c r="A238" s="23"/>
      <c r="B238" s="353"/>
    </row>
    <row r="239" spans="1:2" ht="15">
      <c r="A239" s="23"/>
      <c r="B239" s="353"/>
    </row>
    <row r="240" spans="1:2" ht="15">
      <c r="A240" s="23"/>
      <c r="B240" s="353"/>
    </row>
    <row r="241" spans="1:2" ht="15">
      <c r="A241" s="23"/>
      <c r="B241" s="353"/>
    </row>
    <row r="242" spans="1:2" ht="15">
      <c r="A242" s="23"/>
      <c r="B242" s="353"/>
    </row>
    <row r="243" spans="1:2" ht="15">
      <c r="A243" s="23"/>
      <c r="B243" s="353"/>
    </row>
    <row r="244" spans="1:2" ht="15">
      <c r="A244" s="23"/>
      <c r="B244" s="353"/>
    </row>
    <row r="245" spans="1:2" ht="15">
      <c r="A245" s="23"/>
      <c r="B245" s="353"/>
    </row>
    <row r="246" spans="1:2" ht="15">
      <c r="A246" s="23"/>
      <c r="B246" s="353"/>
    </row>
    <row r="247" spans="1:2" ht="15">
      <c r="A247" s="23"/>
      <c r="B247" s="353"/>
    </row>
    <row r="248" spans="1:2" ht="15">
      <c r="A248" s="23"/>
      <c r="B248" s="353"/>
    </row>
    <row r="249" spans="1:2" ht="15">
      <c r="A249" s="23"/>
      <c r="B249" s="353"/>
    </row>
    <row r="250" spans="1:2" ht="15">
      <c r="A250" s="23"/>
      <c r="B250" s="353"/>
    </row>
    <row r="251" spans="1:2" ht="15">
      <c r="A251" s="23"/>
      <c r="B251" s="353"/>
    </row>
    <row r="252" spans="1:2" ht="15">
      <c r="A252" s="23"/>
      <c r="B252" s="353"/>
    </row>
    <row r="253" spans="1:2" ht="15">
      <c r="A253" s="23"/>
      <c r="B253" s="353"/>
    </row>
    <row r="254" spans="1:2" ht="15">
      <c r="A254" s="23"/>
      <c r="B254" s="353"/>
    </row>
    <row r="255" spans="1:2" ht="15">
      <c r="A255" s="23"/>
      <c r="B255" s="353"/>
    </row>
    <row r="256" spans="1:2" ht="15">
      <c r="A256" s="23"/>
      <c r="B256" s="353"/>
    </row>
    <row r="257" spans="1:2" ht="15">
      <c r="A257" s="23"/>
      <c r="B257" s="353"/>
    </row>
    <row r="258" spans="1:2" ht="15">
      <c r="A258" s="23"/>
      <c r="B258" s="353"/>
    </row>
    <row r="259" spans="1:2" ht="15">
      <c r="A259" s="23"/>
      <c r="B259" s="353"/>
    </row>
    <row r="260" spans="1:2" ht="15">
      <c r="A260" s="23"/>
      <c r="B260" s="353"/>
    </row>
    <row r="261" spans="1:2" ht="15">
      <c r="A261" s="23"/>
      <c r="B261" s="353"/>
    </row>
    <row r="262" spans="1:2" ht="15">
      <c r="A262" s="23"/>
      <c r="B262" s="353"/>
    </row>
    <row r="263" spans="1:2" ht="15">
      <c r="A263" s="23"/>
      <c r="B263" s="353"/>
    </row>
    <row r="264" spans="1:2" ht="15">
      <c r="A264" s="23"/>
      <c r="B264" s="353"/>
    </row>
    <row r="265" spans="1:2" ht="15">
      <c r="A265" s="23"/>
      <c r="B265" s="353"/>
    </row>
    <row r="266" spans="1:2" ht="15">
      <c r="A266" s="23"/>
      <c r="B266" s="353"/>
    </row>
    <row r="267" spans="1:2" ht="15">
      <c r="A267" s="23"/>
      <c r="B267" s="353"/>
    </row>
    <row r="268" spans="1:2" ht="15">
      <c r="A268" s="23"/>
      <c r="B268" s="353"/>
    </row>
    <row r="269" spans="1:2" ht="15">
      <c r="A269" s="23"/>
      <c r="B269" s="353"/>
    </row>
    <row r="270" spans="1:2" ht="15">
      <c r="A270" s="23"/>
      <c r="B270" s="353"/>
    </row>
    <row r="271" spans="1:2" ht="15">
      <c r="A271" s="23"/>
      <c r="B271" s="353"/>
    </row>
    <row r="272" spans="1:2" ht="15">
      <c r="A272" s="23"/>
      <c r="B272" s="353"/>
    </row>
    <row r="273" spans="1:2" ht="15">
      <c r="A273" s="23"/>
      <c r="B273" s="353"/>
    </row>
    <row r="274" spans="1:2" ht="15">
      <c r="A274" s="23"/>
      <c r="B274" s="353"/>
    </row>
    <row r="275" spans="1:2" ht="15">
      <c r="A275" s="23"/>
      <c r="B275" s="353"/>
    </row>
    <row r="276" spans="1:2" ht="15">
      <c r="A276" s="23"/>
      <c r="B276" s="353"/>
    </row>
    <row r="277" spans="1:2" ht="15">
      <c r="A277" s="23"/>
      <c r="B277" s="353"/>
    </row>
    <row r="278" spans="1:2" ht="15">
      <c r="A278" s="23"/>
      <c r="B278" s="353"/>
    </row>
    <row r="279" spans="1:2" ht="15">
      <c r="A279" s="23"/>
      <c r="B279" s="353"/>
    </row>
    <row r="280" spans="1:2" ht="15">
      <c r="A280" s="23"/>
      <c r="B280" s="353"/>
    </row>
    <row r="281" spans="1:2" ht="15">
      <c r="A281" s="23"/>
      <c r="B281" s="353"/>
    </row>
    <row r="282" spans="1:2" ht="15">
      <c r="A282" s="23"/>
      <c r="B282" s="353"/>
    </row>
    <row r="283" spans="1:2" ht="15">
      <c r="A283" s="23"/>
      <c r="B283" s="353"/>
    </row>
    <row r="284" spans="1:2" ht="15">
      <c r="A284" s="23"/>
      <c r="B284" s="353"/>
    </row>
    <row r="285" spans="1:2" ht="15">
      <c r="A285" s="23"/>
      <c r="B285" s="353"/>
    </row>
    <row r="286" spans="1:2" ht="15">
      <c r="A286" s="23"/>
      <c r="B286" s="353"/>
    </row>
    <row r="287" spans="1:2" ht="15">
      <c r="A287" s="23"/>
      <c r="B287" s="353"/>
    </row>
    <row r="288" spans="1:2" ht="15">
      <c r="A288" s="23"/>
      <c r="B288" s="353"/>
    </row>
    <row r="289" spans="1:2" ht="15">
      <c r="A289" s="23"/>
      <c r="B289" s="353"/>
    </row>
    <row r="290" spans="1:2" ht="15">
      <c r="A290" s="23"/>
      <c r="B290" s="353"/>
    </row>
    <row r="291" spans="1:2" ht="15">
      <c r="A291" s="23"/>
      <c r="B291" s="353"/>
    </row>
    <row r="292" spans="1:2" ht="15">
      <c r="A292" s="23"/>
      <c r="B292" s="353"/>
    </row>
    <row r="293" spans="1:2" ht="15">
      <c r="A293" s="23"/>
      <c r="B293" s="353"/>
    </row>
    <row r="294" spans="1:2" ht="15">
      <c r="A294" s="23"/>
      <c r="B294" s="353"/>
    </row>
    <row r="295" spans="1:2" ht="15">
      <c r="A295" s="23"/>
      <c r="B295" s="353"/>
    </row>
    <row r="296" spans="1:2" ht="15">
      <c r="A296" s="23"/>
      <c r="B296" s="353"/>
    </row>
    <row r="297" spans="1:2" ht="15">
      <c r="A297" s="23"/>
      <c r="B297" s="353"/>
    </row>
    <row r="298" spans="1:2" ht="15">
      <c r="A298" s="23"/>
      <c r="B298" s="353"/>
    </row>
    <row r="299" spans="1:2" ht="15">
      <c r="A299" s="23"/>
      <c r="B299" s="353"/>
    </row>
    <row r="300" spans="1:2" ht="15">
      <c r="A300" s="23"/>
      <c r="B300" s="353"/>
    </row>
    <row r="301" spans="1:2" ht="15">
      <c r="A301" s="23"/>
      <c r="B301" s="353"/>
    </row>
    <row r="302" spans="1:2" ht="15">
      <c r="A302" s="23"/>
      <c r="B302" s="353"/>
    </row>
    <row r="303" spans="1:2" ht="15">
      <c r="A303" s="23"/>
      <c r="B303" s="353"/>
    </row>
    <row r="304" spans="1:2" ht="15">
      <c r="A304" s="23"/>
      <c r="B304" s="353"/>
    </row>
    <row r="305" spans="1:2" ht="15">
      <c r="A305" s="23"/>
      <c r="B305" s="353"/>
    </row>
    <row r="306" spans="1:2" ht="15">
      <c r="A306" s="23"/>
      <c r="B306" s="353"/>
    </row>
    <row r="307" spans="1:2" ht="15">
      <c r="A307" s="23"/>
      <c r="B307" s="353"/>
    </row>
    <row r="308" spans="1:2" ht="15">
      <c r="A308" s="23"/>
      <c r="B308" s="353"/>
    </row>
    <row r="309" spans="1:2" ht="15">
      <c r="A309" s="23"/>
      <c r="B309" s="353"/>
    </row>
    <row r="310" spans="1:2" ht="15">
      <c r="A310" s="23"/>
      <c r="B310" s="353"/>
    </row>
    <row r="311" spans="1:2" ht="15">
      <c r="A311" s="23"/>
      <c r="B311" s="353"/>
    </row>
    <row r="312" spans="1:2" ht="15">
      <c r="A312" s="23"/>
      <c r="B312" s="353"/>
    </row>
    <row r="313" spans="1:2" ht="15">
      <c r="A313" s="23"/>
      <c r="B313" s="353"/>
    </row>
    <row r="314" spans="1:2" ht="15">
      <c r="A314" s="23"/>
      <c r="B314" s="353"/>
    </row>
    <row r="315" spans="1:2" ht="15">
      <c r="A315" s="23"/>
      <c r="B315" s="353"/>
    </row>
    <row r="316" spans="1:2" ht="15">
      <c r="A316" s="23"/>
      <c r="B316" s="353"/>
    </row>
    <row r="317" spans="1:2" ht="15">
      <c r="A317" s="23"/>
      <c r="B317" s="353"/>
    </row>
    <row r="318" spans="1:2" ht="15">
      <c r="A318" s="23"/>
      <c r="B318" s="353"/>
    </row>
    <row r="319" spans="1:2" ht="15">
      <c r="A319" s="23"/>
      <c r="B319" s="353"/>
    </row>
    <row r="320" spans="1:2" ht="15">
      <c r="A320" s="23"/>
      <c r="B320" s="353"/>
    </row>
    <row r="321" spans="1:2" ht="15">
      <c r="A321" s="23"/>
      <c r="B321" s="353"/>
    </row>
    <row r="322" spans="1:2" ht="15">
      <c r="A322" s="23"/>
      <c r="B322" s="353"/>
    </row>
    <row r="323" spans="1:2" ht="15">
      <c r="A323" s="23"/>
      <c r="B323" s="353"/>
    </row>
    <row r="324" spans="1:2" ht="15">
      <c r="A324" s="23"/>
      <c r="B324" s="353"/>
    </row>
    <row r="325" spans="1:2" ht="15">
      <c r="A325" s="23"/>
      <c r="B325" s="353"/>
    </row>
    <row r="326" spans="1:2" ht="15">
      <c r="A326" s="23"/>
      <c r="B326" s="353"/>
    </row>
    <row r="327" spans="1:2" ht="15">
      <c r="A327" s="23"/>
      <c r="B327" s="353"/>
    </row>
    <row r="328" spans="1:2" ht="15">
      <c r="A328" s="23"/>
      <c r="B328" s="353"/>
    </row>
    <row r="329" spans="1:2" ht="15">
      <c r="A329" s="23"/>
      <c r="B329" s="353"/>
    </row>
    <row r="330" spans="1:2" ht="15">
      <c r="A330" s="23"/>
      <c r="B330" s="353"/>
    </row>
    <row r="331" spans="1:2" ht="15">
      <c r="A331" s="23"/>
      <c r="B331" s="353"/>
    </row>
    <row r="332" spans="1:2" ht="15">
      <c r="A332" s="23"/>
      <c r="B332" s="353"/>
    </row>
    <row r="333" spans="1:2" ht="15">
      <c r="A333" s="23"/>
      <c r="B333" s="353"/>
    </row>
    <row r="334" spans="1:2" ht="15">
      <c r="A334" s="23"/>
      <c r="B334" s="353"/>
    </row>
    <row r="335" spans="1:2" ht="15">
      <c r="A335" s="23"/>
      <c r="B335" s="353"/>
    </row>
    <row r="336" spans="1:2" ht="15">
      <c r="A336" s="23"/>
      <c r="B336" s="353"/>
    </row>
    <row r="337" spans="1:2" ht="15">
      <c r="A337" s="23"/>
      <c r="B337" s="353"/>
    </row>
    <row r="338" spans="1:2" ht="15">
      <c r="A338" s="23"/>
      <c r="B338" s="353"/>
    </row>
    <row r="339" spans="1:2" ht="15">
      <c r="A339" s="23"/>
      <c r="B339" s="353"/>
    </row>
    <row r="340" spans="1:2" ht="15">
      <c r="A340" s="23"/>
      <c r="B340" s="353"/>
    </row>
    <row r="341" spans="1:2" ht="15">
      <c r="A341" s="23"/>
      <c r="B341" s="353"/>
    </row>
    <row r="342" spans="1:2" ht="15">
      <c r="A342" s="23"/>
      <c r="B342" s="353"/>
    </row>
    <row r="343" spans="1:2" ht="15">
      <c r="A343" s="23"/>
      <c r="B343" s="353"/>
    </row>
    <row r="344" spans="1:2" ht="15">
      <c r="A344" s="23"/>
      <c r="B344" s="353"/>
    </row>
    <row r="345" spans="1:2" ht="15">
      <c r="A345" s="23"/>
      <c r="B345" s="353"/>
    </row>
    <row r="346" spans="1:2" ht="15">
      <c r="A346" s="23"/>
      <c r="B346" s="353"/>
    </row>
    <row r="347" spans="1:2" ht="15">
      <c r="A347" s="23"/>
      <c r="B347" s="353"/>
    </row>
    <row r="348" spans="1:2" ht="15">
      <c r="A348" s="23"/>
      <c r="B348" s="353"/>
    </row>
    <row r="349" spans="1:2" ht="15">
      <c r="A349" s="23"/>
      <c r="B349" s="353"/>
    </row>
    <row r="350" spans="1:2" ht="15">
      <c r="A350" s="23"/>
      <c r="B350" s="353"/>
    </row>
  </sheetData>
  <sheetProtection/>
  <mergeCells count="17">
    <mergeCell ref="A30:B30"/>
    <mergeCell ref="A1:B1"/>
    <mergeCell ref="A2:B2"/>
    <mergeCell ref="A37:B37"/>
    <mergeCell ref="A3:B3"/>
    <mergeCell ref="A4:B4"/>
    <mergeCell ref="A6:B6"/>
    <mergeCell ref="A29:B29"/>
    <mergeCell ref="A54:B54"/>
    <mergeCell ref="A87:B87"/>
    <mergeCell ref="A106:B106"/>
    <mergeCell ref="A129:B129"/>
    <mergeCell ref="A210:B210"/>
    <mergeCell ref="A143:B143"/>
    <mergeCell ref="A153:B153"/>
    <mergeCell ref="A179:B179"/>
    <mergeCell ref="A200:B200"/>
  </mergeCells>
  <printOptions/>
  <pageMargins left="0.4724409448818898" right="0.7480314960629921" top="0.984251968503937" bottom="0.984251968503937" header="0.5118110236220472" footer="0.5118110236220472"/>
  <pageSetup fitToHeight="5" horizontalDpi="355" verticalDpi="355" orientation="portrait" scale="77" r:id="rId1"/>
  <headerFooter alignWithMargins="0">
    <oddFooter>&amp;L&amp;A</oddFooter>
  </headerFooter>
  <rowBreaks count="4" manualBreakCount="4">
    <brk id="53" max="255" man="1"/>
    <brk id="105" max="255" man="1"/>
    <brk id="152" max="255" man="1"/>
    <brk id="19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30"/>
  <sheetViews>
    <sheetView zoomScalePageLayoutView="0" workbookViewId="0" topLeftCell="A205">
      <selection activeCell="B74" sqref="B74"/>
    </sheetView>
  </sheetViews>
  <sheetFormatPr defaultColWidth="9.140625" defaultRowHeight="12.75"/>
  <cols>
    <col min="1" max="1" width="72.28125" style="0" customWidth="1"/>
    <col min="2" max="2" width="21.8515625" style="323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519" t="str">
        <f>'Trial Balance'!A1:F1</f>
        <v>Rideau St. Lawrence Distribution Inc.</v>
      </c>
      <c r="B1" s="519"/>
    </row>
    <row r="2" spans="1:2" ht="12.75">
      <c r="A2" s="519" t="str">
        <f>'Trial Balance'!A2:F2</f>
        <v> License Number ED-2003-0003, File Number EB-2011-0274</v>
      </c>
      <c r="B2" s="519"/>
    </row>
    <row r="3" spans="1:2" s="20" customFormat="1" ht="15.75">
      <c r="A3" s="537" t="str">
        <f>Notes!B4</f>
        <v>Rideau St. Lawrence Distribution Inc.</v>
      </c>
      <c r="B3" s="537"/>
    </row>
    <row r="4" spans="1:2" s="20" customFormat="1" ht="15.75">
      <c r="A4" s="543" t="s">
        <v>824</v>
      </c>
      <c r="B4" s="543"/>
    </row>
    <row r="5" spans="1:2" ht="15" customHeight="1">
      <c r="A5" s="63" t="s">
        <v>510</v>
      </c>
      <c r="B5" s="340" t="s">
        <v>150</v>
      </c>
    </row>
    <row r="6" spans="1:2" ht="15" customHeight="1">
      <c r="A6" s="542" t="s">
        <v>138</v>
      </c>
      <c r="B6" s="542"/>
    </row>
    <row r="7" spans="1:7" ht="15" customHeight="1">
      <c r="A7" s="25" t="str">
        <f>'Trial Balance'!A206&amp;"-"&amp;'Trial Balance'!B206</f>
        <v>4006-Residential Energy Sales</v>
      </c>
      <c r="B7" s="339">
        <f>'Trial Balance'!J206</f>
        <v>-3271680.951083817</v>
      </c>
      <c r="D7" s="11"/>
      <c r="E7" s="12"/>
      <c r="F7" s="13"/>
      <c r="G7" s="15"/>
    </row>
    <row r="8" spans="1:7" ht="15" customHeight="1">
      <c r="A8" s="25" t="str">
        <f>'Trial Balance'!A207&amp;"-"&amp;'Trial Balance'!B207</f>
        <v>4010-Commercial Energy Sales GS&lt;50 &amp; USL</v>
      </c>
      <c r="B8" s="339">
        <f>'Trial Balance'!J207</f>
        <v>-1513692.6319006688</v>
      </c>
      <c r="D8" s="11"/>
      <c r="E8" s="12"/>
      <c r="F8" s="13"/>
      <c r="G8" s="15"/>
    </row>
    <row r="9" spans="1:7" ht="15" customHeight="1">
      <c r="A9" s="25" t="str">
        <f>'Trial Balance'!A208&amp;"-"&amp;'Trial Balance'!B208</f>
        <v>4015-Industrial Energy Sales/Intermediate</v>
      </c>
      <c r="B9" s="339">
        <f>'Trial Balance'!J208</f>
        <v>-2832645.6440009153</v>
      </c>
      <c r="D9" s="11"/>
      <c r="E9" s="12"/>
      <c r="F9" s="13"/>
      <c r="G9" s="15"/>
    </row>
    <row r="10" spans="1:7" ht="15" customHeight="1">
      <c r="A10" s="25" t="str">
        <f>'Trial Balance'!A209&amp;"-"&amp;'Trial Balance'!B209</f>
        <v>4020-Energy Sales to Large Users</v>
      </c>
      <c r="B10" s="339">
        <f>'Trial Balance'!J209</f>
        <v>0</v>
      </c>
      <c r="D10" s="11"/>
      <c r="E10" s="12"/>
      <c r="F10" s="13"/>
      <c r="G10" s="15"/>
    </row>
    <row r="11" spans="1:7" ht="15" customHeight="1">
      <c r="A11" s="25" t="str">
        <f>'Trial Balance'!A210&amp;"-"&amp;'Trial Balance'!B210</f>
        <v>4025-Street Lighting Energy Sales</v>
      </c>
      <c r="B11" s="339">
        <f>'Trial Balance'!J210</f>
        <v>-101392.03424934646</v>
      </c>
      <c r="D11" s="11"/>
      <c r="E11" s="12"/>
      <c r="F11" s="13"/>
      <c r="G11" s="15"/>
    </row>
    <row r="12" spans="1:7" ht="15" customHeight="1">
      <c r="A12" s="25" t="str">
        <f>'Trial Balance'!A211&amp;"-"&amp;'Trial Balance'!B211</f>
        <v>4030-Sentinel Energy Sales</v>
      </c>
      <c r="B12" s="339">
        <f>'Trial Balance'!J211</f>
        <v>-7969.645428264</v>
      </c>
      <c r="D12" s="11"/>
      <c r="E12" s="12"/>
      <c r="F12" s="13"/>
      <c r="G12" s="15"/>
    </row>
    <row r="13" spans="1:7" ht="15" customHeight="1">
      <c r="A13" s="25" t="str">
        <f>'Trial Balance'!A212&amp;"-"&amp;'Trial Balance'!B212</f>
        <v>4035-General Energy Sales GS&gt; 50- 2999</v>
      </c>
      <c r="B13" s="339">
        <f>'Trial Balance'!J212</f>
        <v>0</v>
      </c>
      <c r="D13" s="11"/>
      <c r="E13" s="12"/>
      <c r="F13" s="13"/>
      <c r="G13" s="15"/>
    </row>
    <row r="14" spans="1:7" ht="15" customHeight="1">
      <c r="A14" s="25" t="str">
        <f>'Trial Balance'!A213&amp;"-"&amp;'Trial Balance'!B213</f>
        <v>4040-Other Energy Sales to Public Authorities</v>
      </c>
      <c r="B14" s="339">
        <f>'Trial Balance'!J213</f>
        <v>0</v>
      </c>
      <c r="D14" s="11"/>
      <c r="E14" s="12"/>
      <c r="F14" s="13"/>
      <c r="G14" s="15"/>
    </row>
    <row r="15" spans="1:7" ht="15" customHeight="1">
      <c r="A15" s="25" t="str">
        <f>'Trial Balance'!A214&amp;"-"&amp;'Trial Balance'!B214</f>
        <v>4045-Energy Sales to Railroads and Railways</v>
      </c>
      <c r="B15" s="339">
        <f>'Trial Balance'!J214</f>
        <v>0</v>
      </c>
      <c r="D15" s="11"/>
      <c r="E15" s="12"/>
      <c r="F15" s="13"/>
      <c r="G15" s="15"/>
    </row>
    <row r="16" spans="1:7" ht="15" customHeight="1">
      <c r="A16" s="25" t="str">
        <f>'Trial Balance'!A215&amp;"-"&amp;'Trial Balance'!B215</f>
        <v>4050-Revenue Adjustment</v>
      </c>
      <c r="B16" s="339">
        <f>'Trial Balance'!J215</f>
        <v>0</v>
      </c>
      <c r="D16" s="11"/>
      <c r="E16" s="12"/>
      <c r="F16" s="13"/>
      <c r="G16" s="15"/>
    </row>
    <row r="17" spans="1:7" ht="15" customHeight="1">
      <c r="A17" s="25" t="str">
        <f>'Trial Balance'!A216&amp;"-"&amp;'Trial Balance'!B216</f>
        <v>4055-Energy Sales for Resale</v>
      </c>
      <c r="B17" s="339">
        <f>'Trial Balance'!J216</f>
        <v>0</v>
      </c>
      <c r="D17" s="11"/>
      <c r="E17" s="14"/>
      <c r="F17" s="13"/>
      <c r="G17" s="15"/>
    </row>
    <row r="18" spans="1:7" ht="15" customHeight="1">
      <c r="A18" s="25" t="str">
        <f>'Trial Balance'!A217&amp;"-"&amp;'Trial Balance'!B217</f>
        <v>4060-Interdepartmental Energy Sales</v>
      </c>
      <c r="B18" s="339">
        <f>'Trial Balance'!J217</f>
        <v>0</v>
      </c>
      <c r="D18" s="11"/>
      <c r="E18" s="12"/>
      <c r="F18" s="13"/>
      <c r="G18" s="15"/>
    </row>
    <row r="19" spans="1:7" ht="15" customHeight="1">
      <c r="A19" s="25" t="str">
        <f>'Trial Balance'!A218&amp;"-"&amp;'Trial Balance'!B218</f>
        <v>4062-WMS</v>
      </c>
      <c r="B19" s="339">
        <f>'Trial Balance'!J218</f>
        <v>-746768.895470876</v>
      </c>
      <c r="D19" s="11"/>
      <c r="E19" s="12"/>
      <c r="F19" s="13"/>
      <c r="G19" s="15"/>
    </row>
    <row r="20" spans="1:7" ht="15" customHeight="1">
      <c r="A20" s="25" t="str">
        <f>'Trial Balance'!A219&amp;"-"&amp;'Trial Balance'!B219</f>
        <v>4064-Billed WMS-One Time</v>
      </c>
      <c r="B20" s="339">
        <f>'Trial Balance'!J219</f>
        <v>0</v>
      </c>
      <c r="D20" s="11"/>
      <c r="E20" s="12"/>
      <c r="F20" s="13"/>
      <c r="G20" s="15"/>
    </row>
    <row r="21" spans="1:7" ht="15" customHeight="1">
      <c r="A21" s="25" t="str">
        <f>'Trial Balance'!A220&amp;"-"&amp;'Trial Balance'!B220</f>
        <v>4066-NS</v>
      </c>
      <c r="B21" s="339">
        <f>'Trial Balance'!J220</f>
        <v>-660849.6274092953</v>
      </c>
      <c r="D21" s="11"/>
      <c r="E21" s="12"/>
      <c r="F21" s="13"/>
      <c r="G21" s="15"/>
    </row>
    <row r="22" spans="1:7" ht="15" customHeight="1">
      <c r="A22" s="25" t="str">
        <f>'Trial Balance'!A221&amp;"-"&amp;'Trial Balance'!B221</f>
        <v>4068-CS</v>
      </c>
      <c r="B22" s="339">
        <f>+'Trial Balance'!J221</f>
        <v>-517418.2168456368</v>
      </c>
      <c r="D22" s="11"/>
      <c r="E22" s="12"/>
      <c r="F22" s="13"/>
      <c r="G22" s="15"/>
    </row>
    <row r="23" spans="1:7" ht="15" customHeight="1" thickBot="1">
      <c r="A23" s="25" t="str">
        <f>'Trial Balance'!A222&amp;"-"&amp;'Trial Balance'!B222</f>
        <v>4075-LV Charges</v>
      </c>
      <c r="B23" s="339">
        <f>'Trial Balance'!J222</f>
        <v>-182627.3176259127</v>
      </c>
      <c r="D23" s="11"/>
      <c r="E23" s="12"/>
      <c r="F23" s="13"/>
      <c r="G23" s="15"/>
    </row>
    <row r="24" spans="1:7" ht="15" customHeight="1" thickBot="1">
      <c r="A24" s="30" t="s">
        <v>139</v>
      </c>
      <c r="B24" s="341">
        <f>SUM(B7:B23)</f>
        <v>-9835044.964014731</v>
      </c>
      <c r="D24" s="11"/>
      <c r="E24" s="14"/>
      <c r="F24" s="13"/>
      <c r="G24" s="15"/>
    </row>
    <row r="25" spans="1:7" s="18" customFormat="1" ht="15" customHeight="1">
      <c r="A25" s="538"/>
      <c r="B25" s="539"/>
      <c r="D25" s="19"/>
      <c r="E25" s="12"/>
      <c r="F25" s="15"/>
      <c r="G25" s="15"/>
    </row>
    <row r="26" spans="1:7" s="18" customFormat="1" ht="15" customHeight="1">
      <c r="A26" s="542" t="s">
        <v>140</v>
      </c>
      <c r="B26" s="542"/>
      <c r="D26" s="19"/>
      <c r="E26" s="12"/>
      <c r="F26" s="15"/>
      <c r="G26" s="15"/>
    </row>
    <row r="27" spans="1:7" ht="15" customHeight="1">
      <c r="A27" s="25" t="str">
        <f>'Trial Balance'!A224&amp;"-"&amp;'Trial Balance'!B224</f>
        <v>4080-Distribution Services Revenue</v>
      </c>
      <c r="B27" s="339">
        <f>'Trial Balance'!J224</f>
        <v>-1942223.6821998083</v>
      </c>
      <c r="D27" s="11"/>
      <c r="E27" s="14"/>
      <c r="F27" s="13"/>
      <c r="G27" s="15"/>
    </row>
    <row r="28" spans="1:7" ht="15" customHeight="1">
      <c r="A28" s="25" t="str">
        <f>'Trial Balance'!A225&amp;"-"&amp;'Trial Balance'!B225</f>
        <v>4082-RS Rev</v>
      </c>
      <c r="B28" s="339">
        <f>'Trial Balance'!J225</f>
        <v>-9501</v>
      </c>
      <c r="D28" s="11"/>
      <c r="E28" s="14"/>
      <c r="F28" s="13"/>
      <c r="G28" s="15"/>
    </row>
    <row r="29" spans="1:7" ht="15" customHeight="1">
      <c r="A29" s="25" t="str">
        <f>'Trial Balance'!A226&amp;"-"&amp;'Trial Balance'!B226</f>
        <v>4084-Serv Tx Requests</v>
      </c>
      <c r="B29" s="339">
        <f>'Trial Balance'!J226</f>
        <v>-151</v>
      </c>
      <c r="D29" s="11"/>
      <c r="E29" s="14"/>
      <c r="F29" s="13"/>
      <c r="G29" s="15"/>
    </row>
    <row r="30" spans="1:7" ht="15" customHeight="1" thickBot="1">
      <c r="A30" s="25" t="str">
        <f>'Trial Balance'!A227&amp;"-"&amp;'Trial Balance'!B227</f>
        <v>4090-Electric Services Incidental to Energy Sales</v>
      </c>
      <c r="B30" s="339">
        <f>'Trial Balance'!J227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41">
        <f>SUM(B27:B30)</f>
        <v>-1951875.6821998083</v>
      </c>
      <c r="D31" s="11"/>
      <c r="E31" s="12"/>
      <c r="F31" s="13"/>
      <c r="G31" s="15"/>
    </row>
    <row r="32" spans="1:7" s="18" customFormat="1" ht="15" customHeight="1">
      <c r="A32" s="538"/>
      <c r="B32" s="539"/>
      <c r="D32" s="19"/>
      <c r="E32" s="12"/>
      <c r="F32" s="15"/>
      <c r="G32" s="15"/>
    </row>
    <row r="33" spans="1:7" s="18" customFormat="1" ht="15" customHeight="1">
      <c r="A33" s="542" t="s">
        <v>75</v>
      </c>
      <c r="B33" s="542"/>
      <c r="D33" s="19"/>
      <c r="E33" s="12"/>
      <c r="F33" s="15"/>
      <c r="G33" s="15"/>
    </row>
    <row r="34" spans="1:7" ht="15" customHeight="1">
      <c r="A34" s="25" t="str">
        <f>'Trial Balance'!A229&amp;"-"&amp;'Trial Balance'!B229</f>
        <v>4205-Interdepartmental Rents</v>
      </c>
      <c r="B34" s="339">
        <f>'Trial Balance'!J229</f>
        <v>0</v>
      </c>
      <c r="D34" s="11"/>
      <c r="E34" s="14"/>
      <c r="F34" s="13"/>
      <c r="G34" s="15"/>
    </row>
    <row r="35" spans="1:2" ht="15" customHeight="1">
      <c r="A35" s="25" t="str">
        <f>'Trial Balance'!A230&amp;"-"&amp;'Trial Balance'!B230</f>
        <v>4210-Rent from Electric Property</v>
      </c>
      <c r="B35" s="339">
        <f>'Trial Balance'!J230</f>
        <v>-44700.28</v>
      </c>
    </row>
    <row r="36" spans="1:2" ht="15" customHeight="1">
      <c r="A36" s="25" t="str">
        <f>'Trial Balance'!A231&amp;"-"&amp;'Trial Balance'!B231</f>
        <v>4215-Other Utility Operating Income</v>
      </c>
      <c r="B36" s="339">
        <f>'Trial Balance'!J231</f>
        <v>0</v>
      </c>
    </row>
    <row r="37" spans="1:2" ht="15" customHeight="1">
      <c r="A37" s="25" t="str">
        <f>'Trial Balance'!A232&amp;"-"&amp;'Trial Balance'!B232</f>
        <v>4220-Other Electric Revenues</v>
      </c>
      <c r="B37" s="339">
        <f>'Trial Balance'!J232</f>
        <v>0</v>
      </c>
    </row>
    <row r="38" spans="1:2" ht="15" customHeight="1">
      <c r="A38" s="25" t="str">
        <f>'Trial Balance'!A233&amp;"-"&amp;'Trial Balance'!B233</f>
        <v>4225-Late Payment Charges</v>
      </c>
      <c r="B38" s="339">
        <f>'Trial Balance'!J233</f>
        <v>-34093</v>
      </c>
    </row>
    <row r="39" spans="1:2" ht="15" customHeight="1">
      <c r="A39" s="25" t="str">
        <f>'Trial Balance'!A234&amp;"-"&amp;'Trial Balance'!B234</f>
        <v>4230-Sales of Water and Water Power</v>
      </c>
      <c r="B39" s="339">
        <f>'Trial Balance'!J234</f>
        <v>0</v>
      </c>
    </row>
    <row r="40" spans="1:2" ht="15" customHeight="1">
      <c r="A40" s="25" t="str">
        <f>'Trial Balance'!A235&amp;"-"&amp;'Trial Balance'!B235</f>
        <v>4235-Miscellaneous Service Revenues</v>
      </c>
      <c r="B40" s="339">
        <f>'Trial Balance'!J235</f>
        <v>-93160</v>
      </c>
    </row>
    <row r="41" spans="1:2" ht="15" customHeight="1">
      <c r="A41" s="25" t="str">
        <f>'Trial Balance'!A236&amp;"-"&amp;'Trial Balance'!B236</f>
        <v>4240-Provision for Rate Refunds</v>
      </c>
      <c r="B41" s="339">
        <f>'Trial Balance'!J236</f>
        <v>0</v>
      </c>
    </row>
    <row r="42" spans="1:2" ht="15" customHeight="1" thickBot="1">
      <c r="A42" s="25" t="str">
        <f>'Trial Balance'!A237&amp;"-"&amp;'Trial Balance'!B237</f>
        <v>4245-Government Assistance Directly Credited to Income</v>
      </c>
      <c r="B42" s="339">
        <f>'Trial Balance'!J237</f>
        <v>0</v>
      </c>
    </row>
    <row r="43" spans="1:2" ht="15" customHeight="1" thickBot="1">
      <c r="A43" s="30" t="s">
        <v>86</v>
      </c>
      <c r="B43" s="341">
        <f>SUM(B34:B42)</f>
        <v>-171953.28</v>
      </c>
    </row>
    <row r="44" spans="1:2" s="18" customFormat="1" ht="15" customHeight="1">
      <c r="A44" s="538"/>
      <c r="B44" s="539"/>
    </row>
    <row r="45" spans="1:2" s="18" customFormat="1" ht="15" customHeight="1">
      <c r="A45" s="542" t="s">
        <v>87</v>
      </c>
      <c r="B45" s="542"/>
    </row>
    <row r="46" spans="1:2" ht="15" customHeight="1">
      <c r="A46" s="25" t="str">
        <f>'Trial Balance'!A239&amp;"-"&amp;'Trial Balance'!B239</f>
        <v>4305-Regulatory Debits</v>
      </c>
      <c r="B46" s="339">
        <f>'Trial Balance'!J239</f>
        <v>0</v>
      </c>
    </row>
    <row r="47" spans="1:2" ht="15" customHeight="1">
      <c r="A47" s="25" t="str">
        <f>'Trial Balance'!A240&amp;"-"&amp;'Trial Balance'!B240</f>
        <v>4310-Regulatory Credits</v>
      </c>
      <c r="B47" s="339">
        <f>'Trial Balance'!J240</f>
        <v>0</v>
      </c>
    </row>
    <row r="48" spans="1:2" ht="15" customHeight="1">
      <c r="A48" s="25" t="str">
        <f>'Trial Balance'!A241&amp;"-"&amp;'Trial Balance'!B241</f>
        <v>4315-Revenues from Electric Plant Leased to Others</v>
      </c>
      <c r="B48" s="339">
        <f>'Trial Balance'!J241</f>
        <v>0</v>
      </c>
    </row>
    <row r="49" spans="1:2" ht="15" customHeight="1">
      <c r="A49" s="25" t="str">
        <f>'Trial Balance'!A242&amp;"-"&amp;'Trial Balance'!B242</f>
        <v>4320-Expenses of Electric Plant Leased to Others</v>
      </c>
      <c r="B49" s="339">
        <f>'Trial Balance'!J242</f>
        <v>0</v>
      </c>
    </row>
    <row r="50" spans="1:2" ht="15" customHeight="1">
      <c r="A50" s="25" t="str">
        <f>'Trial Balance'!A244&amp;"-"&amp;'Trial Balance'!B244</f>
        <v>4325-Revenues from Merchandise, Jobbing, Etc.</v>
      </c>
      <c r="B50" s="339">
        <f>'Trial Balance'!J244</f>
        <v>0</v>
      </c>
    </row>
    <row r="51" spans="1:2" ht="15" customHeight="1">
      <c r="A51" s="25" t="str">
        <f>'Trial Balance'!A245&amp;"-"&amp;'Trial Balance'!B245</f>
        <v>4330-Costs and Expenses of Merchandising, Jobbing, Etc</v>
      </c>
      <c r="B51" s="339">
        <f>'Trial Balance'!J245</f>
        <v>0</v>
      </c>
    </row>
    <row r="52" spans="1:2" ht="15" customHeight="1">
      <c r="A52" s="25" t="str">
        <f>'Trial Balance'!A246&amp;"-"&amp;'Trial Balance'!B246</f>
        <v>4335-Profits and Losses from Financial Instrument Hedges</v>
      </c>
      <c r="B52" s="339">
        <f>'Trial Balance'!J246</f>
        <v>0</v>
      </c>
    </row>
    <row r="53" spans="1:2" ht="15" customHeight="1">
      <c r="A53" s="25" t="str">
        <f>'Trial Balance'!A247&amp;"-"&amp;'Trial Balance'!B247</f>
        <v>4340-Profits and Losses from Financial Instrument Investments</v>
      </c>
      <c r="B53" s="339">
        <f>'Trial Balance'!J247</f>
        <v>0</v>
      </c>
    </row>
    <row r="54" spans="1:2" ht="15" customHeight="1">
      <c r="A54" s="25" t="str">
        <f>'Trial Balance'!A248&amp;"-"&amp;'Trial Balance'!B248</f>
        <v>4345-Gains from Disposition of Future Use Utility Plant</v>
      </c>
      <c r="B54" s="339">
        <f>'Trial Balance'!J248</f>
        <v>0</v>
      </c>
    </row>
    <row r="55" spans="1:2" ht="15" customHeight="1">
      <c r="A55" s="25" t="str">
        <f>'Trial Balance'!A249&amp;"-"&amp;'Trial Balance'!B249</f>
        <v>4350-Losses from Disposition of Future Use Utility Plant</v>
      </c>
      <c r="B55" s="339">
        <f>'Trial Balance'!J249</f>
        <v>0</v>
      </c>
    </row>
    <row r="56" spans="1:2" ht="15" customHeight="1">
      <c r="A56" s="25" t="str">
        <f>'Trial Balance'!A250&amp;"-"&amp;'Trial Balance'!B250</f>
        <v>4355-Gain on Disposition of Utility and Other Property</v>
      </c>
      <c r="B56" s="339">
        <f>'Trial Balance'!J250</f>
        <v>-14500</v>
      </c>
    </row>
    <row r="57" spans="1:2" ht="15" customHeight="1">
      <c r="A57" s="25" t="str">
        <f>'Trial Balance'!A251&amp;"-"&amp;'Trial Balance'!B251</f>
        <v>4360-Loss on Disposition of Utility and Other Property</v>
      </c>
      <c r="B57" s="339">
        <f>'Trial Balance'!J251</f>
        <v>0</v>
      </c>
    </row>
    <row r="58" spans="1:2" ht="15" customHeight="1">
      <c r="A58" s="25" t="str">
        <f>'Trial Balance'!A252&amp;"-"&amp;'Trial Balance'!B252</f>
        <v>4365-Gains from Disposition of Allowances for Emission</v>
      </c>
      <c r="B58" s="339">
        <f>'Trial Balance'!J252</f>
        <v>0</v>
      </c>
    </row>
    <row r="59" spans="1:2" ht="15" customHeight="1">
      <c r="A59" s="25" t="str">
        <f>'Trial Balance'!A253&amp;"-"&amp;'Trial Balance'!B253</f>
        <v>4370-Losses from Disposition of Allowances for Emission</v>
      </c>
      <c r="B59" s="339">
        <f>'Trial Balance'!J253</f>
        <v>0</v>
      </c>
    </row>
    <row r="60" spans="1:2" ht="15" customHeight="1">
      <c r="A60" s="25" t="str">
        <f>'Trial Balance'!A254&amp;"-"&amp;'Trial Balance'!B254</f>
        <v>4375-Revenues from Non-Utility Operations</v>
      </c>
      <c r="B60" s="339">
        <f>'Trial Balance'!J254</f>
        <v>0</v>
      </c>
    </row>
    <row r="61" spans="1:2" ht="15" customHeight="1">
      <c r="A61" s="25" t="str">
        <f>'Trial Balance'!A255&amp;"-"&amp;'Trial Balance'!B255</f>
        <v>4380-Expenses of Non-Utility Operations</v>
      </c>
      <c r="B61" s="339">
        <f>'Trial Balance'!J255</f>
        <v>0</v>
      </c>
    </row>
    <row r="62" spans="1:2" ht="15" customHeight="1">
      <c r="A62" s="25" t="str">
        <f>'Trial Balance'!A256&amp;"-"&amp;'Trial Balance'!B256</f>
        <v>4385-Expenses of Non-Utility Operations</v>
      </c>
      <c r="B62" s="339">
        <f>'Trial Balance'!J256</f>
        <v>0</v>
      </c>
    </row>
    <row r="63" spans="1:2" ht="15" customHeight="1">
      <c r="A63" s="25" t="str">
        <f>'Trial Balance'!A257&amp;"-"&amp;'Trial Balance'!B257</f>
        <v>4390-Miscellaneous Non-Operating Income</v>
      </c>
      <c r="B63" s="339">
        <f>'Trial Balance'!J257</f>
        <v>0</v>
      </c>
    </row>
    <row r="64" spans="1:2" ht="15" customHeight="1">
      <c r="A64" s="25" t="str">
        <f>'Trial Balance'!A258&amp;"-"&amp;'Trial Balance'!B258</f>
        <v>4395-Rate-Payer Benefit Including Interest</v>
      </c>
      <c r="B64" s="339">
        <f>'Trial Balance'!J258</f>
        <v>0</v>
      </c>
    </row>
    <row r="65" spans="1:2" ht="15" customHeight="1" thickBot="1">
      <c r="A65" s="25" t="str">
        <f>'Trial Balance'!A259&amp;"-"&amp;'Trial Balance'!B259</f>
        <v>4398-Foreign Exchange Gains and Losses, Including Amortization</v>
      </c>
      <c r="B65" s="339">
        <f>'Trial Balance'!J259</f>
        <v>0</v>
      </c>
    </row>
    <row r="66" spans="1:2" ht="15" customHeight="1" thickBot="1">
      <c r="A66" s="30" t="s">
        <v>82</v>
      </c>
      <c r="B66" s="341">
        <f>SUM(B46:B65)</f>
        <v>-14500</v>
      </c>
    </row>
    <row r="67" spans="1:2" s="18" customFormat="1" ht="15" customHeight="1">
      <c r="A67" s="538"/>
      <c r="B67" s="539"/>
    </row>
    <row r="68" spans="1:2" s="18" customFormat="1" ht="15" customHeight="1">
      <c r="A68" s="542" t="s">
        <v>83</v>
      </c>
      <c r="B68" s="542"/>
    </row>
    <row r="69" spans="1:2" s="18" customFormat="1" ht="15" customHeight="1">
      <c r="A69" s="25" t="str">
        <f>'Trial Balance'!A261&amp;"-"&amp;'Trial Balance'!B261</f>
        <v>4405-Interest and Dividend Income</v>
      </c>
      <c r="B69" s="339">
        <f>'Trial Balance'!J261</f>
        <v>-12000</v>
      </c>
    </row>
    <row r="70" spans="1:2" ht="15" customHeight="1" thickBot="1">
      <c r="A70" s="25" t="str">
        <f>'Trial Balance'!A262&amp;"-"&amp;'Trial Balance'!B262</f>
        <v>4415-Equity in Earnings of Subsidiary Companies</v>
      </c>
      <c r="B70" s="339">
        <f>'Trial Balance'!J262</f>
        <v>0</v>
      </c>
    </row>
    <row r="71" spans="1:2" ht="15" customHeight="1" thickBot="1">
      <c r="A71" s="30" t="s">
        <v>84</v>
      </c>
      <c r="B71" s="341">
        <f>SUM(B69:B70)</f>
        <v>-12000</v>
      </c>
    </row>
    <row r="72" spans="1:2" s="18" customFormat="1" ht="15" customHeight="1">
      <c r="A72" s="538"/>
      <c r="B72" s="539"/>
    </row>
    <row r="73" spans="1:2" s="18" customFormat="1" ht="15" customHeight="1">
      <c r="A73" s="542" t="s">
        <v>85</v>
      </c>
      <c r="B73" s="542"/>
    </row>
    <row r="74" spans="1:2" ht="15" customHeight="1">
      <c r="A74" s="25" t="str">
        <f>'Trial Balance'!A264&amp;"-"&amp;'Trial Balance'!B264</f>
        <v>4705-Power Purchased</v>
      </c>
      <c r="B74" s="339">
        <f>'Trial Balance'!J264</f>
        <v>7727380.90666301</v>
      </c>
    </row>
    <row r="75" spans="1:2" ht="15" customHeight="1">
      <c r="A75" s="25" t="str">
        <f>'Trial Balance'!A265&amp;"-"&amp;'Trial Balance'!B265</f>
        <v>4708-WMS</v>
      </c>
      <c r="B75" s="339">
        <f>'Trial Balance'!J265</f>
        <v>746768.895470876</v>
      </c>
    </row>
    <row r="76" spans="1:2" ht="15" customHeight="1">
      <c r="A76" s="25" t="str">
        <f>'Trial Balance'!A266&amp;"-"&amp;'Trial Balance'!B266</f>
        <v>4710-Cost of Power Adjustments</v>
      </c>
      <c r="B76" s="339">
        <f>'Trial Balance'!J266</f>
        <v>0</v>
      </c>
    </row>
    <row r="77" spans="1:2" ht="15" customHeight="1">
      <c r="A77" s="25" t="str">
        <f>'Trial Balance'!A267&amp;"-"&amp;'Trial Balance'!B267</f>
        <v>4712-0</v>
      </c>
      <c r="B77" s="339">
        <f>'Trial Balance'!J267</f>
        <v>0</v>
      </c>
    </row>
    <row r="78" spans="1:2" ht="15" customHeight="1">
      <c r="A78" s="25" t="str">
        <f>'Trial Balance'!A268&amp;"-"&amp;'Trial Balance'!B268</f>
        <v>4714-NW</v>
      </c>
      <c r="B78" s="339">
        <f>'Trial Balance'!J268</f>
        <v>660849.6274092953</v>
      </c>
    </row>
    <row r="79" spans="1:2" ht="15" customHeight="1">
      <c r="A79" s="25" t="str">
        <f>'Trial Balance'!A269&amp;"-"&amp;'Trial Balance'!B269</f>
        <v>4715-System Control and Load Dispatching</v>
      </c>
      <c r="B79" s="339">
        <f>'Trial Balance'!J269</f>
        <v>0</v>
      </c>
    </row>
    <row r="80" spans="1:2" ht="15" customHeight="1">
      <c r="A80" s="25" t="str">
        <f>'Trial Balance'!A270&amp;"-"&amp;'Trial Balance'!B270</f>
        <v>4716-NCN</v>
      </c>
      <c r="B80" s="339">
        <f>'Trial Balance'!J270</f>
        <v>517418.2168456368</v>
      </c>
    </row>
    <row r="81" spans="1:2" ht="15" customHeight="1">
      <c r="A81" s="25" t="str">
        <f>'Trial Balance'!A271&amp;"-"&amp;'Trial Balance'!B271</f>
        <v>4720-Other Expenses</v>
      </c>
      <c r="B81" s="339">
        <f>'Trial Balance'!J271</f>
        <v>0</v>
      </c>
    </row>
    <row r="82" spans="1:2" ht="15" customHeight="1">
      <c r="A82" s="25" t="str">
        <f>'Trial Balance'!A272&amp;"-"&amp;'Trial Balance'!B272</f>
        <v>4725-Competition Transition Expense</v>
      </c>
      <c r="B82" s="339">
        <f>'Trial Balance'!J272</f>
        <v>0</v>
      </c>
    </row>
    <row r="83" spans="1:2" ht="15" customHeight="1">
      <c r="A83" s="25" t="str">
        <f>'Trial Balance'!A273&amp;"-"&amp;'Trial Balance'!B273</f>
        <v>4730-Rural Rate Assistance Expense</v>
      </c>
      <c r="B83" s="339">
        <f>'Trial Balance'!J273</f>
        <v>0</v>
      </c>
    </row>
    <row r="84" spans="1:2" ht="15" customHeight="1" thickBot="1">
      <c r="A84" s="25" t="str">
        <f>'Trial Balance'!A274&amp;"-"&amp;'Trial Balance'!B274</f>
        <v>4750-LV Charges</v>
      </c>
      <c r="B84" s="339">
        <f>'Trial Balance'!J274</f>
        <v>182627.3176259127</v>
      </c>
    </row>
    <row r="85" spans="1:2" ht="15" customHeight="1" thickBot="1">
      <c r="A85" s="30" t="s">
        <v>519</v>
      </c>
      <c r="B85" s="341">
        <f>SUM(B74:B84)</f>
        <v>9835044.964014731</v>
      </c>
    </row>
    <row r="86" spans="1:2" s="18" customFormat="1" ht="15" customHeight="1">
      <c r="A86" s="538"/>
      <c r="B86" s="539"/>
    </row>
    <row r="87" spans="1:2" s="18" customFormat="1" ht="15" customHeight="1">
      <c r="A87" s="542" t="s">
        <v>520</v>
      </c>
      <c r="B87" s="542"/>
    </row>
    <row r="88" spans="1:2" ht="15" customHeight="1">
      <c r="A88" s="25" t="str">
        <f>'Trial Balance'!A276&amp;"-"&amp;'Trial Balance'!B276</f>
        <v>5005-Operation Supervision and Engineering</v>
      </c>
      <c r="B88" s="339">
        <f>'Trial Balance'!J276</f>
        <v>105000</v>
      </c>
    </row>
    <row r="89" spans="1:2" ht="15" customHeight="1">
      <c r="A89" s="25" t="str">
        <f>'Trial Balance'!A277&amp;"-"&amp;'Trial Balance'!B277</f>
        <v>5010-Load Dispatching</v>
      </c>
      <c r="B89" s="339">
        <f>'Trial Balance'!J277</f>
        <v>0</v>
      </c>
    </row>
    <row r="90" spans="1:2" ht="15" customHeight="1">
      <c r="A90" s="25" t="str">
        <f>'Trial Balance'!A278&amp;"-"&amp;'Trial Balance'!B278</f>
        <v>5012-Station Buildings and Fixtures Expense</v>
      </c>
      <c r="B90" s="339">
        <f>'Trial Balance'!J278</f>
        <v>1000</v>
      </c>
    </row>
    <row r="91" spans="1:2" ht="15" customHeight="1">
      <c r="A91" s="25" t="str">
        <f>'Trial Balance'!A279&amp;"-"&amp;'Trial Balance'!B279</f>
        <v>5014-Transformer Station Equipment - Operation Labour</v>
      </c>
      <c r="B91" s="339">
        <f>'Trial Balance'!J279</f>
        <v>0</v>
      </c>
    </row>
    <row r="92" spans="1:2" ht="15" customHeight="1">
      <c r="A92" s="25" t="str">
        <f>'Trial Balance'!A280&amp;"-"&amp;'Trial Balance'!B280</f>
        <v>5015-Transformer Station Equipment - Operation Supplies and Expenses</v>
      </c>
      <c r="B92" s="339">
        <f>'Trial Balance'!J280</f>
        <v>0</v>
      </c>
    </row>
    <row r="93" spans="1:2" ht="15" customHeight="1">
      <c r="A93" s="25" t="str">
        <f>'Trial Balance'!A281&amp;"-"&amp;'Trial Balance'!B281</f>
        <v>5016-Distribution Station Equipment - Operation Labour</v>
      </c>
      <c r="B93" s="339">
        <f>'Trial Balance'!J281</f>
        <v>1000</v>
      </c>
    </row>
    <row r="94" spans="1:2" ht="15" customHeight="1">
      <c r="A94" s="25" t="str">
        <f>'Trial Balance'!A282&amp;"-"&amp;'Trial Balance'!B282</f>
        <v>5017-Distribution Station Equipment - Operation Supplies and Expenses</v>
      </c>
      <c r="B94" s="339">
        <f>'Trial Balance'!J282</f>
        <v>0</v>
      </c>
    </row>
    <row r="95" spans="1:2" ht="15" customHeight="1">
      <c r="A95" s="25" t="str">
        <f>'Trial Balance'!A283&amp;"-"&amp;'Trial Balance'!B283</f>
        <v>5020-Overhead Distribution Lines and Feeders - Operation Labour</v>
      </c>
      <c r="B95" s="339">
        <f>'Trial Balance'!J283</f>
        <v>2000</v>
      </c>
    </row>
    <row r="96" spans="1:2" ht="15" customHeight="1">
      <c r="A96" s="25" t="str">
        <f>'Trial Balance'!A284&amp;"-"&amp;'Trial Balance'!B284</f>
        <v>5025-Overhead Distribution Lines and Feeders - Operation Supplies and Expenses</v>
      </c>
      <c r="B96" s="339">
        <f>'Trial Balance'!J284</f>
        <v>0</v>
      </c>
    </row>
    <row r="97" spans="1:2" ht="15" customHeight="1">
      <c r="A97" s="25" t="str">
        <f>'Trial Balance'!A285&amp;"-"&amp;'Trial Balance'!B285</f>
        <v>5030-Overhead Subtransmission Feeders - Operation</v>
      </c>
      <c r="B97" s="339">
        <f>'Trial Balance'!J285</f>
        <v>0</v>
      </c>
    </row>
    <row r="98" spans="1:2" ht="15" customHeight="1">
      <c r="A98" s="25" t="str">
        <f>'Trial Balance'!A286&amp;"-"&amp;'Trial Balance'!B286</f>
        <v>5035-Overhead Distribution Transformers - Operation</v>
      </c>
      <c r="B98" s="339">
        <f>'Trial Balance'!J286</f>
        <v>10000</v>
      </c>
    </row>
    <row r="99" spans="1:2" ht="15" customHeight="1">
      <c r="A99" s="25" t="str">
        <f>'Trial Balance'!A287&amp;"-"&amp;'Trial Balance'!B287</f>
        <v>5040-Underground Distribution Lines and Feeders - Operation Labour</v>
      </c>
      <c r="B99" s="339">
        <f>'Trial Balance'!J287</f>
        <v>0</v>
      </c>
    </row>
    <row r="100" spans="1:2" ht="15" customHeight="1">
      <c r="A100" s="25" t="str">
        <f>'Trial Balance'!A288&amp;"-"&amp;'Trial Balance'!B288</f>
        <v>5045-Underground Distribution Lines and Feeders - Operation Supplies and Expenses</v>
      </c>
      <c r="B100" s="339">
        <f>'Trial Balance'!J288</f>
        <v>0</v>
      </c>
    </row>
    <row r="101" spans="1:2" ht="15" customHeight="1">
      <c r="A101" s="25" t="str">
        <f>'Trial Balance'!A289&amp;"-"&amp;'Trial Balance'!B289</f>
        <v>5050-Underground Subtransmission Feeders - Operation</v>
      </c>
      <c r="B101" s="339">
        <f>'Trial Balance'!J289</f>
        <v>0</v>
      </c>
    </row>
    <row r="102" spans="1:2" ht="15" customHeight="1">
      <c r="A102" s="25" t="str">
        <f>'Trial Balance'!A290&amp;"-"&amp;'Trial Balance'!B290</f>
        <v>5055-Underground Distribution Transformers - Operation</v>
      </c>
      <c r="B102" s="339">
        <f>'Trial Balance'!J290</f>
        <v>0</v>
      </c>
    </row>
    <row r="103" spans="1:2" ht="15" customHeight="1">
      <c r="A103" s="25" t="str">
        <f>'Trial Balance'!A291&amp;"-"&amp;'Trial Balance'!B291</f>
        <v>5060-Street Lighting and Signal System Expense</v>
      </c>
      <c r="B103" s="339">
        <f>'Trial Balance'!J291</f>
        <v>0</v>
      </c>
    </row>
    <row r="104" spans="1:2" ht="15" customHeight="1">
      <c r="A104" s="25" t="str">
        <f>'Trial Balance'!A292&amp;"-"&amp;'Trial Balance'!B292</f>
        <v>5065-Meter Expense</v>
      </c>
      <c r="B104" s="339">
        <f>'Trial Balance'!J292</f>
        <v>102856.43</v>
      </c>
    </row>
    <row r="105" spans="1:2" ht="15" customHeight="1">
      <c r="A105" s="25" t="str">
        <f>'Trial Balance'!A293&amp;"-"&amp;'Trial Balance'!B293</f>
        <v>5070-Customer Premises - Operation Labour</v>
      </c>
      <c r="B105" s="339">
        <f>'Trial Balance'!J293</f>
        <v>0</v>
      </c>
    </row>
    <row r="106" spans="1:2" ht="15" customHeight="1">
      <c r="A106" s="25" t="str">
        <f>'Trial Balance'!A294&amp;"-"&amp;'Trial Balance'!B294</f>
        <v>5075-Customer Premises - Materials and Expenses</v>
      </c>
      <c r="B106" s="339">
        <f>'Trial Balance'!J294</f>
        <v>0</v>
      </c>
    </row>
    <row r="107" spans="1:2" ht="15" customHeight="1">
      <c r="A107" s="25" t="str">
        <f>'Trial Balance'!A295&amp;"-"&amp;'Trial Balance'!B295</f>
        <v>5085-Miscellaneous Distribution Expense</v>
      </c>
      <c r="B107" s="339">
        <f>'Trial Balance'!J295</f>
        <v>65000</v>
      </c>
    </row>
    <row r="108" spans="1:2" ht="15" customHeight="1">
      <c r="A108" s="25" t="str">
        <f>'Trial Balance'!A296&amp;"-"&amp;'Trial Balance'!B296</f>
        <v>5090-Underground Distribution Lines and Feeders - Rental Paid</v>
      </c>
      <c r="B108" s="339">
        <f>'Trial Balance'!J296</f>
        <v>0</v>
      </c>
    </row>
    <row r="109" spans="1:2" ht="15" customHeight="1">
      <c r="A109" s="25" t="str">
        <f>'Trial Balance'!A297&amp;"-"&amp;'Trial Balance'!B297</f>
        <v>5095-Overhead Distribution Lines and Feeders - Rental Paid</v>
      </c>
      <c r="B109" s="339">
        <f>'Trial Balance'!J297</f>
        <v>23189</v>
      </c>
    </row>
    <row r="110" spans="1:2" ht="15" customHeight="1" thickBot="1">
      <c r="A110" s="25" t="str">
        <f>'Trial Balance'!A298&amp;"-"&amp;'Trial Balance'!B298</f>
        <v>5096-Other Rent</v>
      </c>
      <c r="B110" s="339">
        <f>'Trial Balance'!J298</f>
        <v>0</v>
      </c>
    </row>
    <row r="111" spans="1:2" ht="15" customHeight="1" thickBot="1">
      <c r="A111" s="30" t="s">
        <v>523</v>
      </c>
      <c r="B111" s="341">
        <f>SUM(B88:B110)</f>
        <v>310045.43</v>
      </c>
    </row>
    <row r="112" spans="1:2" s="18" customFormat="1" ht="15" customHeight="1">
      <c r="A112" s="538"/>
      <c r="B112" s="539"/>
    </row>
    <row r="113" spans="1:2" s="18" customFormat="1" ht="15" customHeight="1">
      <c r="A113" s="542" t="s">
        <v>524</v>
      </c>
      <c r="B113" s="542"/>
    </row>
    <row r="114" spans="1:2" ht="15" customHeight="1">
      <c r="A114" s="25" t="str">
        <f>'Trial Balance'!A300&amp;"-"&amp;'Trial Balance'!B300</f>
        <v>5105-Maintenance Supervision and Engineering</v>
      </c>
      <c r="B114" s="339">
        <f>'Trial Balance'!J300</f>
        <v>0</v>
      </c>
    </row>
    <row r="115" spans="1:2" ht="15" customHeight="1">
      <c r="A115" s="25" t="str">
        <f>'Trial Balance'!A301&amp;"-"&amp;'Trial Balance'!B301</f>
        <v>5110-Maintenance of Structures</v>
      </c>
      <c r="B115" s="339">
        <f>'Trial Balance'!J301</f>
        <v>0</v>
      </c>
    </row>
    <row r="116" spans="1:2" ht="15" customHeight="1">
      <c r="A116" s="25" t="str">
        <f>'Trial Balance'!A302&amp;"-"&amp;'Trial Balance'!B302</f>
        <v>5112-Maintenance of Transformer Station Equipment</v>
      </c>
      <c r="B116" s="339">
        <f>'Trial Balance'!J302</f>
        <v>0</v>
      </c>
    </row>
    <row r="117" spans="1:2" ht="15" customHeight="1">
      <c r="A117" s="25" t="str">
        <f>'Trial Balance'!A303&amp;"-"&amp;'Trial Balance'!B303</f>
        <v>5114-Mtaint Dist Stn Equip</v>
      </c>
      <c r="B117" s="339">
        <f>'Trial Balance'!J303</f>
        <v>70700</v>
      </c>
    </row>
    <row r="118" spans="1:2" ht="15" customHeight="1">
      <c r="A118" s="25" t="str">
        <f>'Trial Balance'!A304&amp;"-"&amp;'Trial Balance'!B304</f>
        <v>5120-Maintenance of Poles, Towers and Fixtures</v>
      </c>
      <c r="B118" s="339">
        <f>'Trial Balance'!J304</f>
        <v>40000</v>
      </c>
    </row>
    <row r="119" spans="1:2" ht="15" customHeight="1">
      <c r="A119" s="25" t="str">
        <f>'Trial Balance'!A305&amp;"-"&amp;'Trial Balance'!B305</f>
        <v>5125-Maintenance of Overhead Conductors and Devices</v>
      </c>
      <c r="B119" s="339">
        <f>'Trial Balance'!J305</f>
        <v>100000</v>
      </c>
    </row>
    <row r="120" spans="1:2" ht="15" customHeight="1">
      <c r="A120" s="25" t="str">
        <f>'Trial Balance'!A306&amp;"-"&amp;'Trial Balance'!B306</f>
        <v>5130-Maintenance of Overhead Services</v>
      </c>
      <c r="B120" s="339">
        <f>'Trial Balance'!J306</f>
        <v>50000</v>
      </c>
    </row>
    <row r="121" spans="1:2" ht="15" customHeight="1">
      <c r="A121" s="25" t="str">
        <f>'Trial Balance'!A307&amp;"-"&amp;'Trial Balance'!B307</f>
        <v>5135-Overhead Distribution Lines and Feeders - Right of Way</v>
      </c>
      <c r="B121" s="339">
        <f>'Trial Balance'!J307</f>
        <v>40000</v>
      </c>
    </row>
    <row r="122" spans="1:2" ht="15" customHeight="1">
      <c r="A122" s="25" t="str">
        <f>'Trial Balance'!A308&amp;"-"&amp;'Trial Balance'!B308</f>
        <v>5145-Maintenance of Underground Conduit</v>
      </c>
      <c r="B122" s="339">
        <f>'Trial Balance'!J308</f>
        <v>2000</v>
      </c>
    </row>
    <row r="123" spans="1:2" ht="15" customHeight="1">
      <c r="A123" s="25" t="str">
        <f>'Trial Balance'!A309&amp;"-"&amp;'Trial Balance'!B309</f>
        <v>5150-Maintenance of Underground Conductors and Devices</v>
      </c>
      <c r="B123" s="339">
        <f>'Trial Balance'!J309</f>
        <v>7000</v>
      </c>
    </row>
    <row r="124" spans="1:2" ht="15" customHeight="1">
      <c r="A124" s="25" t="str">
        <f>'Trial Balance'!A310&amp;"-"&amp;'Trial Balance'!B310</f>
        <v>5155-Maintenance of Underground Services</v>
      </c>
      <c r="B124" s="339">
        <f>'Trial Balance'!J310</f>
        <v>22000</v>
      </c>
    </row>
    <row r="125" spans="1:2" ht="15" customHeight="1">
      <c r="A125" s="25" t="str">
        <f>'Trial Balance'!A311&amp;"-"&amp;'Trial Balance'!B311</f>
        <v>5160-Maintenance of Line Transformers</v>
      </c>
      <c r="B125" s="339">
        <f>'Trial Balance'!J311</f>
        <v>50000</v>
      </c>
    </row>
    <row r="126" spans="1:2" ht="15" customHeight="1">
      <c r="A126" s="25" t="str">
        <f>'Trial Balance'!A312&amp;"-"&amp;'Trial Balance'!B312</f>
        <v>5165-Maintenance of Street Lighting and Signal Systems</v>
      </c>
      <c r="B126" s="339">
        <f>'Trial Balance'!J312</f>
        <v>0</v>
      </c>
    </row>
    <row r="127" spans="1:2" ht="15" customHeight="1">
      <c r="A127" s="25" t="str">
        <f>'Trial Balance'!A313&amp;"-"&amp;'Trial Balance'!B313</f>
        <v>5170-Sentinel Lights - Labour</v>
      </c>
      <c r="B127" s="339">
        <f>'Trial Balance'!J313</f>
        <v>0</v>
      </c>
    </row>
    <row r="128" spans="1:2" ht="15" customHeight="1">
      <c r="A128" s="25" t="str">
        <f>'Trial Balance'!A314&amp;"-"&amp;'Trial Balance'!B314</f>
        <v>5172-Sentinel Lights - Materials and Expenses</v>
      </c>
      <c r="B128" s="339">
        <f>'Trial Balance'!J314</f>
        <v>0</v>
      </c>
    </row>
    <row r="129" spans="1:2" ht="15" customHeight="1">
      <c r="A129" s="25" t="str">
        <f>'Trial Balance'!A315&amp;"-"&amp;'Trial Balance'!B315</f>
        <v>5175-Maintenance of Meters</v>
      </c>
      <c r="B129" s="339">
        <f>'Trial Balance'!J315</f>
        <v>20000</v>
      </c>
    </row>
    <row r="130" spans="1:2" ht="15" customHeight="1">
      <c r="A130" s="25" t="str">
        <f>'Trial Balance'!A316&amp;"-"&amp;'Trial Balance'!B316</f>
        <v>5178-Customer Installations Expenses - Leased Property</v>
      </c>
      <c r="B130" s="339">
        <f>'Trial Balance'!J316</f>
        <v>0</v>
      </c>
    </row>
    <row r="131" spans="1:2" ht="15" customHeight="1" thickBot="1">
      <c r="A131" s="25" t="str">
        <f>'Trial Balance'!A317&amp;"-"&amp;'Trial Balance'!B317</f>
        <v>5195-Maintenance of Other Installations on Customer Premises</v>
      </c>
      <c r="B131" s="339">
        <f>'Trial Balance'!J317</f>
        <v>0</v>
      </c>
    </row>
    <row r="132" spans="1:2" ht="15" customHeight="1" thickBot="1">
      <c r="A132" s="30" t="s">
        <v>88</v>
      </c>
      <c r="B132" s="341">
        <f>SUM(B114:B131)</f>
        <v>401700</v>
      </c>
    </row>
    <row r="133" spans="1:2" s="18" customFormat="1" ht="15" customHeight="1">
      <c r="A133" s="538"/>
      <c r="B133" s="539"/>
    </row>
    <row r="134" spans="1:2" s="18" customFormat="1" ht="15" customHeight="1">
      <c r="A134" s="540" t="s">
        <v>89</v>
      </c>
      <c r="B134" s="541"/>
    </row>
    <row r="135" spans="1:2" ht="15" customHeight="1">
      <c r="A135" s="25" t="str">
        <f>'Trial Balance'!A323&amp;"-"&amp;'Trial Balance'!B323</f>
        <v>5305-Supervision</v>
      </c>
      <c r="B135" s="339">
        <f>'Trial Balance'!J323</f>
        <v>0</v>
      </c>
    </row>
    <row r="136" spans="1:2" ht="15" customHeight="1">
      <c r="A136" s="25" t="str">
        <f>'Trial Balance'!A324&amp;"-"&amp;'Trial Balance'!B324</f>
        <v>5310-Meter Reading Expense</v>
      </c>
      <c r="B136" s="339">
        <f>'Trial Balance'!J324</f>
        <v>74000</v>
      </c>
    </row>
    <row r="137" spans="1:2" ht="15" customHeight="1">
      <c r="A137" s="25" t="str">
        <f>'Trial Balance'!A325&amp;"-"&amp;'Trial Balance'!B325</f>
        <v>5315-Customer Billing</v>
      </c>
      <c r="B137" s="339">
        <f>'Trial Balance'!J325</f>
        <v>272000</v>
      </c>
    </row>
    <row r="138" spans="1:2" ht="15" customHeight="1">
      <c r="A138" s="25" t="str">
        <f>'Trial Balance'!A326&amp;"-"&amp;'Trial Balance'!B326</f>
        <v>5320-Collecting</v>
      </c>
      <c r="B138" s="339">
        <f>'Trial Balance'!J326</f>
        <v>36000</v>
      </c>
    </row>
    <row r="139" spans="1:2" ht="15" customHeight="1">
      <c r="A139" s="25" t="str">
        <f>'Trial Balance'!A327&amp;"-"&amp;'Trial Balance'!B327</f>
        <v>5325-Collecting - Cash Over and Short</v>
      </c>
      <c r="B139" s="339">
        <f>'Trial Balance'!J327</f>
        <v>0</v>
      </c>
    </row>
    <row r="140" spans="1:2" ht="15" customHeight="1">
      <c r="A140" s="25" t="str">
        <f>'Trial Balance'!A328&amp;"-"&amp;'Trial Balance'!B328</f>
        <v>5330-Collection Charges</v>
      </c>
      <c r="B140" s="339">
        <f>'Trial Balance'!J328</f>
        <v>0</v>
      </c>
    </row>
    <row r="141" spans="1:2" ht="15" customHeight="1">
      <c r="A141" s="25" t="str">
        <f>'Trial Balance'!A329&amp;"-"&amp;'Trial Balance'!B329</f>
        <v>5335-Bad Debt Expense</v>
      </c>
      <c r="B141" s="339">
        <f>'Trial Balance'!J329</f>
        <v>40000</v>
      </c>
    </row>
    <row r="142" spans="1:2" ht="15" customHeight="1" thickBot="1">
      <c r="A142" s="25" t="str">
        <f>'Trial Balance'!A330&amp;"-"&amp;'Trial Balance'!B330</f>
        <v>5340-Miscellaneous Customer Accounts Expenses</v>
      </c>
      <c r="B142" s="339">
        <f>'Trial Balance'!J330</f>
        <v>0</v>
      </c>
    </row>
    <row r="143" spans="1:2" ht="15" customHeight="1" thickBot="1">
      <c r="A143" s="30" t="s">
        <v>97</v>
      </c>
      <c r="B143" s="341">
        <f>SUM(B135:B142)</f>
        <v>422000</v>
      </c>
    </row>
    <row r="144" spans="1:2" s="18" customFormat="1" ht="15" customHeight="1">
      <c r="A144" s="538"/>
      <c r="B144" s="539"/>
    </row>
    <row r="145" spans="1:2" s="18" customFormat="1" ht="15" customHeight="1">
      <c r="A145" s="540" t="s">
        <v>98</v>
      </c>
      <c r="B145" s="541"/>
    </row>
    <row r="146" spans="1:2" ht="15" customHeight="1">
      <c r="A146" s="25" t="str">
        <f>'Trial Balance'!A332&amp;"-"&amp;'Trial Balance'!B332</f>
        <v>5405-Supervision</v>
      </c>
      <c r="B146" s="339">
        <f>'Trial Balance'!J332</f>
        <v>0</v>
      </c>
    </row>
    <row r="147" spans="1:2" ht="15" customHeight="1">
      <c r="A147" s="25" t="str">
        <f>'Trial Balance'!A333&amp;"-"&amp;'Trial Balance'!B333</f>
        <v>5410-Community Relations - Sundry</v>
      </c>
      <c r="B147" s="339">
        <f>'Trial Balance'!J333</f>
        <v>3500</v>
      </c>
    </row>
    <row r="148" spans="1:2" ht="15" customHeight="1">
      <c r="A148" s="25" t="str">
        <f>'Trial Balance'!A334&amp;"-"&amp;'Trial Balance'!B334</f>
        <v>5415-Energy Conservation</v>
      </c>
      <c r="B148" s="339">
        <f>'Trial Balance'!J334</f>
        <v>0</v>
      </c>
    </row>
    <row r="149" spans="1:2" ht="15" customHeight="1">
      <c r="A149" s="25" t="str">
        <f>'Trial Balance'!A335&amp;"-"&amp;'Trial Balance'!B335</f>
        <v>5420-Community Safety Program</v>
      </c>
      <c r="B149" s="339">
        <f>'Trial Balance'!J335</f>
        <v>0</v>
      </c>
    </row>
    <row r="150" spans="1:2" ht="15" customHeight="1" thickBot="1">
      <c r="A150" s="25" t="str">
        <f>'Trial Balance'!A336&amp;"-"&amp;'Trial Balance'!B336</f>
        <v>5425-Miscellaneous Customer Service and Informational Expenses</v>
      </c>
      <c r="B150" s="339">
        <f>'Trial Balance'!J336</f>
        <v>0</v>
      </c>
    </row>
    <row r="151" spans="1:2" ht="15" customHeight="1" thickBot="1">
      <c r="A151" s="30" t="s">
        <v>99</v>
      </c>
      <c r="B151" s="341">
        <f>SUM(B146:B150)</f>
        <v>3500</v>
      </c>
    </row>
    <row r="152" spans="1:2" s="18" customFormat="1" ht="15" customHeight="1">
      <c r="A152" s="538"/>
      <c r="B152" s="539"/>
    </row>
    <row r="153" spans="1:2" s="18" customFormat="1" ht="15" customHeight="1">
      <c r="A153" s="540" t="s">
        <v>100</v>
      </c>
      <c r="B153" s="541"/>
    </row>
    <row r="154" spans="1:2" ht="15" customHeight="1">
      <c r="A154" s="25" t="str">
        <f>'Trial Balance'!A343&amp;"-"&amp;'Trial Balance'!B343</f>
        <v>5605-Executive Salaries and Expenses</v>
      </c>
      <c r="B154" s="339">
        <f>'Trial Balance'!J343</f>
        <v>0</v>
      </c>
    </row>
    <row r="155" spans="1:2" ht="15" customHeight="1">
      <c r="A155" s="25" t="str">
        <f>'Trial Balance'!A344&amp;"-"&amp;'Trial Balance'!B344</f>
        <v>5610-Management Salaries and Expenses</v>
      </c>
      <c r="B155" s="339">
        <f>'Trial Balance'!J344</f>
        <v>0</v>
      </c>
    </row>
    <row r="156" spans="1:2" ht="15" customHeight="1">
      <c r="A156" s="25" t="str">
        <f>'Trial Balance'!A345&amp;"-"&amp;'Trial Balance'!B345</f>
        <v>5615-General Administrative Salaries and Expenses</v>
      </c>
      <c r="B156" s="339">
        <f>'Trial Balance'!J345</f>
        <v>358000</v>
      </c>
    </row>
    <row r="157" spans="1:2" ht="15" customHeight="1">
      <c r="A157" s="25" t="str">
        <f>'Trial Balance'!A346&amp;"-"&amp;'Trial Balance'!B346</f>
        <v>5620-Office Supplies and Expenses</v>
      </c>
      <c r="B157" s="339">
        <f>'Trial Balance'!J346</f>
        <v>10000</v>
      </c>
    </row>
    <row r="158" spans="1:2" ht="15" customHeight="1">
      <c r="A158" s="25" t="str">
        <f>'Trial Balance'!A347&amp;"-"&amp;'Trial Balance'!B347</f>
        <v>5625-Administrative Expense Transferred-Credit</v>
      </c>
      <c r="B158" s="339">
        <f>'Trial Balance'!J347</f>
        <v>28058</v>
      </c>
    </row>
    <row r="159" spans="1:2" ht="15" customHeight="1">
      <c r="A159" s="25" t="str">
        <f>'Trial Balance'!A348&amp;"-"&amp;'Trial Balance'!B348</f>
        <v>5630-Outside Services Employed</v>
      </c>
      <c r="B159" s="339">
        <f>'Trial Balance'!J348</f>
        <v>60000</v>
      </c>
    </row>
    <row r="160" spans="1:2" ht="15" customHeight="1">
      <c r="A160" s="25" t="str">
        <f>'Trial Balance'!A349&amp;"-"&amp;'Trial Balance'!B349</f>
        <v>5635-Property Insurance</v>
      </c>
      <c r="B160" s="339">
        <f>'Trial Balance'!J349</f>
        <v>45642</v>
      </c>
    </row>
    <row r="161" spans="1:2" ht="15" customHeight="1">
      <c r="A161" s="25" t="str">
        <f>'Trial Balance'!A350&amp;"-"&amp;'Trial Balance'!B350</f>
        <v>5640-Injuries and Damages</v>
      </c>
      <c r="B161" s="339">
        <f>'Trial Balance'!J350</f>
        <v>0</v>
      </c>
    </row>
    <row r="162" spans="1:2" ht="15" customHeight="1">
      <c r="A162" s="25" t="str">
        <f>'Trial Balance'!A351&amp;"-"&amp;'Trial Balance'!B351</f>
        <v>5645-Employee Pensions and Benefits</v>
      </c>
      <c r="B162" s="339">
        <f>'Trial Balance'!J351</f>
        <v>0</v>
      </c>
    </row>
    <row r="163" spans="1:2" ht="15" customHeight="1">
      <c r="A163" s="25" t="str">
        <f>'Trial Balance'!A352&amp;"-"&amp;'Trial Balance'!B352</f>
        <v>5650-Franchise Requirements</v>
      </c>
      <c r="B163" s="339">
        <f>'Trial Balance'!J352</f>
        <v>0</v>
      </c>
    </row>
    <row r="164" spans="1:2" ht="15" customHeight="1">
      <c r="A164" s="25" t="str">
        <f>'Trial Balance'!A353&amp;"-"&amp;'Trial Balance'!B353</f>
        <v>5655-Regulatory Expenses</v>
      </c>
      <c r="B164" s="339">
        <f>'Trial Balance'!J353</f>
        <v>30256</v>
      </c>
    </row>
    <row r="165" spans="1:2" ht="15" customHeight="1">
      <c r="A165" s="25" t="str">
        <f>'Trial Balance'!A354&amp;"-"&amp;'Trial Balance'!B354</f>
        <v>5660-General Advertising Expenses</v>
      </c>
      <c r="B165" s="339">
        <f>'Trial Balance'!J354</f>
        <v>0</v>
      </c>
    </row>
    <row r="166" spans="1:2" ht="15" customHeight="1">
      <c r="A166" s="25" t="str">
        <f>'Trial Balance'!A355&amp;"-"&amp;'Trial Balance'!B355</f>
        <v>5665-Miscellaneous Expenses</v>
      </c>
      <c r="B166" s="339">
        <f>'Trial Balance'!J355</f>
        <v>98000</v>
      </c>
    </row>
    <row r="167" spans="1:2" ht="15" customHeight="1">
      <c r="A167" s="25" t="str">
        <f>'Trial Balance'!A356&amp;"-"&amp;'Trial Balance'!B356</f>
        <v>5670-Rent  </v>
      </c>
      <c r="B167" s="339">
        <f>'Trial Balance'!J356</f>
        <v>8000</v>
      </c>
    </row>
    <row r="168" spans="1:2" ht="15" customHeight="1">
      <c r="A168" s="25" t="str">
        <f>'Trial Balance'!A357&amp;"-"&amp;'Trial Balance'!B357</f>
        <v>5675-Maintenance of General Plant</v>
      </c>
      <c r="B168" s="339">
        <f>'Trial Balance'!J357</f>
        <v>28000</v>
      </c>
    </row>
    <row r="169" spans="1:2" ht="15" customHeight="1">
      <c r="A169" s="25" t="str">
        <f>'Trial Balance'!A358&amp;"-"&amp;'Trial Balance'!B358</f>
        <v>5680-Electrical Safety Authority Fees</v>
      </c>
      <c r="B169" s="339">
        <f>'Trial Balance'!J358</f>
        <v>3308</v>
      </c>
    </row>
    <row r="170" spans="1:2" ht="15" customHeight="1">
      <c r="A170" s="25" t="str">
        <f>'Trial Balance'!A360&amp;"-"&amp;'Trial Balance'!B360</f>
        <v>5685-Independent Market Operator Fees and Penalties</v>
      </c>
      <c r="B170" s="339">
        <f>'Trial Balance'!J360</f>
        <v>0</v>
      </c>
    </row>
    <row r="171" spans="1:2" ht="15" customHeight="1" thickBot="1">
      <c r="A171" s="25" t="str">
        <f>'Trial Balance'!A361&amp;"-"&amp;'Trial Balance'!B361</f>
        <v>5695-OM&amp;A Contra Account</v>
      </c>
      <c r="B171" s="339">
        <f>'Trial Balance'!J361</f>
        <v>0</v>
      </c>
    </row>
    <row r="172" spans="1:2" ht="15" customHeight="1" thickBot="1">
      <c r="A172" s="30" t="s">
        <v>76</v>
      </c>
      <c r="B172" s="341">
        <f>SUM(B154:B171)</f>
        <v>669264</v>
      </c>
    </row>
    <row r="173" spans="1:2" s="18" customFormat="1" ht="15" customHeight="1">
      <c r="A173" s="538"/>
      <c r="B173" s="539"/>
    </row>
    <row r="174" spans="1:2" s="18" customFormat="1" ht="15" customHeight="1">
      <c r="A174" s="540" t="s">
        <v>77</v>
      </c>
      <c r="B174" s="541"/>
    </row>
    <row r="175" spans="1:2" s="18" customFormat="1" ht="15" customHeight="1">
      <c r="A175" s="25" t="str">
        <f>'Trial Balance'!A363&amp;"-"&amp;'Trial Balance'!B363</f>
        <v>5705-Amortization Expense - Property, Plant and Equipment</v>
      </c>
      <c r="B175" s="339">
        <f>'Trial Balance'!J363</f>
        <v>334223.37026666664</v>
      </c>
    </row>
    <row r="176" spans="1:2" s="18" customFormat="1" ht="15" customHeight="1">
      <c r="A176" s="25" t="str">
        <f>'Trial Balance'!A364&amp;"-"&amp;'Trial Balance'!B364</f>
        <v>5710-Amortization of Limited Term Electric Plant</v>
      </c>
      <c r="B176" s="339">
        <f>'Trial Balance'!J364</f>
        <v>0</v>
      </c>
    </row>
    <row r="177" spans="1:2" s="18" customFormat="1" ht="15" customHeight="1">
      <c r="A177" s="25" t="str">
        <f>'Trial Balance'!A365&amp;"-"&amp;'Trial Balance'!B365</f>
        <v>5715-Amortization of Intangibles and Other Electric Plant</v>
      </c>
      <c r="B177" s="339">
        <f>'Trial Balance'!J365</f>
        <v>0</v>
      </c>
    </row>
    <row r="178" spans="1:2" s="18" customFormat="1" ht="15" customHeight="1">
      <c r="A178" s="25" t="str">
        <f>'Trial Balance'!A366&amp;"-"&amp;'Trial Balance'!B366</f>
        <v>5720-Amortization of Electric Plant Acquisition Adjustments</v>
      </c>
      <c r="B178" s="339">
        <f>'Trial Balance'!J366</f>
        <v>0</v>
      </c>
    </row>
    <row r="179" spans="1:2" s="18" customFormat="1" ht="15" customHeight="1">
      <c r="A179" s="25" t="str">
        <f>'Trial Balance'!A367&amp;"-"&amp;'Trial Balance'!B367</f>
        <v>5725-Miscellaneous Amortization</v>
      </c>
      <c r="B179" s="339">
        <f>'Trial Balance'!J367</f>
        <v>0</v>
      </c>
    </row>
    <row r="180" spans="1:2" s="18" customFormat="1" ht="15" customHeight="1">
      <c r="A180" s="25" t="str">
        <f>'Trial Balance'!A368&amp;"-"&amp;'Trial Balance'!B368</f>
        <v>5730-Amortization of Unrecovered Plant and Regulatory Study Costs</v>
      </c>
      <c r="B180" s="339">
        <f>'Trial Balance'!J368</f>
        <v>0</v>
      </c>
    </row>
    <row r="181" spans="1:2" s="18" customFormat="1" ht="15" customHeight="1">
      <c r="A181" s="25" t="str">
        <f>'Trial Balance'!A369&amp;"-"&amp;'Trial Balance'!B369</f>
        <v>5735-Amortization of Deferred Development Costs</v>
      </c>
      <c r="B181" s="339">
        <f>'Trial Balance'!J369</f>
        <v>0</v>
      </c>
    </row>
    <row r="182" spans="1:2" ht="15" customHeight="1" thickBot="1">
      <c r="A182" s="25" t="str">
        <f>'Trial Balance'!A370&amp;"-"&amp;'Trial Balance'!B370</f>
        <v>5740-Amortization of Deferred Charges</v>
      </c>
      <c r="B182" s="339">
        <f>'Trial Balance'!J370</f>
        <v>0</v>
      </c>
    </row>
    <row r="183" spans="1:2" ht="15" customHeight="1" thickBot="1">
      <c r="A183" s="30" t="s">
        <v>78</v>
      </c>
      <c r="B183" s="341">
        <f>SUM(B175:B182)</f>
        <v>334223.37026666664</v>
      </c>
    </row>
    <row r="184" spans="1:2" s="18" customFormat="1" ht="15" customHeight="1">
      <c r="A184" s="538"/>
      <c r="B184" s="539"/>
    </row>
    <row r="185" spans="1:2" s="18" customFormat="1" ht="15" customHeight="1">
      <c r="A185" s="540" t="s">
        <v>79</v>
      </c>
      <c r="B185" s="541"/>
    </row>
    <row r="186" spans="1:2" ht="15" customHeight="1">
      <c r="A186" s="25" t="str">
        <f>'Trial Balance'!A372&amp;"-"&amp;'Trial Balance'!B372</f>
        <v>6005-Interest on Long Term Debt</v>
      </c>
      <c r="B186" s="339">
        <f>'Trial Balance'!J372</f>
        <v>0</v>
      </c>
    </row>
    <row r="187" spans="1:2" ht="15" customHeight="1">
      <c r="A187" s="25" t="str">
        <f>'Trial Balance'!A373&amp;"-"&amp;'Trial Balance'!B373</f>
        <v>6010-Amortization of Debt Discount and Expense</v>
      </c>
      <c r="B187" s="339">
        <f>'Trial Balance'!J373</f>
        <v>0</v>
      </c>
    </row>
    <row r="188" spans="1:2" ht="15" customHeight="1">
      <c r="A188" s="25" t="str">
        <f>'Trial Balance'!A374&amp;"-"&amp;'Trial Balance'!B374</f>
        <v>6015-Amortization of Premium on Debt-Credit</v>
      </c>
      <c r="B188" s="339">
        <f>'Trial Balance'!J374</f>
        <v>0</v>
      </c>
    </row>
    <row r="189" spans="1:2" ht="15" customHeight="1">
      <c r="A189" s="25" t="str">
        <f>'Trial Balance'!A375&amp;"-"&amp;'Trial Balance'!B375</f>
        <v>6020-Amortization of Loss on Reacquired Debt</v>
      </c>
      <c r="B189" s="339">
        <f>'Trial Balance'!J375</f>
        <v>0</v>
      </c>
    </row>
    <row r="190" spans="1:2" ht="15" customHeight="1">
      <c r="A190" s="25" t="str">
        <f>'Trial Balance'!A376&amp;"-"&amp;'Trial Balance'!B376</f>
        <v>6025-Amortization of Gain on Reacquired Debt-Credit</v>
      </c>
      <c r="B190" s="339">
        <f>'Trial Balance'!J376</f>
        <v>0</v>
      </c>
    </row>
    <row r="191" spans="1:2" ht="15" customHeight="1">
      <c r="A191" s="25" t="str">
        <f>'Trial Balance'!A377&amp;"-"&amp;'Trial Balance'!B377</f>
        <v>6030-Interest on Debt to Associated Companies</v>
      </c>
      <c r="B191" s="339">
        <f>'Trial Balance'!J377</f>
        <v>58051</v>
      </c>
    </row>
    <row r="192" spans="1:2" ht="15" customHeight="1">
      <c r="A192" s="25" t="str">
        <f>'Trial Balance'!A378&amp;"-"&amp;'Trial Balance'!B378</f>
        <v>6035-Other Interest Expense</v>
      </c>
      <c r="B192" s="339">
        <f>'Trial Balance'!J378</f>
        <v>44244.495674999984</v>
      </c>
    </row>
    <row r="193" spans="1:2" ht="15" customHeight="1">
      <c r="A193" s="25" t="str">
        <f>'Trial Balance'!A379&amp;"-"&amp;'Trial Balance'!B379</f>
        <v>6040-Allowance for Borrowed Funds Used During Construction-Credit</v>
      </c>
      <c r="B193" s="339">
        <f>'Trial Balance'!J379</f>
        <v>0</v>
      </c>
    </row>
    <row r="194" spans="1:2" ht="15" customHeight="1">
      <c r="A194" s="25" t="str">
        <f>'Trial Balance'!A380&amp;"-"&amp;'Trial Balance'!B380</f>
        <v>6042-Allowance for Other Funds Used During Construction</v>
      </c>
      <c r="B194" s="339">
        <f>'Trial Balance'!J380</f>
        <v>0</v>
      </c>
    </row>
    <row r="195" spans="1:2" ht="15" customHeight="1" thickBot="1">
      <c r="A195" s="25" t="str">
        <f>'Trial Balance'!A381&amp;"-"&amp;'Trial Balance'!B381</f>
        <v>6045-Interest Expense on Capital Lease Obligations</v>
      </c>
      <c r="B195" s="339">
        <f>'Trial Balance'!J381</f>
        <v>0</v>
      </c>
    </row>
    <row r="196" spans="1:2" ht="15" customHeight="1" thickBot="1">
      <c r="A196" s="30" t="s">
        <v>521</v>
      </c>
      <c r="B196" s="341">
        <f>SUM(B186:B195)</f>
        <v>102295.49567499998</v>
      </c>
    </row>
    <row r="197" spans="1:2" s="18" customFormat="1" ht="15" customHeight="1">
      <c r="A197" s="538"/>
      <c r="B197" s="539"/>
    </row>
    <row r="198" spans="1:2" s="18" customFormat="1" ht="15" customHeight="1">
      <c r="A198" s="540" t="s">
        <v>522</v>
      </c>
      <c r="B198" s="541"/>
    </row>
    <row r="199" spans="1:2" ht="15" customHeight="1" thickBot="1">
      <c r="A199" s="25" t="str">
        <f>'Trial Balance'!A383&amp;"-"&amp;'Trial Balance'!B383</f>
        <v>6105-Taxes Other Than Income Taxes</v>
      </c>
      <c r="B199" s="339">
        <f>'Trial Balance'!J383</f>
        <v>22400</v>
      </c>
    </row>
    <row r="200" spans="1:2" ht="15" customHeight="1" thickBot="1">
      <c r="A200" s="30" t="s">
        <v>525</v>
      </c>
      <c r="B200" s="341">
        <f>SUM(B199)</f>
        <v>22400</v>
      </c>
    </row>
    <row r="201" spans="1:2" s="18" customFormat="1" ht="15" customHeight="1">
      <c r="A201" s="538"/>
      <c r="B201" s="539"/>
    </row>
    <row r="202" spans="1:2" s="18" customFormat="1" ht="15" customHeight="1">
      <c r="A202" s="540" t="s">
        <v>526</v>
      </c>
      <c r="B202" s="541"/>
    </row>
    <row r="203" spans="1:2" ht="15" customHeight="1">
      <c r="A203" s="25" t="str">
        <f>'Trial Balance'!A384&amp;"-"&amp;'Trial Balance'!B384</f>
        <v>6110-Income Taxes</v>
      </c>
      <c r="B203" s="339">
        <f>'Trial Balance'!J384</f>
        <v>-46250.72721713904</v>
      </c>
    </row>
    <row r="204" spans="1:2" ht="15" customHeight="1" thickBot="1">
      <c r="A204" s="25" t="str">
        <f>'Trial Balance'!A385&amp;"-"&amp;'Trial Balance'!B385</f>
        <v>6115-Provision for Future Income Taxes</v>
      </c>
      <c r="B204" s="339">
        <f>'Trial Balance'!J385</f>
        <v>0</v>
      </c>
    </row>
    <row r="205" spans="1:2" ht="15" customHeight="1" thickBot="1">
      <c r="A205" s="30" t="s">
        <v>527</v>
      </c>
      <c r="B205" s="341">
        <f>SUM(B203:B204)</f>
        <v>-46250.72721713904</v>
      </c>
    </row>
    <row r="206" spans="1:2" s="18" customFormat="1" ht="15" customHeight="1">
      <c r="A206" s="538"/>
      <c r="B206" s="539"/>
    </row>
    <row r="207" spans="1:2" s="18" customFormat="1" ht="15" customHeight="1">
      <c r="A207" s="540" t="s">
        <v>508</v>
      </c>
      <c r="B207" s="541"/>
    </row>
    <row r="208" spans="1:2" ht="15" customHeight="1">
      <c r="A208" s="25" t="str">
        <f>'Trial Balance'!A387&amp;"-"&amp;'Trial Balance'!B387</f>
        <v>6205-Donations</v>
      </c>
      <c r="B208" s="339">
        <f>'Trial Balance'!J387</f>
        <v>0</v>
      </c>
    </row>
    <row r="209" spans="1:2" ht="15" customHeight="1">
      <c r="A209" s="25" t="str">
        <f>'Trial Balance'!A388&amp;"-"&amp;'Trial Balance'!B388</f>
        <v>6210-Life Insurance</v>
      </c>
      <c r="B209" s="339">
        <f>'Trial Balance'!J388</f>
        <v>0</v>
      </c>
    </row>
    <row r="210" spans="1:2" ht="15" customHeight="1">
      <c r="A210" s="25" t="str">
        <f>'Trial Balance'!A389&amp;"-"&amp;'Trial Balance'!B389</f>
        <v>6215-Penalties</v>
      </c>
      <c r="B210" s="339">
        <f>'Trial Balance'!J389</f>
        <v>0</v>
      </c>
    </row>
    <row r="211" spans="1:7" ht="15" customHeight="1" thickBot="1">
      <c r="A211" s="25" t="str">
        <f>'Trial Balance'!A390&amp;"-"&amp;'Trial Balance'!B390</f>
        <v>6225-Other Deductions</v>
      </c>
      <c r="B211" s="339">
        <f>'Trial Balance'!J390</f>
        <v>0</v>
      </c>
      <c r="D211" s="10"/>
      <c r="E211" s="10"/>
      <c r="F211" s="10"/>
      <c r="G211" s="10"/>
    </row>
    <row r="212" spans="1:2" ht="15" customHeight="1" thickBot="1">
      <c r="A212" s="30" t="s">
        <v>509</v>
      </c>
      <c r="B212" s="341">
        <f>SUM(B208:B211)</f>
        <v>0</v>
      </c>
    </row>
    <row r="213" spans="1:7" s="10" customFormat="1" ht="15" customHeight="1" thickBot="1">
      <c r="A213" s="538"/>
      <c r="B213" s="539"/>
      <c r="D213"/>
      <c r="E213"/>
      <c r="F213"/>
      <c r="G213"/>
    </row>
    <row r="214" spans="1:2" ht="18.75" customHeight="1" thickBot="1">
      <c r="A214" s="31" t="s">
        <v>776</v>
      </c>
      <c r="B214" s="342">
        <f>B24+B31+B43+B66+B71+B85+B111+B132+B143+B151+B172+B183+B196+B200+B205+B212</f>
        <v>68848.60652472035</v>
      </c>
    </row>
    <row r="215" spans="1:2" ht="15">
      <c r="A215" s="9"/>
      <c r="B215" s="343"/>
    </row>
    <row r="216" spans="1:2" ht="15">
      <c r="A216" s="9"/>
      <c r="B216" s="343"/>
    </row>
    <row r="217" spans="1:2" ht="15">
      <c r="A217" s="9" t="s">
        <v>865</v>
      </c>
      <c r="B217" s="343">
        <f>B214-B205</f>
        <v>115099.33374185939</v>
      </c>
    </row>
    <row r="218" spans="1:2" ht="15">
      <c r="A218" s="9"/>
      <c r="B218" s="343"/>
    </row>
    <row r="219" spans="1:2" ht="15">
      <c r="A219" s="9"/>
      <c r="B219" s="343"/>
    </row>
    <row r="220" spans="1:2" ht="15">
      <c r="A220" s="9"/>
      <c r="B220" s="343"/>
    </row>
    <row r="221" spans="1:2" ht="15">
      <c r="A221" s="9"/>
      <c r="B221" s="343"/>
    </row>
    <row r="222" spans="1:2" ht="15">
      <c r="A222" s="9"/>
      <c r="B222" s="343"/>
    </row>
    <row r="223" spans="1:2" ht="15">
      <c r="A223" s="9"/>
      <c r="B223" s="343"/>
    </row>
    <row r="224" spans="1:2" ht="15">
      <c r="A224" s="9"/>
      <c r="B224" s="343"/>
    </row>
    <row r="225" spans="1:2" ht="15">
      <c r="A225" s="9"/>
      <c r="B225" s="343"/>
    </row>
    <row r="226" spans="1:2" ht="15">
      <c r="A226" s="9"/>
      <c r="B226" s="343"/>
    </row>
    <row r="227" spans="1:2" ht="15">
      <c r="A227" s="9"/>
      <c r="B227" s="343"/>
    </row>
    <row r="228" spans="1:2" ht="15">
      <c r="A228" s="9"/>
      <c r="B228" s="343"/>
    </row>
    <row r="229" spans="1:2" ht="15">
      <c r="A229" s="9"/>
      <c r="B229" s="343"/>
    </row>
    <row r="230" spans="1:2" ht="15">
      <c r="A230" s="9"/>
      <c r="B230" s="343"/>
    </row>
    <row r="231" spans="1:2" ht="15">
      <c r="A231" s="9"/>
      <c r="B231" s="343"/>
    </row>
    <row r="232" spans="1:2" ht="15">
      <c r="A232" s="9"/>
      <c r="B232" s="343"/>
    </row>
    <row r="233" spans="1:2" ht="15">
      <c r="A233" s="9"/>
      <c r="B233" s="343"/>
    </row>
    <row r="234" spans="1:2" ht="15">
      <c r="A234" s="9"/>
      <c r="B234" s="343"/>
    </row>
    <row r="235" spans="1:2" ht="15">
      <c r="A235" s="9"/>
      <c r="B235" s="343"/>
    </row>
    <row r="236" spans="1:2" ht="15">
      <c r="A236" s="9"/>
      <c r="B236" s="343"/>
    </row>
    <row r="237" spans="1:2" ht="15">
      <c r="A237" s="9"/>
      <c r="B237" s="343"/>
    </row>
    <row r="238" spans="1:2" ht="15">
      <c r="A238" s="9"/>
      <c r="B238" s="343"/>
    </row>
    <row r="239" spans="1:2" ht="15">
      <c r="A239" s="9"/>
      <c r="B239" s="343"/>
    </row>
    <row r="240" spans="1:2" ht="15">
      <c r="A240" s="9"/>
      <c r="B240" s="343"/>
    </row>
    <row r="241" spans="1:2" ht="15">
      <c r="A241" s="9"/>
      <c r="B241" s="343"/>
    </row>
    <row r="242" spans="1:2" ht="15">
      <c r="A242" s="9"/>
      <c r="B242" s="343"/>
    </row>
    <row r="243" spans="1:2" ht="15">
      <c r="A243" s="9"/>
      <c r="B243" s="343"/>
    </row>
    <row r="244" spans="1:2" ht="15">
      <c r="A244" s="9"/>
      <c r="B244" s="343"/>
    </row>
    <row r="245" spans="1:2" ht="15">
      <c r="A245" s="9"/>
      <c r="B245" s="343"/>
    </row>
    <row r="246" spans="1:2" ht="15">
      <c r="A246" s="9"/>
      <c r="B246" s="343"/>
    </row>
    <row r="247" spans="1:2" ht="15">
      <c r="A247" s="9"/>
      <c r="B247" s="343"/>
    </row>
    <row r="248" spans="1:2" ht="15">
      <c r="A248" s="9"/>
      <c r="B248" s="343"/>
    </row>
    <row r="249" spans="1:2" ht="15">
      <c r="A249" s="9"/>
      <c r="B249" s="343"/>
    </row>
    <row r="250" spans="1:2" ht="15">
      <c r="A250" s="9"/>
      <c r="B250" s="343"/>
    </row>
    <row r="251" spans="1:2" ht="15">
      <c r="A251" s="9"/>
      <c r="B251" s="343"/>
    </row>
    <row r="252" spans="1:2" ht="15">
      <c r="A252" s="9"/>
      <c r="B252" s="343"/>
    </row>
    <row r="253" spans="1:2" ht="15">
      <c r="A253" s="9"/>
      <c r="B253" s="343"/>
    </row>
    <row r="254" spans="1:2" ht="15">
      <c r="A254" s="9"/>
      <c r="B254" s="343"/>
    </row>
    <row r="255" spans="1:2" ht="15">
      <c r="A255" s="9"/>
      <c r="B255" s="343"/>
    </row>
    <row r="256" spans="1:2" ht="15">
      <c r="A256" s="9"/>
      <c r="B256" s="343"/>
    </row>
    <row r="257" spans="1:2" ht="15">
      <c r="A257" s="9"/>
      <c r="B257" s="343"/>
    </row>
    <row r="258" spans="1:2" ht="15">
      <c r="A258" s="9"/>
      <c r="B258" s="343"/>
    </row>
    <row r="259" spans="1:2" ht="15">
      <c r="A259" s="9"/>
      <c r="B259" s="343"/>
    </row>
    <row r="260" spans="1:2" ht="15">
      <c r="A260" s="9"/>
      <c r="B260" s="343"/>
    </row>
    <row r="261" spans="1:2" ht="15">
      <c r="A261" s="9"/>
      <c r="B261" s="343"/>
    </row>
    <row r="262" spans="1:2" ht="15">
      <c r="A262" s="9"/>
      <c r="B262" s="343"/>
    </row>
    <row r="263" spans="1:2" ht="15">
      <c r="A263" s="9"/>
      <c r="B263" s="343"/>
    </row>
    <row r="264" spans="1:2" ht="15">
      <c r="A264" s="9"/>
      <c r="B264" s="343"/>
    </row>
    <row r="265" spans="1:2" ht="15">
      <c r="A265" s="9"/>
      <c r="B265" s="343"/>
    </row>
    <row r="266" spans="1:2" ht="15">
      <c r="A266" s="9"/>
      <c r="B266" s="343"/>
    </row>
    <row r="267" spans="1:2" ht="15">
      <c r="A267" s="9"/>
      <c r="B267" s="343"/>
    </row>
    <row r="268" spans="1:2" ht="15">
      <c r="A268" s="9"/>
      <c r="B268" s="343"/>
    </row>
    <row r="269" spans="1:2" ht="15">
      <c r="A269" s="9"/>
      <c r="B269" s="343"/>
    </row>
    <row r="270" spans="1:2" ht="15">
      <c r="A270" s="9"/>
      <c r="B270" s="343"/>
    </row>
    <row r="271" spans="1:2" ht="15">
      <c r="A271" s="9"/>
      <c r="B271" s="343"/>
    </row>
    <row r="272" spans="1:2" ht="15">
      <c r="A272" s="9"/>
      <c r="B272" s="343"/>
    </row>
    <row r="273" spans="1:2" ht="15">
      <c r="A273" s="9"/>
      <c r="B273" s="343"/>
    </row>
    <row r="274" spans="1:2" ht="15">
      <c r="A274" s="9"/>
      <c r="B274" s="343"/>
    </row>
    <row r="275" spans="1:2" ht="15">
      <c r="A275" s="9"/>
      <c r="B275" s="343"/>
    </row>
    <row r="276" spans="1:2" ht="15">
      <c r="A276" s="9"/>
      <c r="B276" s="343"/>
    </row>
    <row r="277" spans="1:2" ht="15">
      <c r="A277" s="9"/>
      <c r="B277" s="343"/>
    </row>
    <row r="278" spans="1:2" ht="15">
      <c r="A278" s="9"/>
      <c r="B278" s="343"/>
    </row>
    <row r="279" spans="1:2" ht="15">
      <c r="A279" s="9"/>
      <c r="B279" s="343"/>
    </row>
    <row r="280" spans="1:2" ht="15">
      <c r="A280" s="9"/>
      <c r="B280" s="343"/>
    </row>
    <row r="281" spans="1:2" ht="15">
      <c r="A281" s="9"/>
      <c r="B281" s="343"/>
    </row>
    <row r="282" spans="1:2" ht="15">
      <c r="A282" s="9"/>
      <c r="B282" s="343"/>
    </row>
    <row r="283" spans="1:2" ht="15">
      <c r="A283" s="9"/>
      <c r="B283" s="343"/>
    </row>
    <row r="284" spans="1:2" ht="15">
      <c r="A284" s="9"/>
      <c r="B284" s="343"/>
    </row>
    <row r="285" spans="1:2" ht="15">
      <c r="A285" s="9"/>
      <c r="B285" s="343"/>
    </row>
    <row r="286" spans="1:2" ht="15">
      <c r="A286" s="9"/>
      <c r="B286" s="343"/>
    </row>
    <row r="287" spans="1:2" ht="15">
      <c r="A287" s="9"/>
      <c r="B287" s="343"/>
    </row>
    <row r="288" spans="1:2" ht="15">
      <c r="A288" s="9"/>
      <c r="B288" s="343"/>
    </row>
    <row r="289" spans="1:2" ht="15">
      <c r="A289" s="9"/>
      <c r="B289" s="343"/>
    </row>
    <row r="290" spans="1:2" ht="15">
      <c r="A290" s="9"/>
      <c r="B290" s="343"/>
    </row>
    <row r="291" spans="1:2" ht="15">
      <c r="A291" s="9"/>
      <c r="B291" s="343"/>
    </row>
    <row r="292" spans="1:2" ht="15">
      <c r="A292" s="9"/>
      <c r="B292" s="343"/>
    </row>
    <row r="293" spans="1:2" ht="15">
      <c r="A293" s="9"/>
      <c r="B293" s="343"/>
    </row>
    <row r="294" spans="1:2" ht="15">
      <c r="A294" s="9"/>
      <c r="B294" s="343"/>
    </row>
    <row r="295" spans="1:2" ht="15">
      <c r="A295" s="9"/>
      <c r="B295" s="343"/>
    </row>
    <row r="296" spans="1:2" ht="15">
      <c r="A296" s="9"/>
      <c r="B296" s="343"/>
    </row>
    <row r="297" spans="1:2" ht="15">
      <c r="A297" s="9"/>
      <c r="B297" s="343"/>
    </row>
    <row r="298" spans="1:2" ht="15">
      <c r="A298" s="9"/>
      <c r="B298" s="343"/>
    </row>
    <row r="299" spans="1:2" ht="15">
      <c r="A299" s="9"/>
      <c r="B299" s="343"/>
    </row>
    <row r="300" spans="1:2" ht="15">
      <c r="A300" s="9"/>
      <c r="B300" s="343"/>
    </row>
    <row r="301" spans="1:2" ht="15">
      <c r="A301" s="9"/>
      <c r="B301" s="343"/>
    </row>
    <row r="302" spans="1:2" ht="15">
      <c r="A302" s="9"/>
      <c r="B302" s="343"/>
    </row>
    <row r="303" spans="1:2" ht="15">
      <c r="A303" s="9"/>
      <c r="B303" s="343"/>
    </row>
    <row r="304" spans="1:2" ht="15">
      <c r="A304" s="9"/>
      <c r="B304" s="343"/>
    </row>
    <row r="305" spans="1:2" ht="15">
      <c r="A305" s="9"/>
      <c r="B305" s="343"/>
    </row>
    <row r="306" spans="1:2" ht="15">
      <c r="A306" s="9"/>
      <c r="B306" s="343"/>
    </row>
    <row r="307" spans="1:2" ht="15">
      <c r="A307" s="9"/>
      <c r="B307" s="343"/>
    </row>
    <row r="308" spans="1:2" ht="15">
      <c r="A308" s="9"/>
      <c r="B308" s="343"/>
    </row>
    <row r="309" spans="1:2" ht="15">
      <c r="A309" s="9"/>
      <c r="B309" s="343"/>
    </row>
    <row r="310" spans="1:2" ht="15">
      <c r="A310" s="9"/>
      <c r="B310" s="343"/>
    </row>
    <row r="311" spans="1:2" ht="15">
      <c r="A311" s="9"/>
      <c r="B311" s="343"/>
    </row>
    <row r="312" spans="1:2" ht="15">
      <c r="A312" s="9"/>
      <c r="B312" s="343"/>
    </row>
    <row r="313" spans="1:2" ht="15">
      <c r="A313" s="9"/>
      <c r="B313" s="343"/>
    </row>
    <row r="314" spans="1:2" ht="15">
      <c r="A314" s="9"/>
      <c r="B314" s="343"/>
    </row>
    <row r="315" spans="1:2" ht="15">
      <c r="A315" s="9"/>
      <c r="B315" s="343"/>
    </row>
    <row r="316" spans="1:2" ht="15">
      <c r="A316" s="9"/>
      <c r="B316" s="343"/>
    </row>
    <row r="317" spans="1:2" ht="15">
      <c r="A317" s="9"/>
      <c r="B317" s="343"/>
    </row>
    <row r="318" spans="1:2" ht="15">
      <c r="A318" s="9"/>
      <c r="B318" s="343"/>
    </row>
    <row r="319" spans="1:2" ht="15">
      <c r="A319" s="9"/>
      <c r="B319" s="343"/>
    </row>
    <row r="320" spans="1:2" ht="15">
      <c r="A320" s="9"/>
      <c r="B320" s="343"/>
    </row>
    <row r="321" spans="1:2" ht="15">
      <c r="A321" s="9"/>
      <c r="B321" s="343"/>
    </row>
    <row r="322" spans="1:2" ht="15">
      <c r="A322" s="9"/>
      <c r="B322" s="343"/>
    </row>
    <row r="323" spans="1:2" ht="15">
      <c r="A323" s="9"/>
      <c r="B323" s="343"/>
    </row>
    <row r="324" spans="1:2" ht="15">
      <c r="A324" s="9"/>
      <c r="B324" s="343"/>
    </row>
    <row r="325" spans="1:2" ht="15">
      <c r="A325" s="9"/>
      <c r="B325" s="343"/>
    </row>
    <row r="326" spans="1:2" ht="15">
      <c r="A326" s="9"/>
      <c r="B326" s="343"/>
    </row>
    <row r="327" spans="1:2" ht="15">
      <c r="A327" s="9"/>
      <c r="B327" s="343"/>
    </row>
    <row r="328" spans="1:2" ht="15">
      <c r="A328" s="9"/>
      <c r="B328" s="343"/>
    </row>
    <row r="329" spans="1:2" ht="15">
      <c r="A329" s="9"/>
      <c r="B329" s="343"/>
    </row>
    <row r="330" spans="1:2" ht="15">
      <c r="A330" s="9"/>
      <c r="B330" s="343"/>
    </row>
  </sheetData>
  <sheetProtection/>
  <mergeCells count="36">
    <mergeCell ref="A3:B3"/>
    <mergeCell ref="A4:B4"/>
    <mergeCell ref="A6:B6"/>
    <mergeCell ref="A1:B1"/>
    <mergeCell ref="A2:B2"/>
    <mergeCell ref="A25:B25"/>
    <mergeCell ref="A26:B26"/>
    <mergeCell ref="A32:B32"/>
    <mergeCell ref="A33:B33"/>
    <mergeCell ref="A73:B73"/>
    <mergeCell ref="A44:B44"/>
    <mergeCell ref="A67:B67"/>
    <mergeCell ref="A68:B68"/>
    <mergeCell ref="A72:B72"/>
    <mergeCell ref="A45:B45"/>
    <mergeCell ref="A86:B86"/>
    <mergeCell ref="A87:B87"/>
    <mergeCell ref="A112:B112"/>
    <mergeCell ref="A113:B113"/>
    <mergeCell ref="A152:B152"/>
    <mergeCell ref="A133:B133"/>
    <mergeCell ref="A173:B173"/>
    <mergeCell ref="A174:B174"/>
    <mergeCell ref="A145:B145"/>
    <mergeCell ref="A134:B134"/>
    <mergeCell ref="A153:B153"/>
    <mergeCell ref="A144:B144"/>
    <mergeCell ref="A184:B184"/>
    <mergeCell ref="A185:B185"/>
    <mergeCell ref="A197:B197"/>
    <mergeCell ref="A198:B198"/>
    <mergeCell ref="A213:B213"/>
    <mergeCell ref="A201:B201"/>
    <mergeCell ref="A202:B202"/>
    <mergeCell ref="A206:B206"/>
    <mergeCell ref="A207:B207"/>
  </mergeCells>
  <printOptions/>
  <pageMargins left="0.7480314960629921" right="0.7480314960629921" top="0.984251968503937" bottom="0.984251968503937" header="0.5118110236220472" footer="0.5118110236220472"/>
  <pageSetup fitToHeight="4" fitToWidth="1" horizontalDpi="355" verticalDpi="355" orientation="portrait" scale="79" r:id="rId1"/>
  <headerFooter alignWithMargins="0">
    <oddFooter>&amp;L&amp;A</oddFooter>
  </headerFooter>
  <rowBreaks count="5" manualBreakCount="5">
    <brk id="44" max="255" man="1"/>
    <brk id="86" max="255" man="1"/>
    <brk id="112" max="255" man="1"/>
    <brk id="152" max="255" man="1"/>
    <brk id="18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B350"/>
  <sheetViews>
    <sheetView showGridLines="0" zoomScalePageLayoutView="0" workbookViewId="0" topLeftCell="A61">
      <selection activeCell="B61" sqref="B61"/>
    </sheetView>
  </sheetViews>
  <sheetFormatPr defaultColWidth="9.140625" defaultRowHeight="12.75"/>
  <cols>
    <col min="1" max="1" width="73.28125" style="24" customWidth="1"/>
    <col min="2" max="2" width="20.8515625" style="354" customWidth="1"/>
  </cols>
  <sheetData>
    <row r="1" spans="1:2" ht="12.75">
      <c r="A1" s="519" t="str">
        <f>'Trial Balance'!A1:F1</f>
        <v>Rideau St. Lawrence Distribution Inc.</v>
      </c>
      <c r="B1" s="519"/>
    </row>
    <row r="2" spans="1:2" ht="12.75">
      <c r="A2" s="519" t="str">
        <f>'Trial Balance'!A2:F2</f>
        <v> License Number ED-2003-0003, File Number EB-2011-0274</v>
      </c>
      <c r="B2" s="519"/>
    </row>
    <row r="3" spans="1:2" ht="15.75">
      <c r="A3" s="537" t="str">
        <f>Notes!B4</f>
        <v>Rideau St. Lawrence Distribution Inc.</v>
      </c>
      <c r="B3" s="537"/>
    </row>
    <row r="4" spans="1:2" ht="15.75">
      <c r="A4" s="537" t="s">
        <v>825</v>
      </c>
      <c r="B4" s="537"/>
    </row>
    <row r="5" spans="1:2" ht="15" customHeight="1">
      <c r="A5" s="62" t="s">
        <v>510</v>
      </c>
      <c r="B5" s="344" t="s">
        <v>150</v>
      </c>
    </row>
    <row r="6" spans="1:2" s="18" customFormat="1" ht="15" customHeight="1">
      <c r="A6" s="535" t="s">
        <v>145</v>
      </c>
      <c r="B6" s="535"/>
    </row>
    <row r="7" spans="1:2" ht="15" customHeight="1">
      <c r="A7" s="25" t="str">
        <f>'Trial Balance'!A8&amp;"-"&amp;'Trial Balance'!B8</f>
        <v>1005-Cash</v>
      </c>
      <c r="B7" s="345">
        <f>'Trial Balance'!L8</f>
        <v>650000</v>
      </c>
    </row>
    <row r="8" spans="1:2" ht="15" customHeight="1">
      <c r="A8" s="25" t="str">
        <f>'Trial Balance'!A9&amp;"-"&amp;'Trial Balance'!B9</f>
        <v>1010-Cash Advances and Working Funds</v>
      </c>
      <c r="B8" s="345">
        <f>'Trial Balance'!L9</f>
        <v>950</v>
      </c>
    </row>
    <row r="9" spans="1:2" ht="15" customHeight="1">
      <c r="A9" s="25" t="str">
        <f>'Trial Balance'!A10&amp;"-"&amp;'Trial Balance'!B10</f>
        <v>1020-Interest Special Deposits</v>
      </c>
      <c r="B9" s="345">
        <f>'Trial Balance'!L10</f>
        <v>0</v>
      </c>
    </row>
    <row r="10" spans="1:2" ht="15" customHeight="1">
      <c r="A10" s="25" t="str">
        <f>'Trial Balance'!A11&amp;"-"&amp;'Trial Balance'!B11</f>
        <v>1030-Dividend Special Deposits</v>
      </c>
      <c r="B10" s="345">
        <f>'Trial Balance'!L11</f>
        <v>0</v>
      </c>
    </row>
    <row r="11" spans="1:2" ht="15" customHeight="1">
      <c r="A11" s="25" t="str">
        <f>'Trial Balance'!A12&amp;"-"&amp;'Trial Balance'!B12</f>
        <v>1040-Other Special Deposits</v>
      </c>
      <c r="B11" s="345">
        <f>'Trial Balance'!L12</f>
        <v>0</v>
      </c>
    </row>
    <row r="12" spans="1:2" ht="15" customHeight="1">
      <c r="A12" s="25" t="str">
        <f>'Trial Balance'!A13&amp;"-"&amp;'Trial Balance'!B13</f>
        <v>1060-Term Deposits</v>
      </c>
      <c r="B12" s="345">
        <f>'Trial Balance'!L13</f>
        <v>8447</v>
      </c>
    </row>
    <row r="13" spans="1:2" ht="15" customHeight="1">
      <c r="A13" s="25" t="str">
        <f>'Trial Balance'!A14&amp;"-"&amp;'Trial Balance'!B14</f>
        <v>1070-Current Investments</v>
      </c>
      <c r="B13" s="345">
        <f>'Trial Balance'!L14</f>
        <v>0</v>
      </c>
    </row>
    <row r="14" spans="1:2" ht="15" customHeight="1">
      <c r="A14" s="25" t="str">
        <f>'Trial Balance'!A15&amp;"-"&amp;'Trial Balance'!B15</f>
        <v>1100-Customer Accounts Receivable</v>
      </c>
      <c r="B14" s="345">
        <f>'Trial Balance'!L15</f>
        <v>1000000</v>
      </c>
    </row>
    <row r="15" spans="1:2" ht="15" customHeight="1">
      <c r="A15" s="25" t="str">
        <f>'Trial Balance'!A16&amp;"-"&amp;'Trial Balance'!B16</f>
        <v>1102-Accounts Receivable - Services</v>
      </c>
      <c r="B15" s="345">
        <f>'Trial Balance'!L16</f>
        <v>70000</v>
      </c>
    </row>
    <row r="16" spans="1:2" ht="15" customHeight="1">
      <c r="A16" s="25" t="str">
        <f>'Trial Balance'!A17&amp;"-"&amp;'Trial Balance'!B17</f>
        <v>1104-Accounts Receivable - Recoverable Work</v>
      </c>
      <c r="B16" s="345">
        <f>'Trial Balance'!L17</f>
        <v>0</v>
      </c>
    </row>
    <row r="17" spans="1:2" ht="15" customHeight="1">
      <c r="A17" s="25" t="str">
        <f>'Trial Balance'!A18&amp;"-"&amp;'Trial Balance'!B18</f>
        <v>1105-Accounts Receivable - Merchandise, Jobbing, etc.</v>
      </c>
      <c r="B17" s="345">
        <f>'Trial Balance'!L18</f>
        <v>0</v>
      </c>
    </row>
    <row r="18" spans="1:2" ht="15" customHeight="1">
      <c r="A18" s="25" t="str">
        <f>'Trial Balance'!A19&amp;"-"&amp;'Trial Balance'!B19</f>
        <v>1110-Other Accounts Receivable</v>
      </c>
      <c r="B18" s="345">
        <f>'Trial Balance'!L19</f>
        <v>60000</v>
      </c>
    </row>
    <row r="19" spans="1:2" ht="15" customHeight="1">
      <c r="A19" s="25" t="str">
        <f>'Trial Balance'!A20&amp;"-"&amp;'Trial Balance'!B20</f>
        <v>1120-Accrued Utility Revenues</v>
      </c>
      <c r="B19" s="345">
        <f>'Trial Balance'!L20</f>
        <v>1500000</v>
      </c>
    </row>
    <row r="20" spans="1:2" ht="15" customHeight="1">
      <c r="A20" s="25" t="str">
        <f>'Trial Balance'!A21&amp;"-"&amp;'Trial Balance'!B21</f>
        <v>1130-Accumulated Provision for Uncollectable Accounts -- Credit</v>
      </c>
      <c r="B20" s="345">
        <f>'Trial Balance'!L21</f>
        <v>-40000</v>
      </c>
    </row>
    <row r="21" spans="1:2" ht="15" customHeight="1">
      <c r="A21" s="25" t="str">
        <f>'Trial Balance'!A22&amp;"-"&amp;'Trial Balance'!B22</f>
        <v>1140-Interest and Dividends Receivable</v>
      </c>
      <c r="B21" s="345">
        <f>'Trial Balance'!L22</f>
        <v>0</v>
      </c>
    </row>
    <row r="22" spans="1:2" ht="15" customHeight="1">
      <c r="A22" s="25" t="str">
        <f>'Trial Balance'!A23&amp;"-"&amp;'Trial Balance'!B23</f>
        <v>1150-Rents Receivable</v>
      </c>
      <c r="B22" s="345">
        <f>'Trial Balance'!L23</f>
        <v>0</v>
      </c>
    </row>
    <row r="23" spans="1:2" ht="15" customHeight="1">
      <c r="A23" s="25" t="str">
        <f>'Trial Balance'!A24&amp;"-"&amp;'Trial Balance'!B24</f>
        <v>1170-Notes Receivable</v>
      </c>
      <c r="B23" s="345">
        <f>'Trial Balance'!L24</f>
        <v>0</v>
      </c>
    </row>
    <row r="24" spans="1:2" ht="15" customHeight="1">
      <c r="A24" s="25" t="str">
        <f>'Trial Balance'!A25&amp;"-"&amp;'Trial Balance'!B25</f>
        <v>1180-Prepayments</v>
      </c>
      <c r="B24" s="345">
        <f>'Trial Balance'!L25</f>
        <v>25000</v>
      </c>
    </row>
    <row r="25" spans="1:2" ht="15" customHeight="1">
      <c r="A25" s="25" t="str">
        <f>'Trial Balance'!A26&amp;"-"&amp;'Trial Balance'!B26</f>
        <v>1190-Miscellaneous Current and Accrued Assets</v>
      </c>
      <c r="B25" s="345">
        <f>'Trial Balance'!L26</f>
        <v>0</v>
      </c>
    </row>
    <row r="26" spans="1:2" ht="15" customHeight="1">
      <c r="A26" s="25" t="str">
        <f>'Trial Balance'!A27&amp;"-"&amp;'Trial Balance'!B27</f>
        <v>1200-Accounts Receivable from Associated Companies</v>
      </c>
      <c r="B26" s="345">
        <f>'Trial Balance'!L27</f>
        <v>0</v>
      </c>
    </row>
    <row r="27" spans="1:2" ht="15" customHeight="1" thickBot="1">
      <c r="A27" s="25" t="str">
        <f>'Trial Balance'!A28&amp;"-"&amp;'Trial Balance'!B28</f>
        <v>1210-Notes  Receivable from Associated Companies</v>
      </c>
      <c r="B27" s="345">
        <f>'Trial Balance'!L28</f>
        <v>0</v>
      </c>
    </row>
    <row r="28" spans="1:2" ht="15" customHeight="1" thickBot="1">
      <c r="A28" s="26" t="s">
        <v>146</v>
      </c>
      <c r="B28" s="346">
        <f>SUM(B7:B27)</f>
        <v>3274397</v>
      </c>
    </row>
    <row r="29" spans="1:2" s="18" customFormat="1" ht="8.25" customHeight="1">
      <c r="A29" s="536"/>
      <c r="B29" s="536"/>
    </row>
    <row r="30" spans="1:2" s="18" customFormat="1" ht="15" customHeight="1">
      <c r="A30" s="534" t="s">
        <v>147</v>
      </c>
      <c r="B30" s="534"/>
    </row>
    <row r="31" spans="1:2" ht="15" customHeight="1">
      <c r="A31" s="25" t="str">
        <f>'Trial Balance'!A30&amp;"-"&amp;'Trial Balance'!B30</f>
        <v>1305-Fuel Stock</v>
      </c>
      <c r="B31" s="345">
        <f>'Trial Balance'!L30</f>
        <v>0</v>
      </c>
    </row>
    <row r="32" spans="1:2" ht="15" customHeight="1">
      <c r="A32" s="25" t="str">
        <f>'Trial Balance'!A31&amp;"-"&amp;'Trial Balance'!B31</f>
        <v>1330-Plant Materials and Operating Supplies</v>
      </c>
      <c r="B32" s="345">
        <f>'Trial Balance'!L31</f>
        <v>275000</v>
      </c>
    </row>
    <row r="33" spans="1:2" ht="15" customHeight="1">
      <c r="A33" s="25" t="str">
        <f>'Trial Balance'!A32&amp;"-"&amp;'Trial Balance'!B32</f>
        <v>1340-Merchandise</v>
      </c>
      <c r="B33" s="345">
        <f>'Trial Balance'!L32</f>
        <v>0</v>
      </c>
    </row>
    <row r="34" spans="1:2" ht="15" customHeight="1" thickBot="1">
      <c r="A34" s="25" t="str">
        <f>'Trial Balance'!A33&amp;"-"&amp;'Trial Balance'!B33</f>
        <v>1350-Other Material and Supplies</v>
      </c>
      <c r="B34" s="345">
        <f>'Trial Balance'!L33</f>
        <v>0</v>
      </c>
    </row>
    <row r="35" spans="1:2" ht="15" customHeight="1" thickBot="1">
      <c r="A35" s="27" t="s">
        <v>101</v>
      </c>
      <c r="B35" s="346">
        <f>SUM(B31:B34)</f>
        <v>275000</v>
      </c>
    </row>
    <row r="36" spans="1:2" s="18" customFormat="1" ht="15" customHeight="1">
      <c r="A36" s="22"/>
      <c r="B36" s="347"/>
    </row>
    <row r="37" spans="1:2" s="18" customFormat="1" ht="15" customHeight="1">
      <c r="A37" s="534" t="s">
        <v>102</v>
      </c>
      <c r="B37" s="534"/>
    </row>
    <row r="38" spans="1:2" ht="15" customHeight="1">
      <c r="A38" s="25" t="str">
        <f>'Trial Balance'!A35&amp;"-"&amp;'Trial Balance'!B35</f>
        <v>1405-Long Term Investments in Non-Associated Companies</v>
      </c>
      <c r="B38" s="345">
        <f>'Trial Balance'!L35</f>
        <v>0</v>
      </c>
    </row>
    <row r="39" spans="1:2" ht="15" customHeight="1">
      <c r="A39" s="25" t="str">
        <f>'Trial Balance'!A36&amp;"-"&amp;'Trial Balance'!B36</f>
        <v>1408-Long Term Receivable - Street Lighting Transfer</v>
      </c>
      <c r="B39" s="345">
        <f>'Trial Balance'!L36</f>
        <v>0</v>
      </c>
    </row>
    <row r="40" spans="1:2" ht="15" customHeight="1">
      <c r="A40" s="25" t="str">
        <f>'Trial Balance'!A37&amp;"-"&amp;'Trial Balance'!B37</f>
        <v>1410-Other Special or Collateral Funds</v>
      </c>
      <c r="B40" s="345">
        <f>'Trial Balance'!L37</f>
        <v>0</v>
      </c>
    </row>
    <row r="41" spans="1:2" ht="15" customHeight="1">
      <c r="A41" s="25" t="str">
        <f>'Trial Balance'!A38&amp;"-"&amp;'Trial Balance'!B38</f>
        <v>1415-Sinking Funds</v>
      </c>
      <c r="B41" s="345">
        <f>'Trial Balance'!L38</f>
        <v>0</v>
      </c>
    </row>
    <row r="42" spans="1:2" ht="15" customHeight="1">
      <c r="A42" s="25" t="str">
        <f>'Trial Balance'!A39&amp;"-"&amp;'Trial Balance'!B39</f>
        <v>1425-Unamortized Debt Expense</v>
      </c>
      <c r="B42" s="345">
        <f>'Trial Balance'!L39</f>
        <v>0</v>
      </c>
    </row>
    <row r="43" spans="1:2" ht="15" customHeight="1">
      <c r="A43" s="25" t="str">
        <f>'Trial Balance'!A40&amp;"-"&amp;'Trial Balance'!B40</f>
        <v>1445-Unamortized Discount on Long-Term Debt--Debit</v>
      </c>
      <c r="B43" s="345">
        <f>'Trial Balance'!L40</f>
        <v>0</v>
      </c>
    </row>
    <row r="44" spans="1:2" ht="15" customHeight="1">
      <c r="A44" s="25" t="str">
        <f>'Trial Balance'!A41&amp;"-"&amp;'Trial Balance'!B41</f>
        <v>1455-Unamortized Deferred Foreign Currency Translation Gains and Losses</v>
      </c>
      <c r="B44" s="345">
        <f>'Trial Balance'!L41</f>
        <v>0</v>
      </c>
    </row>
    <row r="45" spans="1:2" ht="15" customHeight="1">
      <c r="A45" s="25" t="str">
        <f>'Trial Balance'!A42&amp;"-"&amp;'Trial Balance'!B42</f>
        <v>1460-Other Non-Current Assets</v>
      </c>
      <c r="B45" s="345">
        <f>'Trial Balance'!L42</f>
        <v>0</v>
      </c>
    </row>
    <row r="46" spans="1:2" ht="15" customHeight="1">
      <c r="A46" s="25" t="str">
        <f>'Trial Balance'!A43&amp;"-"&amp;'Trial Balance'!B43</f>
        <v>1465-O.M.E.R.S. Past Service Costs</v>
      </c>
      <c r="B46" s="345">
        <f>'Trial Balance'!L43</f>
        <v>0</v>
      </c>
    </row>
    <row r="47" spans="1:2" ht="15" customHeight="1">
      <c r="A47" s="25" t="str">
        <f>'Trial Balance'!A44&amp;"-"&amp;'Trial Balance'!B44</f>
        <v>1470-Past Service Costs - Employee Future Benefits</v>
      </c>
      <c r="B47" s="345">
        <f>'Trial Balance'!L44</f>
        <v>0</v>
      </c>
    </row>
    <row r="48" spans="1:2" ht="15" customHeight="1">
      <c r="A48" s="25" t="str">
        <f>'Trial Balance'!A45&amp;"-"&amp;'Trial Balance'!B45</f>
        <v>1475-Past Service Costs -Other Pension Plans</v>
      </c>
      <c r="B48" s="345">
        <f>'Trial Balance'!L45</f>
        <v>0</v>
      </c>
    </row>
    <row r="49" spans="1:2" ht="15" customHeight="1">
      <c r="A49" s="25" t="str">
        <f>'Trial Balance'!A46&amp;"-"&amp;'Trial Balance'!B46</f>
        <v>1480-Portfolio Investments - Associated Companies</v>
      </c>
      <c r="B49" s="345">
        <f>'Trial Balance'!L46</f>
        <v>0</v>
      </c>
    </row>
    <row r="50" spans="1:2" ht="15" customHeight="1">
      <c r="A50" s="25" t="str">
        <f>'Trial Balance'!A47&amp;"-"&amp;'Trial Balance'!B47</f>
        <v>1485-Investment In Subsidiary Companies - Significant Influence</v>
      </c>
      <c r="B50" s="345">
        <f>'Trial Balance'!L47</f>
        <v>0</v>
      </c>
    </row>
    <row r="51" spans="1:2" ht="15" customHeight="1" thickBot="1">
      <c r="A51" s="25" t="str">
        <f>'Trial Balance'!A48&amp;"-"&amp;'Trial Balance'!B48</f>
        <v>1490-Investment in Subsidiary Companies</v>
      </c>
      <c r="B51" s="345">
        <f>'Trial Balance'!L48</f>
        <v>0</v>
      </c>
    </row>
    <row r="52" spans="1:2" ht="15" customHeight="1" thickBot="1">
      <c r="A52" s="27" t="s">
        <v>103</v>
      </c>
      <c r="B52" s="346">
        <f>SUM(B38:B51)</f>
        <v>0</v>
      </c>
    </row>
    <row r="53" spans="1:2" s="18" customFormat="1" ht="15" customHeight="1">
      <c r="A53" s="22"/>
      <c r="B53" s="347"/>
    </row>
    <row r="54" spans="1:2" s="18" customFormat="1" ht="15" customHeight="1">
      <c r="A54" s="534" t="s">
        <v>104</v>
      </c>
      <c r="B54" s="534"/>
    </row>
    <row r="55" spans="1:2" ht="15" customHeight="1">
      <c r="A55" s="25" t="str">
        <f>'Trial Balance'!A50&amp;"-"&amp;'Trial Balance'!B50</f>
        <v>1505-Unrecovered Plant and Regulatory Study Costs</v>
      </c>
      <c r="B55" s="345">
        <f>'Trial Balance'!L50</f>
        <v>0</v>
      </c>
    </row>
    <row r="56" spans="1:2" ht="15" customHeight="1">
      <c r="A56" s="25" t="str">
        <f>'Trial Balance'!A51&amp;"-"&amp;'Trial Balance'!B51</f>
        <v>1508-Other Regulatory Assets</v>
      </c>
      <c r="B56" s="345">
        <f>'Trial Balance'!L51</f>
        <v>60000</v>
      </c>
    </row>
    <row r="57" spans="1:2" ht="15" customHeight="1">
      <c r="A57" s="25" t="str">
        <f>'Trial Balance'!A52&amp;"-"&amp;'Trial Balance'!B52</f>
        <v>1510-Preliminary Survey and Investigation Charges</v>
      </c>
      <c r="B57" s="345">
        <f>'Trial Balance'!L52</f>
        <v>0</v>
      </c>
    </row>
    <row r="58" spans="1:2" ht="15" customHeight="1">
      <c r="A58" s="25" t="str">
        <f>'Trial Balance'!A53&amp;"-"&amp;'Trial Balance'!B53</f>
        <v>1515-Emission Allowance Inventory</v>
      </c>
      <c r="B58" s="345">
        <f>'Trial Balance'!L53</f>
        <v>0</v>
      </c>
    </row>
    <row r="59" spans="1:2" ht="15" customHeight="1">
      <c r="A59" s="25" t="str">
        <f>'Trial Balance'!A54&amp;"-"&amp;'Trial Balance'!B54</f>
        <v>1516-Emission Allowance Withheld</v>
      </c>
      <c r="B59" s="345">
        <f>'Trial Balance'!L54</f>
        <v>0</v>
      </c>
    </row>
    <row r="60" spans="1:2" ht="15" customHeight="1">
      <c r="A60" s="25" t="str">
        <f>'Trial Balance'!A55&amp;"-"&amp;'Trial Balance'!B55</f>
        <v>1518-RCVA Retail</v>
      </c>
      <c r="B60" s="345">
        <f>'Trial Balance'!L55</f>
        <v>723</v>
      </c>
    </row>
    <row r="61" spans="1:2" ht="15" customHeight="1">
      <c r="A61" s="25" t="str">
        <f>'Trial Balance'!A57&amp;"-"&amp;'Trial Balance'!B57</f>
        <v>1525-Miscellaneous Deferred Debits</v>
      </c>
      <c r="B61" s="345">
        <f>'Trial Balance'!L57</f>
        <v>0</v>
      </c>
    </row>
    <row r="62" spans="1:2" ht="15" customHeight="1">
      <c r="A62" s="25" t="str">
        <f>'Trial Balance'!A58&amp;"-"&amp;'Trial Balance'!B58</f>
        <v>1530-Deferred Losses from Disposition of Utility Plant</v>
      </c>
      <c r="B62" s="345">
        <f>'Trial Balance'!L58</f>
        <v>0</v>
      </c>
    </row>
    <row r="63" spans="1:2" ht="15" customHeight="1">
      <c r="A63" s="25" t="str">
        <f>'Trial Balance'!A59&amp;"-"&amp;'Trial Balance'!B59</f>
        <v>1540-Deferred Losses from Disposition of Utility Plant</v>
      </c>
      <c r="B63" s="345">
        <f>'Trial Balance'!L59</f>
        <v>0</v>
      </c>
    </row>
    <row r="64" spans="1:2" ht="15" customHeight="1">
      <c r="A64" s="25" t="str">
        <f>'Trial Balance'!A60&amp;"-"&amp;'Trial Balance'!B60</f>
        <v>1545-Development Charge Deposits/ Receivables</v>
      </c>
      <c r="B64" s="345">
        <f>'Trial Balance'!L60</f>
        <v>0</v>
      </c>
    </row>
    <row r="65" spans="1:2" ht="15" customHeight="1">
      <c r="A65" s="25" t="str">
        <f>'Trial Balance'!A61&amp;"-"&amp;'Trial Balance'!B61</f>
        <v>1548-RCVA - Service Transaction Request (STR)</v>
      </c>
      <c r="B65" s="345">
        <f>'Trial Balance'!L61</f>
        <v>100000</v>
      </c>
    </row>
    <row r="66" spans="1:2" ht="15" customHeight="1">
      <c r="A66" s="25" t="str">
        <f>'Trial Balance'!A62&amp;"-"&amp;'Trial Balance'!B62</f>
        <v>1550-LV Charges - Variance</v>
      </c>
      <c r="B66" s="345">
        <f>'Trial Balance'!L62</f>
        <v>-65000</v>
      </c>
    </row>
    <row r="67" spans="1:2" ht="15" customHeight="1">
      <c r="A67" s="25" t="str">
        <f>'Trial Balance'!A63&amp;"-"&amp;'Trial Balance'!B63</f>
        <v>1555-Smart Meters Recovery</v>
      </c>
      <c r="B67" s="345">
        <f>'Trial Balance'!L63</f>
        <v>180000</v>
      </c>
    </row>
    <row r="68" spans="1:2" ht="15" customHeight="1">
      <c r="A68" s="25" t="str">
        <f>'Trial Balance'!A64&amp;"-"&amp;'Trial Balance'!B64</f>
        <v>1556-Smart Meters OM &amp; A</v>
      </c>
      <c r="B68" s="345">
        <f>'Trial Balance'!L64</f>
        <v>0</v>
      </c>
    </row>
    <row r="69" spans="1:2" ht="15" customHeight="1">
      <c r="A69" s="25" t="str">
        <f>'Trial Balance'!A65&amp;"-"&amp;'Trial Balance'!B65</f>
        <v>1562-Deferred PILs</v>
      </c>
      <c r="B69" s="345">
        <f>'Trial Balance'!L65</f>
        <v>0</v>
      </c>
    </row>
    <row r="70" spans="1:2" ht="15" customHeight="1">
      <c r="A70" s="25" t="str">
        <f>'Trial Balance'!A66&amp;"-"&amp;'Trial Balance'!B66</f>
        <v>1563-Deferred PILs - Contra</v>
      </c>
      <c r="B70" s="345">
        <f>'Trial Balance'!L66</f>
        <v>0</v>
      </c>
    </row>
    <row r="71" spans="1:2" ht="15" customHeight="1">
      <c r="A71" s="25" t="str">
        <f>'Trial Balance'!A67&amp;"-"&amp;'Trial Balance'!B67</f>
        <v>1565-C &amp; DM Costs</v>
      </c>
      <c r="B71" s="345">
        <f>'Trial Balance'!L67</f>
        <v>0</v>
      </c>
    </row>
    <row r="72" spans="1:2" ht="15" customHeight="1">
      <c r="A72" s="25" t="str">
        <f>'Trial Balance'!A68&amp;"-"&amp;'Trial Balance'!B68</f>
        <v>1566-C &amp; DM Costs Contra - SM Costs to Fixed Assets</v>
      </c>
      <c r="B72" s="345">
        <f>'Trial Balance'!L68</f>
        <v>0</v>
      </c>
    </row>
    <row r="73" spans="1:2" ht="15" customHeight="1">
      <c r="A73" s="25" t="str">
        <f>'Trial Balance'!A69&amp;"-"&amp;'Trial Balance'!B69</f>
        <v>1570-Qualifying Transition Costs</v>
      </c>
      <c r="B73" s="345">
        <f>'Trial Balance'!L69</f>
        <v>0</v>
      </c>
    </row>
    <row r="74" spans="1:2" ht="15" customHeight="1">
      <c r="A74" s="25" t="str">
        <f>'Trial Balance'!A70&amp;"-"&amp;'Trial Balance'!B70</f>
        <v>1571-Pre Market CofP Variance</v>
      </c>
      <c r="B74" s="345">
        <f>'Trial Balance'!L70</f>
        <v>0</v>
      </c>
    </row>
    <row r="75" spans="1:2" ht="15" customHeight="1">
      <c r="A75" s="25" t="str">
        <f>'Trial Balance'!A71&amp;"-"&amp;'Trial Balance'!B71</f>
        <v>1572-Extraordinary Event Losses</v>
      </c>
      <c r="B75" s="345">
        <f>'Trial Balance'!L71</f>
        <v>0</v>
      </c>
    </row>
    <row r="76" spans="1:2" ht="15" customHeight="1">
      <c r="A76" s="25" t="str">
        <f>'Trial Balance'!A72&amp;"-"&amp;'Trial Balance'!B72</f>
        <v>1574-Deferred Rate Impact Amounts</v>
      </c>
      <c r="B76" s="345">
        <f>'Trial Balance'!L72</f>
        <v>0</v>
      </c>
    </row>
    <row r="77" spans="1:2" ht="15" customHeight="1">
      <c r="A77" s="25" t="str">
        <f>'Trial Balance'!A73&amp;"-"&amp;'Trial Balance'!B73</f>
        <v>1580-RSVA - Wholesale Market Services</v>
      </c>
      <c r="B77" s="345">
        <f>'Trial Balance'!L73</f>
        <v>-2000</v>
      </c>
    </row>
    <row r="78" spans="1:2" ht="15" customHeight="1">
      <c r="A78" s="25" t="str">
        <f>'Trial Balance'!A74&amp;"-"&amp;'Trial Balance'!B74</f>
        <v>1582-RSVA - One-Time</v>
      </c>
      <c r="B78" s="345">
        <f>'Trial Balance'!L74</f>
        <v>7500</v>
      </c>
    </row>
    <row r="79" spans="1:2" ht="15" customHeight="1">
      <c r="A79" s="25" t="str">
        <f>'Trial Balance'!A75&amp;"-"&amp;'Trial Balance'!B75</f>
        <v>1584-RSVA - Network Charges</v>
      </c>
      <c r="B79" s="345">
        <f>'Trial Balance'!L75</f>
        <v>-150000</v>
      </c>
    </row>
    <row r="80" spans="1:2" ht="15" customHeight="1">
      <c r="A80" s="25" t="str">
        <f>'Trial Balance'!A76&amp;"-"&amp;'Trial Balance'!B76</f>
        <v>1586-RSVA - Connection Charges</v>
      </c>
      <c r="B80" s="345">
        <f>'Trial Balance'!L76</f>
        <v>-94000</v>
      </c>
    </row>
    <row r="81" spans="1:2" ht="15" customHeight="1">
      <c r="A81" s="25" t="str">
        <f>'Trial Balance'!A77&amp;"-"&amp;'Trial Balance'!B77</f>
        <v>1588-RSVA - Commodity (Power)</v>
      </c>
      <c r="B81" s="345">
        <f>'Trial Balance'!L77</f>
        <v>-200000</v>
      </c>
    </row>
    <row r="82" spans="1:2" ht="15" customHeight="1">
      <c r="A82" s="25" t="str">
        <f>'Trial Balance'!A78&amp;"-"&amp;'Trial Balance'!B78</f>
        <v>1590-Recovery of Regulatory Assets (25% of 2002 bal.)</v>
      </c>
      <c r="B82" s="345">
        <f>'Trial Balance'!L78</f>
        <v>0</v>
      </c>
    </row>
    <row r="83" spans="1:2" ht="15" customHeight="1">
      <c r="A83" s="25" t="str">
        <f>'Trial Balance'!A79&amp;"-"&amp;'Trial Balance'!B79</f>
        <v>1592-PILs and Tax Variance for 2006 &amp; Subsequent Years</v>
      </c>
      <c r="B83" s="345">
        <f>'Trial Balance'!L79</f>
        <v>0</v>
      </c>
    </row>
    <row r="84" spans="1:2" ht="15" customHeight="1" thickBot="1">
      <c r="A84" s="25" t="str">
        <f>'Trial Balance'!A80&amp;"-"&amp;'Trial Balance'!B80</f>
        <v>1595-Disposition and Recovery of Regulatory Balances</v>
      </c>
      <c r="B84" s="345">
        <f>'Trial Balance'!L80</f>
        <v>5500</v>
      </c>
    </row>
    <row r="85" spans="1:2" ht="15" customHeight="1" thickBot="1">
      <c r="A85" s="27" t="s">
        <v>151</v>
      </c>
      <c r="B85" s="346">
        <f>SUM(B55:B84)</f>
        <v>-157277</v>
      </c>
    </row>
    <row r="86" spans="1:2" s="18" customFormat="1" ht="15" customHeight="1">
      <c r="A86" s="22"/>
      <c r="B86" s="347"/>
    </row>
    <row r="87" spans="1:2" s="18" customFormat="1" ht="15" customHeight="1">
      <c r="A87" s="534" t="s">
        <v>152</v>
      </c>
      <c r="B87" s="534"/>
    </row>
    <row r="88" spans="1:2" ht="15" customHeight="1">
      <c r="A88" s="25" t="str">
        <f>'Trial Balance'!A82&amp;"-"&amp;'Trial Balance'!B82</f>
        <v>1610-Intangible Assets</v>
      </c>
      <c r="B88" s="345">
        <f>'Trial Balance'!L82</f>
        <v>0</v>
      </c>
    </row>
    <row r="89" spans="1:2" ht="15" customHeight="1">
      <c r="A89" s="25" t="str">
        <f>'Trial Balance'!A83&amp;"-"&amp;'Trial Balance'!B83</f>
        <v>1805-Land</v>
      </c>
      <c r="B89" s="345">
        <f>'Trial Balance'!L83</f>
        <v>84205.25</v>
      </c>
    </row>
    <row r="90" spans="1:2" ht="15" customHeight="1">
      <c r="A90" s="25" t="str">
        <f>'Trial Balance'!A84&amp;"-"&amp;'Trial Balance'!B84</f>
        <v>1806-Land Rights</v>
      </c>
      <c r="B90" s="345">
        <f>'Trial Balance'!L84</f>
        <v>0</v>
      </c>
    </row>
    <row r="91" spans="1:2" ht="15" customHeight="1">
      <c r="A91" s="25" t="str">
        <f>'Trial Balance'!A85&amp;"-"&amp;'Trial Balance'!B85</f>
        <v>1808-Buildings and Fixtures</v>
      </c>
      <c r="B91" s="345">
        <f>'Trial Balance'!L85</f>
        <v>89977.41</v>
      </c>
    </row>
    <row r="92" spans="1:2" ht="15" customHeight="1">
      <c r="A92" s="25" t="str">
        <f>'Trial Balance'!A86&amp;"-"&amp;'Trial Balance'!B86</f>
        <v>1810-Leasehold Improvements</v>
      </c>
      <c r="B92" s="345">
        <f>'Trial Balance'!L86</f>
        <v>0</v>
      </c>
    </row>
    <row r="93" spans="1:2" ht="15" customHeight="1">
      <c r="A93" s="25" t="str">
        <f>'Trial Balance'!A87&amp;"-"&amp;'Trial Balance'!B87</f>
        <v>1815-Transformer Station Equipment - Normally Primary above 50 kV</v>
      </c>
      <c r="B93" s="345">
        <f>'Trial Balance'!L87</f>
        <v>341991.85000000003</v>
      </c>
    </row>
    <row r="94" spans="1:2" ht="15" customHeight="1">
      <c r="A94" s="25" t="str">
        <f>'Trial Balance'!A88&amp;"-"&amp;'Trial Balance'!B88</f>
        <v>1820-Distribution Station Equipment - Normally Primary below 50 kV</v>
      </c>
      <c r="B94" s="345">
        <f>'Trial Balance'!L88</f>
        <v>417892.04</v>
      </c>
    </row>
    <row r="95" spans="1:2" ht="15" customHeight="1">
      <c r="A95" s="25" t="str">
        <f>'Trial Balance'!A89&amp;"-"&amp;'Trial Balance'!B89</f>
        <v>1825-Storage Battery Equipment</v>
      </c>
      <c r="B95" s="345">
        <f>'Trial Balance'!L89</f>
        <v>0</v>
      </c>
    </row>
    <row r="96" spans="1:2" ht="15" customHeight="1">
      <c r="A96" s="25" t="str">
        <f>'Trial Balance'!A90&amp;"-"&amp;'Trial Balance'!B90</f>
        <v>1830-Poles, Towers and Fixtures</v>
      </c>
      <c r="B96" s="345">
        <f>'Trial Balance'!L90</f>
        <v>574401.9</v>
      </c>
    </row>
    <row r="97" spans="1:2" ht="15" customHeight="1">
      <c r="A97" s="25" t="str">
        <f>'Trial Balance'!A91&amp;"-"&amp;'Trial Balance'!B91</f>
        <v>1835-Overhead Conductors and Devices</v>
      </c>
      <c r="B97" s="345">
        <f>'Trial Balance'!L91</f>
        <v>1889430.1</v>
      </c>
    </row>
    <row r="98" spans="1:2" ht="15" customHeight="1">
      <c r="A98" s="25" t="str">
        <f>'Trial Balance'!A92&amp;"-"&amp;'Trial Balance'!B92</f>
        <v>1840-Underground Conduit</v>
      </c>
      <c r="B98" s="345">
        <f>'Trial Balance'!L92</f>
        <v>36862.350000000035</v>
      </c>
    </row>
    <row r="99" spans="1:2" ht="15" customHeight="1">
      <c r="A99" s="25" t="str">
        <f>'Trial Balance'!A93&amp;"-"&amp;'Trial Balance'!B93</f>
        <v>1845-Underground Conductors and Devices</v>
      </c>
      <c r="B99" s="345">
        <f>'Trial Balance'!L93</f>
        <v>817248.3200000001</v>
      </c>
    </row>
    <row r="100" spans="1:2" ht="15" customHeight="1">
      <c r="A100" s="25" t="str">
        <f>'Trial Balance'!A94&amp;"-"&amp;'Trial Balance'!B94</f>
        <v>1850-Line Transformers</v>
      </c>
      <c r="B100" s="345">
        <f>'Trial Balance'!L94</f>
        <v>1091223.28</v>
      </c>
    </row>
    <row r="101" spans="1:2" ht="15" customHeight="1">
      <c r="A101" s="25" t="str">
        <f>'Trial Balance'!A95&amp;"-"&amp;'Trial Balance'!B95</f>
        <v>1855-Services</v>
      </c>
      <c r="B101" s="345">
        <f>'Trial Balance'!L95</f>
        <v>301636.54</v>
      </c>
    </row>
    <row r="102" spans="1:2" ht="15" customHeight="1">
      <c r="A102" s="25" t="str">
        <f>'Trial Balance'!A96&amp;"-"&amp;'Trial Balance'!B96</f>
        <v>1860-Meters</v>
      </c>
      <c r="B102" s="345">
        <f>'Trial Balance'!L96</f>
        <v>1510244.2799999998</v>
      </c>
    </row>
    <row r="103" spans="1:2" ht="15" customHeight="1" thickBot="1">
      <c r="A103" s="25" t="str">
        <f>'Trial Balance'!A97&amp;"-"&amp;'Trial Balance'!B97</f>
        <v>1865-Other Installations on Customer's Premises</v>
      </c>
      <c r="B103" s="345">
        <f>'Trial Balance'!L97</f>
        <v>0</v>
      </c>
    </row>
    <row r="104" spans="1:2" ht="15" customHeight="1" thickBot="1">
      <c r="A104" s="28" t="s">
        <v>80</v>
      </c>
      <c r="B104" s="346">
        <f>SUM(B88:B103)</f>
        <v>7155113.32</v>
      </c>
    </row>
    <row r="105" spans="1:2" s="18" customFormat="1" ht="15" customHeight="1">
      <c r="A105" s="21"/>
      <c r="B105" s="347"/>
    </row>
    <row r="106" spans="1:2" s="18" customFormat="1" ht="15" customHeight="1">
      <c r="A106" s="534" t="s">
        <v>81</v>
      </c>
      <c r="B106" s="534"/>
    </row>
    <row r="107" spans="1:2" ht="15" customHeight="1">
      <c r="A107" s="25" t="str">
        <f>'Trial Balance'!A98&amp;"-"&amp;'Trial Balance'!B98</f>
        <v>1905-Land</v>
      </c>
      <c r="B107" s="345">
        <f>'Trial Balance'!L98</f>
        <v>0</v>
      </c>
    </row>
    <row r="108" spans="1:2" ht="15" customHeight="1">
      <c r="A108" s="25" t="str">
        <f>'Trial Balance'!A99&amp;"-"&amp;'Trial Balance'!B99</f>
        <v>1906-Land Rights</v>
      </c>
      <c r="B108" s="345">
        <f>'Trial Balance'!L99</f>
        <v>0</v>
      </c>
    </row>
    <row r="109" spans="1:2" ht="15" customHeight="1">
      <c r="A109" s="25" t="str">
        <f>'Trial Balance'!A100&amp;"-"&amp;'Trial Balance'!B100</f>
        <v>1908-Buildings and Fixtures</v>
      </c>
      <c r="B109" s="345">
        <f>'Trial Balance'!L100</f>
        <v>0</v>
      </c>
    </row>
    <row r="110" spans="1:2" ht="15" customHeight="1">
      <c r="A110" s="25" t="str">
        <f>'Trial Balance'!A101&amp;"-"&amp;'Trial Balance'!B101</f>
        <v>1910-Leasehold Improvements</v>
      </c>
      <c r="B110" s="345">
        <f>'Trial Balance'!L101</f>
        <v>8796.45</v>
      </c>
    </row>
    <row r="111" spans="1:2" ht="15" customHeight="1">
      <c r="A111" s="25" t="str">
        <f>'Trial Balance'!A102&amp;"-"&amp;'Trial Balance'!B102</f>
        <v>1915-Office Furniture and Equipment</v>
      </c>
      <c r="B111" s="345">
        <f>'Trial Balance'!L102</f>
        <v>0</v>
      </c>
    </row>
    <row r="112" spans="1:2" ht="15" customHeight="1">
      <c r="A112" s="25" t="str">
        <f>'Trial Balance'!A103&amp;"-"&amp;'Trial Balance'!B103</f>
        <v>1920-Computer Equipment - Hardware</v>
      </c>
      <c r="B112" s="345">
        <f>'Trial Balance'!L103</f>
        <v>183687.65999999997</v>
      </c>
    </row>
    <row r="113" spans="1:2" ht="15" customHeight="1">
      <c r="A113" s="25" t="str">
        <f>'Trial Balance'!A104&amp;"-"&amp;'Trial Balance'!B104</f>
        <v>1925-Computer Software</v>
      </c>
      <c r="B113" s="345">
        <f>'Trial Balance'!L104</f>
        <v>214826.66</v>
      </c>
    </row>
    <row r="114" spans="1:2" ht="15" customHeight="1">
      <c r="A114" s="25" t="str">
        <f>'Trial Balance'!A105&amp;"-"&amp;'Trial Balance'!B105</f>
        <v>1930-Transportation Equipment</v>
      </c>
      <c r="B114" s="345">
        <f>'Trial Balance'!L105</f>
        <v>627095.3799999999</v>
      </c>
    </row>
    <row r="115" spans="1:2" ht="15" customHeight="1">
      <c r="A115" s="25" t="str">
        <f>'Trial Balance'!A106&amp;"-"&amp;'Trial Balance'!B106</f>
        <v>1935-Stores Equipment</v>
      </c>
      <c r="B115" s="345">
        <f>'Trial Balance'!L106</f>
        <v>0</v>
      </c>
    </row>
    <row r="116" spans="1:2" ht="15" customHeight="1">
      <c r="A116" s="25" t="str">
        <f>'Trial Balance'!A107&amp;"-"&amp;'Trial Balance'!B107</f>
        <v>1940-Tools, Shop and Garage Equipment</v>
      </c>
      <c r="B116" s="345">
        <f>'Trial Balance'!L107</f>
        <v>147983.96</v>
      </c>
    </row>
    <row r="117" spans="1:2" ht="15" customHeight="1">
      <c r="A117" s="25" t="str">
        <f>'Trial Balance'!A108&amp;"-"&amp;'Trial Balance'!B108</f>
        <v>1945-Measurement and Testing Equipment</v>
      </c>
      <c r="B117" s="345">
        <f>'Trial Balance'!L108</f>
        <v>0</v>
      </c>
    </row>
    <row r="118" spans="1:2" ht="15" customHeight="1">
      <c r="A118" s="25" t="str">
        <f>'Trial Balance'!A109&amp;"-"&amp;'Trial Balance'!B109</f>
        <v>1950-Power Operated Equipment</v>
      </c>
      <c r="B118" s="345">
        <f>'Trial Balance'!L109</f>
        <v>0</v>
      </c>
    </row>
    <row r="119" spans="1:2" ht="15" customHeight="1">
      <c r="A119" s="25" t="str">
        <f>'Trial Balance'!A110&amp;"-"&amp;'Trial Balance'!B110</f>
        <v>1955-Communication Equipment</v>
      </c>
      <c r="B119" s="345">
        <f>'Trial Balance'!L110</f>
        <v>0</v>
      </c>
    </row>
    <row r="120" spans="1:2" ht="15" customHeight="1">
      <c r="A120" s="25" t="str">
        <f>'Trial Balance'!A111&amp;"-"&amp;'Trial Balance'!B111</f>
        <v>1960-Miscellaneous Equipment</v>
      </c>
      <c r="B120" s="345">
        <f>'Trial Balance'!L111</f>
        <v>0</v>
      </c>
    </row>
    <row r="121" spans="1:2" ht="15" customHeight="1">
      <c r="A121" s="25" t="str">
        <f>'Trial Balance'!A112&amp;"-"&amp;'Trial Balance'!B112</f>
        <v>1970-Load Management Controls - Customer Premises </v>
      </c>
      <c r="B121" s="345">
        <f>'Trial Balance'!L112</f>
        <v>0</v>
      </c>
    </row>
    <row r="122" spans="1:2" ht="15" customHeight="1">
      <c r="A122" s="25" t="str">
        <f>'Trial Balance'!A113&amp;"-"&amp;'Trial Balance'!B113</f>
        <v>1975-Load Management Controls - Utility Premises</v>
      </c>
      <c r="B122" s="345">
        <f>'Trial Balance'!L113</f>
        <v>0</v>
      </c>
    </row>
    <row r="123" spans="1:2" ht="15" customHeight="1">
      <c r="A123" s="25" t="str">
        <f>'Trial Balance'!A114&amp;"-"&amp;'Trial Balance'!B114</f>
        <v>1980-System Supervisory Equipment</v>
      </c>
      <c r="B123" s="345">
        <f>'Trial Balance'!L114</f>
        <v>0</v>
      </c>
    </row>
    <row r="124" spans="1:2" ht="15" customHeight="1">
      <c r="A124" s="25" t="str">
        <f>'Trial Balance'!A115&amp;"-"&amp;'Trial Balance'!B115</f>
        <v>1985-Sentinel Lighting Rentals</v>
      </c>
      <c r="B124" s="345">
        <f>'Trial Balance'!L115</f>
        <v>0</v>
      </c>
    </row>
    <row r="125" spans="1:2" ht="15" customHeight="1">
      <c r="A125" s="25" t="str">
        <f>'Trial Balance'!A116&amp;"-"&amp;'Trial Balance'!B116</f>
        <v>1990-Other Tangible Property</v>
      </c>
      <c r="B125" s="345">
        <f>'Trial Balance'!L116</f>
        <v>0</v>
      </c>
    </row>
    <row r="126" spans="1:2" ht="15" customHeight="1" thickBot="1">
      <c r="A126" s="25" t="str">
        <f>'Trial Balance'!A117&amp;"-"&amp;'Trial Balance'!B117</f>
        <v>1995-Contributions and Grants</v>
      </c>
      <c r="B126" s="345">
        <f>'Trial Balance'!L117</f>
        <v>-360987.58999999997</v>
      </c>
    </row>
    <row r="127" spans="1:2" ht="15" customHeight="1" thickBot="1">
      <c r="A127" s="28" t="s">
        <v>141</v>
      </c>
      <c r="B127" s="346">
        <f>SUM(B107:B126)</f>
        <v>821402.5199999999</v>
      </c>
    </row>
    <row r="128" spans="1:2" s="18" customFormat="1" ht="15" customHeight="1">
      <c r="A128" s="21"/>
      <c r="B128" s="347"/>
    </row>
    <row r="129" spans="1:2" s="18" customFormat="1" ht="15" customHeight="1">
      <c r="A129" s="534" t="s">
        <v>142</v>
      </c>
      <c r="B129" s="534"/>
    </row>
    <row r="130" spans="1:2" ht="15" customHeight="1">
      <c r="A130" s="25" t="str">
        <f>'Trial Balance'!A119&amp;"-"&amp;'Trial Balance'!B119</f>
        <v>2005-Property Under Capital Leases</v>
      </c>
      <c r="B130" s="345">
        <f>'Trial Balance'!L119</f>
        <v>0</v>
      </c>
    </row>
    <row r="131" spans="1:2" ht="15" customHeight="1">
      <c r="A131" s="25" t="str">
        <f>'Trial Balance'!A120&amp;"-"&amp;'Trial Balance'!B120</f>
        <v>2010-Electric Plant Purchased or Sold</v>
      </c>
      <c r="B131" s="345">
        <f>'Trial Balance'!L120</f>
        <v>0</v>
      </c>
    </row>
    <row r="132" spans="1:2" ht="15" customHeight="1">
      <c r="A132" s="25" t="str">
        <f>'Trial Balance'!A121&amp;"-"&amp;'Trial Balance'!B121</f>
        <v>2020-Experimental Electric Plant Unclassified</v>
      </c>
      <c r="B132" s="345">
        <f>'Trial Balance'!L121</f>
        <v>0</v>
      </c>
    </row>
    <row r="133" spans="1:2" ht="15" customHeight="1">
      <c r="A133" s="25" t="str">
        <f>'Trial Balance'!A122&amp;"-"&amp;'Trial Balance'!B122</f>
        <v>2030-Electric Plant and Equipment Leased to Others</v>
      </c>
      <c r="B133" s="345">
        <f>'Trial Balance'!L122</f>
        <v>0</v>
      </c>
    </row>
    <row r="134" spans="1:2" ht="15" customHeight="1">
      <c r="A134" s="25" t="str">
        <f>'Trial Balance'!A123&amp;"-"&amp;'Trial Balance'!B123</f>
        <v>2040-Electric Plant Held for Future Use</v>
      </c>
      <c r="B134" s="345">
        <f>'Trial Balance'!L123</f>
        <v>0</v>
      </c>
    </row>
    <row r="135" spans="1:2" ht="15" customHeight="1">
      <c r="A135" s="25" t="str">
        <f>'Trial Balance'!A124&amp;"-"&amp;'Trial Balance'!B124</f>
        <v>2050-Completed Construction Not Classified--Electric</v>
      </c>
      <c r="B135" s="345">
        <f>'Trial Balance'!L124</f>
        <v>0</v>
      </c>
    </row>
    <row r="136" spans="1:2" ht="15" customHeight="1">
      <c r="A136" s="25" t="str">
        <f>'Trial Balance'!A125&amp;"-"&amp;'Trial Balance'!B125</f>
        <v>2055-Construction Work in Progress--Electric</v>
      </c>
      <c r="B136" s="345">
        <f>'Trial Balance'!L125</f>
        <v>0</v>
      </c>
    </row>
    <row r="137" spans="1:2" ht="15" customHeight="1">
      <c r="A137" s="25" t="str">
        <f>'Trial Balance'!A126&amp;"-"&amp;'Trial Balance'!B126</f>
        <v>2060-Electric Plant Acquisition Adjustment</v>
      </c>
      <c r="B137" s="345">
        <f>'Trial Balance'!L126</f>
        <v>0</v>
      </c>
    </row>
    <row r="138" spans="1:2" ht="15" customHeight="1">
      <c r="A138" s="25" t="str">
        <f>'Trial Balance'!A127&amp;"-"&amp;'Trial Balance'!B127</f>
        <v>2065-Other Electric Plant Adjustment</v>
      </c>
      <c r="B138" s="345">
        <f>'Trial Balance'!L127</f>
        <v>0</v>
      </c>
    </row>
    <row r="139" spans="1:2" ht="15" customHeight="1">
      <c r="A139" s="25" t="str">
        <f>'Trial Balance'!A128&amp;"-"&amp;'Trial Balance'!B128</f>
        <v>2070-Other Utility Plant</v>
      </c>
      <c r="B139" s="345">
        <f>'Trial Balance'!L128</f>
        <v>0</v>
      </c>
    </row>
    <row r="140" spans="1:2" ht="15" customHeight="1" thickBot="1">
      <c r="A140" s="25" t="str">
        <f>'Trial Balance'!A129&amp;"-"&amp;'Trial Balance'!B129</f>
        <v>2075-Non-Utility Property Owned or Under Capital Lease</v>
      </c>
      <c r="B140" s="345">
        <f>'Trial Balance'!L129</f>
        <v>0</v>
      </c>
    </row>
    <row r="141" spans="1:2" ht="15" customHeight="1" thickBot="1">
      <c r="A141" s="28" t="s">
        <v>143</v>
      </c>
      <c r="B141" s="346">
        <f>SUM(B130:B140)</f>
        <v>0</v>
      </c>
    </row>
    <row r="142" spans="1:2" s="18" customFormat="1" ht="15" customHeight="1">
      <c r="A142" s="21"/>
      <c r="B142" s="347"/>
    </row>
    <row r="143" spans="1:2" s="18" customFormat="1" ht="15" customHeight="1">
      <c r="A143" s="534" t="s">
        <v>144</v>
      </c>
      <c r="B143" s="534"/>
    </row>
    <row r="144" spans="1:2" ht="15" customHeight="1">
      <c r="A144" s="25" t="str">
        <f>'Trial Balance'!A131&amp;"-"&amp;'Trial Balance'!B131</f>
        <v>2105-Accumulated Amortization of Electric Utility Plant - Property, Plant and Equipment</v>
      </c>
      <c r="B144" s="345">
        <f>'Trial Balance'!L131</f>
        <v>-2606677.0473845582</v>
      </c>
    </row>
    <row r="145" spans="1:2" ht="15" customHeight="1">
      <c r="A145" s="25" t="str">
        <f>'Trial Balance'!A132&amp;"-"&amp;'Trial Balance'!B132</f>
        <v>2120-Accumulated Amortization of Electric Utility Plant - Intangibles</v>
      </c>
      <c r="B145" s="345">
        <f>'Trial Balance'!L132</f>
        <v>0</v>
      </c>
    </row>
    <row r="146" spans="1:2" ht="15" customHeight="1">
      <c r="A146" s="25" t="str">
        <f>'Trial Balance'!A133&amp;"-"&amp;'Trial Balance'!B133</f>
        <v>2140-Accumulated Amortization of Electric Plant Acquisition Adjustment</v>
      </c>
      <c r="B146" s="345">
        <f>'Trial Balance'!L133</f>
        <v>0</v>
      </c>
    </row>
    <row r="147" spans="1:2" ht="15" customHeight="1">
      <c r="A147" s="25" t="str">
        <f>'Trial Balance'!A134&amp;"-"&amp;'Trial Balance'!B134</f>
        <v>2160-Accumulated Amortization of Other Utility Plant</v>
      </c>
      <c r="B147" s="345">
        <f>'Trial Balance'!L134</f>
        <v>0</v>
      </c>
    </row>
    <row r="148" spans="1:2" ht="15" customHeight="1" thickBot="1">
      <c r="A148" s="25" t="str">
        <f>'Trial Balance'!A135&amp;"-"&amp;'Trial Balance'!B135</f>
        <v>2180-Accumulated Amortization of Non-Utility Property</v>
      </c>
      <c r="B148" s="345">
        <f>'Trial Balance'!L135</f>
        <v>0</v>
      </c>
    </row>
    <row r="149" spans="1:2" ht="15" customHeight="1" thickBot="1">
      <c r="A149" s="205" t="s">
        <v>148</v>
      </c>
      <c r="B149" s="348">
        <f>SUM(B144:B148)</f>
        <v>-2606677.0473845582</v>
      </c>
    </row>
    <row r="150" spans="1:2" ht="15" customHeight="1" thickBot="1">
      <c r="A150" s="202"/>
      <c r="B150" s="347"/>
    </row>
    <row r="151" spans="1:2" ht="15" customHeight="1" thickBot="1">
      <c r="A151" s="203" t="s">
        <v>247</v>
      </c>
      <c r="B151" s="349">
        <f>B28+B35+B52+B85+B104+B127+B141+B149</f>
        <v>8761958.792615442</v>
      </c>
    </row>
    <row r="152" spans="1:2" s="18" customFormat="1" ht="15" customHeight="1">
      <c r="A152" s="22"/>
      <c r="B152" s="347"/>
    </row>
    <row r="153" spans="1:2" s="18" customFormat="1" ht="15" customHeight="1">
      <c r="A153" s="534" t="s">
        <v>149</v>
      </c>
      <c r="B153" s="534"/>
    </row>
    <row r="154" spans="1:2" ht="15" customHeight="1">
      <c r="A154" s="25" t="str">
        <f>'Trial Balance'!A137&amp;"-"&amp;'Trial Balance'!B137</f>
        <v>2205-Accounts Payable</v>
      </c>
      <c r="B154" s="345">
        <f>-'Trial Balance'!L137</f>
        <v>98019</v>
      </c>
    </row>
    <row r="155" spans="1:2" ht="15" customHeight="1">
      <c r="A155" s="25" t="str">
        <f>'Trial Balance'!A138&amp;"-"&amp;'Trial Balance'!B138</f>
        <v>2208-Customer Credit Balances</v>
      </c>
      <c r="B155" s="345">
        <f>-'Trial Balance'!L138</f>
        <v>90000</v>
      </c>
    </row>
    <row r="156" spans="1:2" ht="15" customHeight="1">
      <c r="A156" s="25" t="str">
        <f>'Trial Balance'!A139&amp;"-"&amp;'Trial Balance'!B139</f>
        <v>2210-Current Portion of Customer Deposits </v>
      </c>
      <c r="B156" s="345">
        <f>-'Trial Balance'!L139</f>
        <v>60000</v>
      </c>
    </row>
    <row r="157" spans="1:2" ht="15" customHeight="1">
      <c r="A157" s="25" t="str">
        <f>'Trial Balance'!A140&amp;"-"&amp;'Trial Balance'!B140</f>
        <v>2215-Dividends Declared</v>
      </c>
      <c r="B157" s="345">
        <f>-'Trial Balance'!L140</f>
        <v>0</v>
      </c>
    </row>
    <row r="158" spans="1:2" ht="15" customHeight="1">
      <c r="A158" s="25" t="str">
        <f>'Trial Balance'!A141&amp;"-"&amp;'Trial Balance'!B141</f>
        <v>2220-Miscellaneous Current and Accrued Liabilities</v>
      </c>
      <c r="B158" s="345">
        <f>-'Trial Balance'!L141</f>
        <v>1200000</v>
      </c>
    </row>
    <row r="159" spans="1:2" ht="15" customHeight="1">
      <c r="A159" s="25" t="str">
        <f>'Trial Balance'!A142&amp;"-"&amp;'Trial Balance'!B142</f>
        <v>2225-Notes and Loans Payable</v>
      </c>
      <c r="B159" s="345">
        <f>-'Trial Balance'!L142</f>
        <v>80000</v>
      </c>
    </row>
    <row r="160" spans="1:2" ht="15" customHeight="1">
      <c r="A160" s="25" t="str">
        <f>'Trial Balance'!A143&amp;"-"&amp;'Trial Balance'!B143</f>
        <v>2240-Accounts Payable to Associated Companies</v>
      </c>
      <c r="B160" s="345">
        <f>-'Trial Balance'!L143</f>
        <v>600000</v>
      </c>
    </row>
    <row r="161" spans="1:2" ht="15" customHeight="1">
      <c r="A161" s="25" t="str">
        <f>'Trial Balance'!A144&amp;"-"&amp;'Trial Balance'!B144</f>
        <v>2242-Notes Payable to Associated Companies</v>
      </c>
      <c r="B161" s="345">
        <f>-'Trial Balance'!L144</f>
        <v>1163352</v>
      </c>
    </row>
    <row r="162" spans="1:2" ht="15" customHeight="1">
      <c r="A162" s="25" t="str">
        <f>'Trial Balance'!A145&amp;"-"&amp;'Trial Balance'!B145</f>
        <v>2250-Debt Retirement  Charges (DRC) Payable</v>
      </c>
      <c r="B162" s="345">
        <f>-'Trial Balance'!L145</f>
        <v>70000</v>
      </c>
    </row>
    <row r="163" spans="1:2" ht="15" customHeight="1">
      <c r="A163" s="25" t="str">
        <f>'Trial Balance'!A146&amp;"-"&amp;'Trial Balance'!B146</f>
        <v>2252-Transmission Charges Payable</v>
      </c>
      <c r="B163" s="345">
        <f>-'Trial Balance'!L146</f>
        <v>0</v>
      </c>
    </row>
    <row r="164" spans="1:2" ht="15" customHeight="1">
      <c r="A164" s="25" t="str">
        <f>'Trial Balance'!A147&amp;"-"&amp;'Trial Balance'!B147</f>
        <v>2254-Electric Safety Authority Fees Payable</v>
      </c>
      <c r="B164" s="345">
        <f>-'Trial Balance'!L147</f>
        <v>0</v>
      </c>
    </row>
    <row r="165" spans="1:2" ht="15" customHeight="1">
      <c r="A165" s="25" t="str">
        <f>'Trial Balance'!A148&amp;"-"&amp;'Trial Balance'!B148</f>
        <v>2256-Independent Market Operator Fees and Penalties Payable</v>
      </c>
      <c r="B165" s="345">
        <f>-'Trial Balance'!L148</f>
        <v>0</v>
      </c>
    </row>
    <row r="166" spans="1:2" ht="15" customHeight="1">
      <c r="A166" s="25" t="str">
        <f>'Trial Balance'!A149&amp;"-"&amp;'Trial Balance'!B149</f>
        <v>2260-Current Portion of Long Term Debt</v>
      </c>
      <c r="B166" s="345">
        <f>-'Trial Balance'!L149</f>
        <v>0</v>
      </c>
    </row>
    <row r="167" spans="1:2" ht="15" customHeight="1">
      <c r="A167" s="25" t="str">
        <f>'Trial Balance'!A150&amp;"-"&amp;'Trial Balance'!B150</f>
        <v>2262-Ontario Hydro Debt - Current Portion</v>
      </c>
      <c r="B167" s="345">
        <f>-'Trial Balance'!L150</f>
        <v>0</v>
      </c>
    </row>
    <row r="168" spans="1:2" ht="15" customHeight="1">
      <c r="A168" s="25" t="str">
        <f>'Trial Balance'!A151&amp;"-"&amp;'Trial Balance'!B151</f>
        <v>2264-Pensions and Employee Benefits - Current Portion</v>
      </c>
      <c r="B168" s="345">
        <f>-'Trial Balance'!L151</f>
        <v>0</v>
      </c>
    </row>
    <row r="169" spans="1:2" ht="15" customHeight="1">
      <c r="A169" s="25" t="str">
        <f>'Trial Balance'!A152&amp;"-"&amp;'Trial Balance'!B152</f>
        <v>2268-Accrued Interest on Long Term Debt</v>
      </c>
      <c r="B169" s="345">
        <f>-'Trial Balance'!L152</f>
        <v>0</v>
      </c>
    </row>
    <row r="170" spans="1:2" ht="15" customHeight="1">
      <c r="A170" s="25" t="str">
        <f>'Trial Balance'!A153&amp;"-"&amp;'Trial Balance'!B153</f>
        <v>2270-Matured Long Term Debt</v>
      </c>
      <c r="B170" s="345">
        <f>-'Trial Balance'!L153</f>
        <v>0</v>
      </c>
    </row>
    <row r="171" spans="1:2" ht="15" customHeight="1">
      <c r="A171" s="25" t="str">
        <f>'Trial Balance'!A154&amp;"-"&amp;'Trial Balance'!B154</f>
        <v>2272-Matured Interest on Long Term Debt</v>
      </c>
      <c r="B171" s="345">
        <f>-'Trial Balance'!L154</f>
        <v>0</v>
      </c>
    </row>
    <row r="172" spans="1:2" ht="15" customHeight="1">
      <c r="A172" s="25" t="str">
        <f>'Trial Balance'!A155&amp;"-"&amp;'Trial Balance'!B155</f>
        <v>2285-Obligations Under Capital Leases--Current</v>
      </c>
      <c r="B172" s="345">
        <f>-'Trial Balance'!L155</f>
        <v>0</v>
      </c>
    </row>
    <row r="173" spans="1:2" ht="15" customHeight="1">
      <c r="A173" s="25" t="str">
        <f>'Trial Balance'!A156&amp;"-"&amp;'Trial Balance'!B156</f>
        <v>2290-Commodity Taxes</v>
      </c>
      <c r="B173" s="345">
        <f>-'Trial Balance'!L156</f>
        <v>65000</v>
      </c>
    </row>
    <row r="174" spans="1:2" ht="15" customHeight="1">
      <c r="A174" s="25" t="str">
        <f>'Trial Balance'!A157&amp;"-"&amp;'Trial Balance'!B157</f>
        <v>2292-Payroll Deductions / Expenses Payable</v>
      </c>
      <c r="B174" s="345">
        <f>-'Trial Balance'!L157</f>
        <v>20000</v>
      </c>
    </row>
    <row r="175" spans="1:2" ht="15" customHeight="1">
      <c r="A175" s="25" t="str">
        <f>'Trial Balance'!A158&amp;"-"&amp;'Trial Balance'!B158</f>
        <v>2294-Accrual for Taxes, "Payments in Lieu" of Taxes, Etc.</v>
      </c>
      <c r="B175" s="345">
        <f>-'Trial Balance'!L158</f>
        <v>0</v>
      </c>
    </row>
    <row r="176" spans="1:2" ht="15" customHeight="1" thickBot="1">
      <c r="A176" s="25" t="str">
        <f>'Trial Balance'!A159&amp;"-"&amp;'Trial Balance'!B159</f>
        <v>2296-Future Income Taxes - Current</v>
      </c>
      <c r="B176" s="345">
        <f>-'Trial Balance'!L159</f>
        <v>0</v>
      </c>
    </row>
    <row r="177" spans="1:2" ht="15" customHeight="1" thickBot="1">
      <c r="A177" s="28" t="s">
        <v>506</v>
      </c>
      <c r="B177" s="346">
        <f>SUM(B154:B176)</f>
        <v>3446371</v>
      </c>
    </row>
    <row r="178" spans="1:2" s="18" customFormat="1" ht="15" customHeight="1">
      <c r="A178" s="21"/>
      <c r="B178" s="347"/>
    </row>
    <row r="179" spans="1:2" s="18" customFormat="1" ht="15" customHeight="1">
      <c r="A179" s="534" t="s">
        <v>507</v>
      </c>
      <c r="B179" s="534"/>
    </row>
    <row r="180" spans="1:2" ht="15" customHeight="1">
      <c r="A180" s="25" t="str">
        <f>'Trial Balance'!A161&amp;"-"&amp;'Trial Balance'!B161</f>
        <v>2305-Accumulated Provision for Injuries and Damages</v>
      </c>
      <c r="B180" s="345">
        <f>-'Trial Balance'!L161</f>
        <v>0</v>
      </c>
    </row>
    <row r="181" spans="1:2" ht="15" customHeight="1">
      <c r="A181" s="25" t="str">
        <f>'Trial Balance'!A162&amp;"-"&amp;'Trial Balance'!B162</f>
        <v>2306-Employee Future Benefits</v>
      </c>
      <c r="B181" s="345">
        <f>-'Trial Balance'!L162</f>
        <v>0</v>
      </c>
    </row>
    <row r="182" spans="1:2" ht="15" customHeight="1">
      <c r="A182" s="25" t="str">
        <f>'Trial Balance'!A163&amp;"-"&amp;'Trial Balance'!B163</f>
        <v>2308-Other Pensions - Past Service Liability</v>
      </c>
      <c r="B182" s="345">
        <f>-'Trial Balance'!L163</f>
        <v>0</v>
      </c>
    </row>
    <row r="183" spans="1:2" ht="15" customHeight="1">
      <c r="A183" s="25" t="str">
        <f>'Trial Balance'!A164&amp;"-"&amp;'Trial Balance'!B164</f>
        <v>2310-Vested Sick Leave Liability</v>
      </c>
      <c r="B183" s="345">
        <f>-'Trial Balance'!L164</f>
        <v>0</v>
      </c>
    </row>
    <row r="184" spans="1:2" ht="15" customHeight="1">
      <c r="A184" s="25" t="str">
        <f>'Trial Balance'!A165&amp;"-"&amp;'Trial Balance'!B165</f>
        <v>2315-Accumulated Provision for Rate Refunds</v>
      </c>
      <c r="B184" s="345">
        <f>-'Trial Balance'!L165</f>
        <v>0</v>
      </c>
    </row>
    <row r="185" spans="1:2" ht="15" customHeight="1">
      <c r="A185" s="25" t="str">
        <f>'Trial Balance'!A166&amp;"-"&amp;'Trial Balance'!B166</f>
        <v>2320-Other Miscellaneous Non-Current Liabilities</v>
      </c>
      <c r="B185" s="345">
        <f>-'Trial Balance'!L166</f>
        <v>0</v>
      </c>
    </row>
    <row r="186" spans="1:2" ht="15" customHeight="1">
      <c r="A186" s="25" t="str">
        <f>'Trial Balance'!A167&amp;"-"&amp;'Trial Balance'!B167</f>
        <v>2325-Obligations Under Capital Lease--Non-Current</v>
      </c>
      <c r="B186" s="345">
        <f>-'Trial Balance'!L167</f>
        <v>0</v>
      </c>
    </row>
    <row r="187" spans="1:2" ht="15" customHeight="1">
      <c r="A187" s="25" t="str">
        <f>'Trial Balance'!A168&amp;"-"&amp;'Trial Balance'!B168</f>
        <v>2330-Devolpment Charge Fund</v>
      </c>
      <c r="B187" s="345">
        <f>-'Trial Balance'!L168</f>
        <v>0</v>
      </c>
    </row>
    <row r="188" spans="1:2" ht="15" customHeight="1">
      <c r="A188" s="25" t="str">
        <f>'Trial Balance'!A169&amp;"-"&amp;'Trial Balance'!B169</f>
        <v>2335-Long Term Customer Deposits</v>
      </c>
      <c r="B188" s="345">
        <f>-'Trial Balance'!L169</f>
        <v>35000</v>
      </c>
    </row>
    <row r="189" spans="1:2" ht="15" customHeight="1">
      <c r="A189" s="25" t="str">
        <f>'Trial Balance'!A170&amp;"-"&amp;'Trial Balance'!B170</f>
        <v>2340-Collateral Funds Liability</v>
      </c>
      <c r="B189" s="345">
        <f>-'Trial Balance'!L170</f>
        <v>0</v>
      </c>
    </row>
    <row r="190" spans="1:2" ht="15" customHeight="1">
      <c r="A190" s="25" t="str">
        <f>'Trial Balance'!A171&amp;"-"&amp;'Trial Balance'!B171</f>
        <v>2345-Unamortized Premium on Long Term Debt</v>
      </c>
      <c r="B190" s="345">
        <f>-'Trial Balance'!L171</f>
        <v>0</v>
      </c>
    </row>
    <row r="191" spans="1:2" ht="15" customHeight="1">
      <c r="A191" s="25" t="str">
        <f>'Trial Balance'!A172&amp;"-"&amp;'Trial Balance'!B172</f>
        <v>2348-O.M.E.R.S. - Past Service Liability - Long Term Portion</v>
      </c>
      <c r="B191" s="345">
        <f>-'Trial Balance'!L172</f>
        <v>0</v>
      </c>
    </row>
    <row r="192" spans="1:2" ht="15" customHeight="1">
      <c r="A192" s="25" t="str">
        <f>'Trial Balance'!A173&amp;"-"&amp;'Trial Balance'!B173</f>
        <v>2350-Future Income Tax - Non-Current</v>
      </c>
      <c r="B192" s="345">
        <f>-'Trial Balance'!L173</f>
        <v>0</v>
      </c>
    </row>
    <row r="193" spans="1:2" ht="15" customHeight="1">
      <c r="A193" s="25" t="str">
        <f>'Trial Balance'!A175&amp;"-"&amp;'Trial Balance'!B175</f>
        <v>2405-Other Regulatory Liabilities</v>
      </c>
      <c r="B193" s="345">
        <f>-'Trial Balance'!L175</f>
        <v>0</v>
      </c>
    </row>
    <row r="194" spans="1:2" ht="15" customHeight="1">
      <c r="A194" s="25" t="str">
        <f>'Trial Balance'!A176&amp;"-"&amp;'Trial Balance'!B176</f>
        <v>2410-Deferred Gains From Disposition of Utility Plant</v>
      </c>
      <c r="B194" s="345">
        <f>-'Trial Balance'!L176</f>
        <v>0</v>
      </c>
    </row>
    <row r="195" spans="1:2" ht="15" customHeight="1">
      <c r="A195" s="25" t="str">
        <f>'Trial Balance'!A177&amp;"-"&amp;'Trial Balance'!B177</f>
        <v>2415-Unamortized Gain on Reacquired Debt</v>
      </c>
      <c r="B195" s="345">
        <f>-'Trial Balance'!L177</f>
        <v>0</v>
      </c>
    </row>
    <row r="196" spans="1:2" ht="15" customHeight="1">
      <c r="A196" s="25" t="str">
        <f>'Trial Balance'!A178&amp;"-"&amp;'Trial Balance'!B178</f>
        <v>2425-Other Deferred Credits</v>
      </c>
      <c r="B196" s="345">
        <f>-'Trial Balance'!L178</f>
        <v>30000</v>
      </c>
    </row>
    <row r="197" spans="1:2" ht="15" customHeight="1" thickBot="1">
      <c r="A197" s="25" t="str">
        <f>'Trial Balance'!A179&amp;"-"&amp;'Trial Balance'!B179</f>
        <v>2435-Accrued Rate-Payer Benefit</v>
      </c>
      <c r="B197" s="345">
        <f>-'Trial Balance'!L179</f>
        <v>0</v>
      </c>
    </row>
    <row r="198" spans="1:2" ht="15" customHeight="1" thickBot="1">
      <c r="A198" s="28" t="s">
        <v>153</v>
      </c>
      <c r="B198" s="346">
        <f>SUM(B180:B197)</f>
        <v>65000</v>
      </c>
    </row>
    <row r="199" spans="1:2" s="18" customFormat="1" ht="15" customHeight="1">
      <c r="A199" s="21"/>
      <c r="B199" s="347"/>
    </row>
    <row r="200" spans="1:2" s="18" customFormat="1" ht="15" customHeight="1">
      <c r="A200" s="534" t="s">
        <v>154</v>
      </c>
      <c r="B200" s="534"/>
    </row>
    <row r="201" spans="1:2" s="18" customFormat="1" ht="15" customHeight="1">
      <c r="A201" s="25" t="str">
        <f>'Trial Balance'!A181&amp;"-"&amp;'Trial Balance'!B181</f>
        <v>2505-Debentures Outstanding - Long Term Portion</v>
      </c>
      <c r="B201" s="345">
        <f>-'Trial Balance'!L181</f>
        <v>1009292.33</v>
      </c>
    </row>
    <row r="202" spans="1:2" s="18" customFormat="1" ht="15" customHeight="1">
      <c r="A202" s="25" t="str">
        <f>'Trial Balance'!A182&amp;"-"&amp;'Trial Balance'!B182</f>
        <v>2510-Debenture Advances</v>
      </c>
      <c r="B202" s="345">
        <f>-'Trial Balance'!L182</f>
        <v>0</v>
      </c>
    </row>
    <row r="203" spans="1:2" s="18" customFormat="1" ht="15" customHeight="1">
      <c r="A203" s="25" t="str">
        <f>'Trial Balance'!A183&amp;"-"&amp;'Trial Balance'!B183</f>
        <v>2515-Required Bonds</v>
      </c>
      <c r="B203" s="345">
        <f>-'Trial Balance'!L183</f>
        <v>0</v>
      </c>
    </row>
    <row r="204" spans="1:2" s="18" customFormat="1" ht="15" customHeight="1">
      <c r="A204" s="25" t="str">
        <f>'Trial Balance'!A184&amp;"-"&amp;'Trial Balance'!B184</f>
        <v>2520-Other Long Term Debt</v>
      </c>
      <c r="B204" s="345">
        <f>-'Trial Balance'!L184</f>
        <v>-214375</v>
      </c>
    </row>
    <row r="205" spans="1:2" s="18" customFormat="1" ht="15" customHeight="1">
      <c r="A205" s="25" t="str">
        <f>'Trial Balance'!A185&amp;"-"&amp;'Trial Balance'!B185</f>
        <v>2525-Term Bank Loans - Long Term Portion</v>
      </c>
      <c r="B205" s="345">
        <f>-'Trial Balance'!L185</f>
        <v>800000</v>
      </c>
    </row>
    <row r="206" spans="1:2" s="18" customFormat="1" ht="15" customHeight="1">
      <c r="A206" s="25" t="str">
        <f>'Trial Balance'!A186&amp;"-"&amp;'Trial Balance'!B186</f>
        <v>2530-Ontario Hydro Debt Outstanding - Long Term Portion</v>
      </c>
      <c r="B206" s="345">
        <f>-'Trial Balance'!L186</f>
        <v>0</v>
      </c>
    </row>
    <row r="207" spans="1:2" ht="15" customHeight="1" thickBot="1">
      <c r="A207" s="25" t="str">
        <f>'Trial Balance'!A187&amp;"-"&amp;'Trial Balance'!B187</f>
        <v>2550-Advances from Associated Companies</v>
      </c>
      <c r="B207" s="345">
        <f>-'Trial Balance'!L187</f>
        <v>0</v>
      </c>
    </row>
    <row r="208" spans="1:2" ht="15" customHeight="1" thickBot="1">
      <c r="A208" s="28" t="s">
        <v>155</v>
      </c>
      <c r="B208" s="346">
        <f>SUM(B201:B207)</f>
        <v>1594917.33</v>
      </c>
    </row>
    <row r="209" spans="1:2" s="18" customFormat="1" ht="15" customHeight="1">
      <c r="A209" s="21"/>
      <c r="B209" s="347"/>
    </row>
    <row r="210" spans="1:2" s="18" customFormat="1" ht="15" customHeight="1">
      <c r="A210" s="534" t="s">
        <v>156</v>
      </c>
      <c r="B210" s="534"/>
    </row>
    <row r="211" spans="1:2" ht="15" customHeight="1">
      <c r="A211" s="25" t="str">
        <f>'Trial Balance'!A189&amp;"-"&amp;'Trial Balance'!B189</f>
        <v>3005-Common Shares Issued</v>
      </c>
      <c r="B211" s="345">
        <f>-'Trial Balance'!L189</f>
        <v>2511123.49</v>
      </c>
    </row>
    <row r="212" spans="1:2" ht="15" customHeight="1">
      <c r="A212" s="25" t="str">
        <f>'Trial Balance'!A190&amp;"-"&amp;'Trial Balance'!B190</f>
        <v>3008-Preference Shares Issued</v>
      </c>
      <c r="B212" s="345">
        <f>-'Trial Balance'!L190</f>
        <v>0</v>
      </c>
    </row>
    <row r="213" spans="1:2" ht="15" customHeight="1">
      <c r="A213" s="25" t="str">
        <f>'Trial Balance'!A191&amp;"-"&amp;'Trial Balance'!B191</f>
        <v>3010-Contributed Surplus</v>
      </c>
      <c r="B213" s="345">
        <f>-'Trial Balance'!L191</f>
        <v>0</v>
      </c>
    </row>
    <row r="214" spans="1:2" ht="15" customHeight="1">
      <c r="A214" s="25" t="str">
        <f>'Trial Balance'!A192&amp;"-"&amp;'Trial Balance'!B192</f>
        <v>3020-Donations Received</v>
      </c>
      <c r="B214" s="345">
        <f>-'Trial Balance'!L192</f>
        <v>0</v>
      </c>
    </row>
    <row r="215" spans="1:2" ht="15" customHeight="1">
      <c r="A215" s="25" t="str">
        <f>'Trial Balance'!A193&amp;"-"&amp;'Trial Balance'!B193</f>
        <v>3022-Devolpment Charges Transferred to Equity</v>
      </c>
      <c r="B215" s="345">
        <f>-'Trial Balance'!L193</f>
        <v>0</v>
      </c>
    </row>
    <row r="216" spans="1:2" ht="15" customHeight="1">
      <c r="A216" s="25" t="str">
        <f>'Trial Balance'!A194&amp;"-"&amp;'Trial Balance'!B194</f>
        <v>3026-Capital Stock Held in Treasury</v>
      </c>
      <c r="B216" s="345">
        <f>-'Trial Balance'!L194</f>
        <v>0</v>
      </c>
    </row>
    <row r="217" spans="1:2" ht="15" customHeight="1">
      <c r="A217" s="25" t="str">
        <f>'Trial Balance'!A195&amp;"-"&amp;'Trial Balance'!B195</f>
        <v>3030-Miscellaneous Paid-In Capital</v>
      </c>
      <c r="B217" s="345">
        <f>-'Trial Balance'!L195</f>
        <v>0</v>
      </c>
    </row>
    <row r="218" spans="1:2" ht="15" customHeight="1">
      <c r="A218" s="25" t="str">
        <f>'Trial Balance'!A196&amp;"-"&amp;'Trial Balance'!B196</f>
        <v>3035-Installments Received on Capital Stock</v>
      </c>
      <c r="B218" s="345">
        <f>-'Trial Balance'!L196</f>
        <v>0</v>
      </c>
    </row>
    <row r="219" spans="1:2" ht="15" customHeight="1">
      <c r="A219" s="25" t="str">
        <f>'Trial Balance'!A197&amp;"-"&amp;'Trial Balance'!B197</f>
        <v>3040-Appropriated Retained Earnings</v>
      </c>
      <c r="B219" s="345">
        <f>-'Trial Balance'!L197</f>
        <v>0</v>
      </c>
    </row>
    <row r="220" spans="1:2" ht="15" customHeight="1">
      <c r="A220" s="25" t="str">
        <f>'Trial Balance'!A198&amp;"-"&amp;'Trial Balance'!B198</f>
        <v>3045-Unappropriated Retained Earnings</v>
      </c>
      <c r="B220" s="345">
        <f>-'Trial Balance'!L199</f>
        <v>957143.8904081406</v>
      </c>
    </row>
    <row r="221" spans="1:2" ht="15" customHeight="1">
      <c r="A221" s="25" t="s">
        <v>528</v>
      </c>
      <c r="B221" s="350">
        <f>-'2012 Income Statement'!B214</f>
        <v>317404.14693286095</v>
      </c>
    </row>
    <row r="222" spans="1:2" ht="15" customHeight="1">
      <c r="A222" s="25" t="str">
        <f>'Trial Balance'!A200&amp;"-"&amp;'Trial Balance'!B200</f>
        <v>3047-Appropriations of Retained Earnings - Current Period</v>
      </c>
      <c r="B222" s="345">
        <f>-'Trial Balance'!L200</f>
        <v>0</v>
      </c>
    </row>
    <row r="223" spans="1:2" ht="15" customHeight="1">
      <c r="A223" s="25" t="str">
        <f>'Trial Balance'!A201&amp;"-"&amp;'Trial Balance'!B201</f>
        <v>3048-Dividends Payable-Preference Shares</v>
      </c>
      <c r="B223" s="345">
        <f>-'Trial Balance'!L201</f>
        <v>0</v>
      </c>
    </row>
    <row r="224" spans="1:2" ht="15" customHeight="1">
      <c r="A224" s="25" t="str">
        <f>'Trial Balance'!A202&amp;"-"&amp;'Trial Balance'!B202</f>
        <v>3049-Dividends Payable-Common Shares</v>
      </c>
      <c r="B224" s="345">
        <f>-'Trial Balance'!L202</f>
        <v>-130000</v>
      </c>
    </row>
    <row r="225" spans="1:2" ht="15" customHeight="1">
      <c r="A225" s="25" t="str">
        <f>'Trial Balance'!A203&amp;"-"&amp;'Trial Balance'!B203</f>
        <v>3055-Adjustment to Retained Earnings                 </v>
      </c>
      <c r="B225" s="345">
        <f>-'Trial Balance'!L203</f>
        <v>0</v>
      </c>
    </row>
    <row r="226" spans="1:2" ht="15" customHeight="1" thickBot="1">
      <c r="A226" s="25" t="str">
        <f>'Trial Balance'!A204&amp;"-"&amp;'Trial Balance'!B204</f>
        <v>3065-Unappropriated Undistributed Subsidiary Earnings</v>
      </c>
      <c r="B226" s="345">
        <f>-'Trial Balance'!L204</f>
        <v>0</v>
      </c>
    </row>
    <row r="227" spans="1:2" ht="15" customHeight="1" thickBot="1">
      <c r="A227" s="26" t="s">
        <v>529</v>
      </c>
      <c r="B227" s="346">
        <f>SUM(B211:B226)</f>
        <v>3655671.5273410017</v>
      </c>
    </row>
    <row r="228" spans="1:2" s="10" customFormat="1" ht="15" customHeight="1">
      <c r="A228" s="22"/>
      <c r="B228" s="347"/>
    </row>
    <row r="229" spans="1:2" s="10" customFormat="1" ht="15" customHeight="1">
      <c r="A229" s="204" t="s">
        <v>256</v>
      </c>
      <c r="B229" s="351">
        <f>B177+B198+B208+B227</f>
        <v>8761959.857341003</v>
      </c>
    </row>
    <row r="230" spans="1:2" s="10" customFormat="1" ht="15" customHeight="1" thickBot="1">
      <c r="A230" s="22"/>
      <c r="B230" s="347"/>
    </row>
    <row r="231" spans="1:2" ht="15" customHeight="1" thickBot="1">
      <c r="A231" s="29" t="s">
        <v>255</v>
      </c>
      <c r="B231" s="352">
        <f>B151-B229</f>
        <v>-1.064725561067462</v>
      </c>
    </row>
    <row r="232" spans="1:2" ht="15">
      <c r="A232" s="23"/>
      <c r="B232" s="353"/>
    </row>
    <row r="233" spans="1:2" ht="15">
      <c r="A233" s="23"/>
      <c r="B233" s="353"/>
    </row>
    <row r="234" spans="1:2" ht="15">
      <c r="A234" s="23"/>
      <c r="B234" s="353"/>
    </row>
    <row r="235" spans="1:2" ht="15">
      <c r="A235" s="23"/>
      <c r="B235" s="353"/>
    </row>
    <row r="236" spans="1:2" ht="15">
      <c r="A236" s="23"/>
      <c r="B236" s="353"/>
    </row>
    <row r="237" spans="1:2" ht="15">
      <c r="A237" s="23"/>
      <c r="B237" s="353"/>
    </row>
    <row r="238" spans="1:2" ht="15">
      <c r="A238" s="23"/>
      <c r="B238" s="353"/>
    </row>
    <row r="239" spans="1:2" ht="15">
      <c r="A239" s="23"/>
      <c r="B239" s="353"/>
    </row>
    <row r="240" spans="1:2" ht="15">
      <c r="A240" s="23"/>
      <c r="B240" s="353"/>
    </row>
    <row r="241" spans="1:2" ht="15">
      <c r="A241" s="23"/>
      <c r="B241" s="353"/>
    </row>
    <row r="242" spans="1:2" ht="15">
      <c r="A242" s="23"/>
      <c r="B242" s="353"/>
    </row>
    <row r="243" spans="1:2" ht="15">
      <c r="A243" s="23"/>
      <c r="B243" s="353"/>
    </row>
    <row r="244" spans="1:2" ht="15">
      <c r="A244" s="23"/>
      <c r="B244" s="353"/>
    </row>
    <row r="245" spans="1:2" ht="15">
      <c r="A245" s="23"/>
      <c r="B245" s="353"/>
    </row>
    <row r="246" spans="1:2" ht="15">
      <c r="A246" s="23"/>
      <c r="B246" s="353"/>
    </row>
    <row r="247" spans="1:2" ht="15">
      <c r="A247" s="23"/>
      <c r="B247" s="353"/>
    </row>
    <row r="248" spans="1:2" ht="15">
      <c r="A248" s="23"/>
      <c r="B248" s="353"/>
    </row>
    <row r="249" spans="1:2" ht="15">
      <c r="A249" s="23"/>
      <c r="B249" s="353"/>
    </row>
    <row r="250" spans="1:2" ht="15">
      <c r="A250" s="23"/>
      <c r="B250" s="353"/>
    </row>
    <row r="251" spans="1:2" ht="15">
      <c r="A251" s="23"/>
      <c r="B251" s="353"/>
    </row>
    <row r="252" spans="1:2" ht="15">
      <c r="A252" s="23"/>
      <c r="B252" s="353"/>
    </row>
    <row r="253" spans="1:2" ht="15">
      <c r="A253" s="23"/>
      <c r="B253" s="353"/>
    </row>
    <row r="254" spans="1:2" ht="15">
      <c r="A254" s="23"/>
      <c r="B254" s="353"/>
    </row>
    <row r="255" spans="1:2" ht="15">
      <c r="A255" s="23"/>
      <c r="B255" s="353"/>
    </row>
    <row r="256" spans="1:2" ht="15">
      <c r="A256" s="23"/>
      <c r="B256" s="353"/>
    </row>
    <row r="257" spans="1:2" ht="15">
      <c r="A257" s="23"/>
      <c r="B257" s="353"/>
    </row>
    <row r="258" spans="1:2" ht="15">
      <c r="A258" s="23"/>
      <c r="B258" s="353"/>
    </row>
    <row r="259" spans="1:2" ht="15">
      <c r="A259" s="23"/>
      <c r="B259" s="353"/>
    </row>
    <row r="260" spans="1:2" ht="15">
      <c r="A260" s="23"/>
      <c r="B260" s="353"/>
    </row>
    <row r="261" spans="1:2" ht="15">
      <c r="A261" s="23"/>
      <c r="B261" s="353"/>
    </row>
    <row r="262" spans="1:2" ht="15">
      <c r="A262" s="23"/>
      <c r="B262" s="353"/>
    </row>
    <row r="263" spans="1:2" ht="15">
      <c r="A263" s="23"/>
      <c r="B263" s="353"/>
    </row>
    <row r="264" spans="1:2" ht="15">
      <c r="A264" s="23"/>
      <c r="B264" s="353"/>
    </row>
    <row r="265" spans="1:2" ht="15">
      <c r="A265" s="23"/>
      <c r="B265" s="353"/>
    </row>
    <row r="266" spans="1:2" ht="15">
      <c r="A266" s="23"/>
      <c r="B266" s="353"/>
    </row>
    <row r="267" spans="1:2" ht="15">
      <c r="A267" s="23"/>
      <c r="B267" s="353"/>
    </row>
    <row r="268" spans="1:2" ht="15">
      <c r="A268" s="23"/>
      <c r="B268" s="353"/>
    </row>
    <row r="269" spans="1:2" ht="15">
      <c r="A269" s="23"/>
      <c r="B269" s="353"/>
    </row>
    <row r="270" spans="1:2" ht="15">
      <c r="A270" s="23"/>
      <c r="B270" s="353"/>
    </row>
    <row r="271" spans="1:2" ht="15">
      <c r="A271" s="23"/>
      <c r="B271" s="353"/>
    </row>
    <row r="272" spans="1:2" ht="15">
      <c r="A272" s="23"/>
      <c r="B272" s="353"/>
    </row>
    <row r="273" spans="1:2" ht="15">
      <c r="A273" s="23"/>
      <c r="B273" s="353"/>
    </row>
    <row r="274" spans="1:2" ht="15">
      <c r="A274" s="23"/>
      <c r="B274" s="353"/>
    </row>
    <row r="275" spans="1:2" ht="15">
      <c r="A275" s="23"/>
      <c r="B275" s="353"/>
    </row>
    <row r="276" spans="1:2" ht="15">
      <c r="A276" s="23"/>
      <c r="B276" s="353"/>
    </row>
    <row r="277" spans="1:2" ht="15">
      <c r="A277" s="23"/>
      <c r="B277" s="353"/>
    </row>
    <row r="278" spans="1:2" ht="15">
      <c r="A278" s="23"/>
      <c r="B278" s="353"/>
    </row>
    <row r="279" spans="1:2" ht="15">
      <c r="A279" s="23"/>
      <c r="B279" s="353"/>
    </row>
    <row r="280" spans="1:2" ht="15">
      <c r="A280" s="23"/>
      <c r="B280" s="353"/>
    </row>
    <row r="281" spans="1:2" ht="15">
      <c r="A281" s="23"/>
      <c r="B281" s="353"/>
    </row>
    <row r="282" spans="1:2" ht="15">
      <c r="A282" s="23"/>
      <c r="B282" s="353"/>
    </row>
    <row r="283" spans="1:2" ht="15">
      <c r="A283" s="23"/>
      <c r="B283" s="353"/>
    </row>
    <row r="284" spans="1:2" ht="15">
      <c r="A284" s="23"/>
      <c r="B284" s="353"/>
    </row>
    <row r="285" spans="1:2" ht="15">
      <c r="A285" s="23"/>
      <c r="B285" s="353"/>
    </row>
    <row r="286" spans="1:2" ht="15">
      <c r="A286" s="23"/>
      <c r="B286" s="353"/>
    </row>
    <row r="287" spans="1:2" ht="15">
      <c r="A287" s="23"/>
      <c r="B287" s="353"/>
    </row>
    <row r="288" spans="1:2" ht="15">
      <c r="A288" s="23"/>
      <c r="B288" s="353"/>
    </row>
    <row r="289" spans="1:2" ht="15">
      <c r="A289" s="23"/>
      <c r="B289" s="353"/>
    </row>
    <row r="290" spans="1:2" ht="15">
      <c r="A290" s="23"/>
      <c r="B290" s="353"/>
    </row>
    <row r="291" spans="1:2" ht="15">
      <c r="A291" s="23"/>
      <c r="B291" s="353"/>
    </row>
    <row r="292" spans="1:2" ht="15">
      <c r="A292" s="23"/>
      <c r="B292" s="353"/>
    </row>
    <row r="293" spans="1:2" ht="15">
      <c r="A293" s="23"/>
      <c r="B293" s="353"/>
    </row>
    <row r="294" spans="1:2" ht="15">
      <c r="A294" s="23"/>
      <c r="B294" s="353"/>
    </row>
    <row r="295" spans="1:2" ht="15">
      <c r="A295" s="23"/>
      <c r="B295" s="353"/>
    </row>
    <row r="296" spans="1:2" ht="15">
      <c r="A296" s="23"/>
      <c r="B296" s="353"/>
    </row>
    <row r="297" spans="1:2" ht="15">
      <c r="A297" s="23"/>
      <c r="B297" s="353"/>
    </row>
    <row r="298" spans="1:2" ht="15">
      <c r="A298" s="23"/>
      <c r="B298" s="353"/>
    </row>
    <row r="299" spans="1:2" ht="15">
      <c r="A299" s="23"/>
      <c r="B299" s="353"/>
    </row>
    <row r="300" spans="1:2" ht="15">
      <c r="A300" s="23"/>
      <c r="B300" s="353"/>
    </row>
    <row r="301" spans="1:2" ht="15">
      <c r="A301" s="23"/>
      <c r="B301" s="353"/>
    </row>
    <row r="302" spans="1:2" ht="15">
      <c r="A302" s="23"/>
      <c r="B302" s="353"/>
    </row>
    <row r="303" spans="1:2" ht="15">
      <c r="A303" s="23"/>
      <c r="B303" s="353"/>
    </row>
    <row r="304" spans="1:2" ht="15">
      <c r="A304" s="23"/>
      <c r="B304" s="353"/>
    </row>
    <row r="305" spans="1:2" ht="15">
      <c r="A305" s="23"/>
      <c r="B305" s="353"/>
    </row>
    <row r="306" spans="1:2" ht="15">
      <c r="A306" s="23"/>
      <c r="B306" s="353"/>
    </row>
    <row r="307" spans="1:2" ht="15">
      <c r="A307" s="23"/>
      <c r="B307" s="353"/>
    </row>
    <row r="308" spans="1:2" ht="15">
      <c r="A308" s="23"/>
      <c r="B308" s="353"/>
    </row>
    <row r="309" spans="1:2" ht="15">
      <c r="A309" s="23"/>
      <c r="B309" s="353"/>
    </row>
    <row r="310" spans="1:2" ht="15">
      <c r="A310" s="23"/>
      <c r="B310" s="353"/>
    </row>
    <row r="311" spans="1:2" ht="15">
      <c r="A311" s="23"/>
      <c r="B311" s="353"/>
    </row>
    <row r="312" spans="1:2" ht="15">
      <c r="A312" s="23"/>
      <c r="B312" s="353"/>
    </row>
    <row r="313" spans="1:2" ht="15">
      <c r="A313" s="23"/>
      <c r="B313" s="353"/>
    </row>
    <row r="314" spans="1:2" ht="15">
      <c r="A314" s="23"/>
      <c r="B314" s="353"/>
    </row>
    <row r="315" spans="1:2" ht="15">
      <c r="A315" s="23"/>
      <c r="B315" s="353"/>
    </row>
    <row r="316" spans="1:2" ht="15">
      <c r="A316" s="23"/>
      <c r="B316" s="353"/>
    </row>
    <row r="317" spans="1:2" ht="15">
      <c r="A317" s="23"/>
      <c r="B317" s="353"/>
    </row>
    <row r="318" spans="1:2" ht="15">
      <c r="A318" s="23"/>
      <c r="B318" s="353"/>
    </row>
    <row r="319" spans="1:2" ht="15">
      <c r="A319" s="23"/>
      <c r="B319" s="353"/>
    </row>
    <row r="320" spans="1:2" ht="15">
      <c r="A320" s="23"/>
      <c r="B320" s="353"/>
    </row>
    <row r="321" spans="1:2" ht="15">
      <c r="A321" s="23"/>
      <c r="B321" s="353"/>
    </row>
    <row r="322" spans="1:2" ht="15">
      <c r="A322" s="23"/>
      <c r="B322" s="353"/>
    </row>
    <row r="323" spans="1:2" ht="15">
      <c r="A323" s="23"/>
      <c r="B323" s="353"/>
    </row>
    <row r="324" spans="1:2" ht="15">
      <c r="A324" s="23"/>
      <c r="B324" s="353"/>
    </row>
    <row r="325" spans="1:2" ht="15">
      <c r="A325" s="23"/>
      <c r="B325" s="353"/>
    </row>
    <row r="326" spans="1:2" ht="15">
      <c r="A326" s="23"/>
      <c r="B326" s="353"/>
    </row>
    <row r="327" spans="1:2" ht="15">
      <c r="A327" s="23"/>
      <c r="B327" s="353"/>
    </row>
    <row r="328" spans="1:2" ht="15">
      <c r="A328" s="23"/>
      <c r="B328" s="353"/>
    </row>
    <row r="329" spans="1:2" ht="15">
      <c r="A329" s="23"/>
      <c r="B329" s="353"/>
    </row>
    <row r="330" spans="1:2" ht="15">
      <c r="A330" s="23"/>
      <c r="B330" s="353"/>
    </row>
    <row r="331" spans="1:2" ht="15">
      <c r="A331" s="23"/>
      <c r="B331" s="353"/>
    </row>
    <row r="332" spans="1:2" ht="15">
      <c r="A332" s="23"/>
      <c r="B332" s="353"/>
    </row>
    <row r="333" spans="1:2" ht="15">
      <c r="A333" s="23"/>
      <c r="B333" s="353"/>
    </row>
    <row r="334" spans="1:2" ht="15">
      <c r="A334" s="23"/>
      <c r="B334" s="353"/>
    </row>
    <row r="335" spans="1:2" ht="15">
      <c r="A335" s="23"/>
      <c r="B335" s="353"/>
    </row>
    <row r="336" spans="1:2" ht="15">
      <c r="A336" s="23"/>
      <c r="B336" s="353"/>
    </row>
    <row r="337" spans="1:2" ht="15">
      <c r="A337" s="23"/>
      <c r="B337" s="353"/>
    </row>
    <row r="338" spans="1:2" ht="15">
      <c r="A338" s="23"/>
      <c r="B338" s="353"/>
    </row>
    <row r="339" spans="1:2" ht="15">
      <c r="A339" s="23"/>
      <c r="B339" s="353"/>
    </row>
    <row r="340" spans="1:2" ht="15">
      <c r="A340" s="23"/>
      <c r="B340" s="353"/>
    </row>
    <row r="341" spans="1:2" ht="15">
      <c r="A341" s="23"/>
      <c r="B341" s="353"/>
    </row>
    <row r="342" spans="1:2" ht="15">
      <c r="A342" s="23"/>
      <c r="B342" s="353"/>
    </row>
    <row r="343" spans="1:2" ht="15">
      <c r="A343" s="23"/>
      <c r="B343" s="353"/>
    </row>
    <row r="344" spans="1:2" ht="15">
      <c r="A344" s="23"/>
      <c r="B344" s="353"/>
    </row>
    <row r="345" spans="1:2" ht="15">
      <c r="A345" s="23"/>
      <c r="B345" s="353"/>
    </row>
    <row r="346" spans="1:2" ht="15">
      <c r="A346" s="23"/>
      <c r="B346" s="353"/>
    </row>
    <row r="347" spans="1:2" ht="15">
      <c r="A347" s="23"/>
      <c r="B347" s="353"/>
    </row>
    <row r="348" spans="1:2" ht="15">
      <c r="A348" s="23"/>
      <c r="B348" s="353"/>
    </row>
    <row r="349" spans="1:2" ht="15">
      <c r="A349" s="23"/>
      <c r="B349" s="353"/>
    </row>
    <row r="350" spans="1:2" ht="15">
      <c r="A350" s="23"/>
      <c r="B350" s="353"/>
    </row>
  </sheetData>
  <sheetProtection/>
  <mergeCells count="17">
    <mergeCell ref="A210:B210"/>
    <mergeCell ref="A143:B143"/>
    <mergeCell ref="A153:B153"/>
    <mergeCell ref="A179:B179"/>
    <mergeCell ref="A200:B200"/>
    <mergeCell ref="A54:B54"/>
    <mergeCell ref="A87:B87"/>
    <mergeCell ref="A106:B106"/>
    <mergeCell ref="A129:B129"/>
    <mergeCell ref="A30:B30"/>
    <mergeCell ref="A1:B1"/>
    <mergeCell ref="A2:B2"/>
    <mergeCell ref="A37:B37"/>
    <mergeCell ref="A3:B3"/>
    <mergeCell ref="A4:B4"/>
    <mergeCell ref="A6:B6"/>
    <mergeCell ref="A29:B29"/>
  </mergeCells>
  <printOptions/>
  <pageMargins left="0.4724409448818898" right="0.7480314960629921" top="0.984251968503937" bottom="0.984251968503937" header="0.5118110236220472" footer="0.5118110236220472"/>
  <pageSetup fitToHeight="5" horizontalDpi="355" verticalDpi="355" orientation="portrait" scale="77" r:id="rId1"/>
  <headerFooter alignWithMargins="0">
    <oddFooter>&amp;L&amp;A</oddFooter>
  </headerFooter>
  <rowBreaks count="4" manualBreakCount="4">
    <brk id="53" max="255" man="1"/>
    <brk id="105" max="255" man="1"/>
    <brk id="152" max="255" man="1"/>
    <brk id="19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30"/>
  <sheetViews>
    <sheetView zoomScalePageLayoutView="0" workbookViewId="0" topLeftCell="A65">
      <selection activeCell="B85" sqref="B85"/>
    </sheetView>
  </sheetViews>
  <sheetFormatPr defaultColWidth="9.140625" defaultRowHeight="12.75"/>
  <cols>
    <col min="1" max="1" width="72.28125" style="0" customWidth="1"/>
    <col min="2" max="2" width="21.8515625" style="323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519" t="str">
        <f>'Trial Balance'!A1:F1</f>
        <v>Rideau St. Lawrence Distribution Inc.</v>
      </c>
      <c r="B1" s="519"/>
    </row>
    <row r="2" spans="1:2" ht="12.75">
      <c r="A2" s="519" t="str">
        <f>'Trial Balance'!A2:F2</f>
        <v> License Number ED-2003-0003, File Number EB-2011-0274</v>
      </c>
      <c r="B2" s="519"/>
    </row>
    <row r="3" spans="1:2" s="20" customFormat="1" ht="15.75">
      <c r="A3" s="537" t="str">
        <f>Notes!B4</f>
        <v>Rideau St. Lawrence Distribution Inc.</v>
      </c>
      <c r="B3" s="537"/>
    </row>
    <row r="4" spans="1:2" s="20" customFormat="1" ht="15.75">
      <c r="A4" s="543" t="s">
        <v>826</v>
      </c>
      <c r="B4" s="543"/>
    </row>
    <row r="5" spans="1:2" ht="15" customHeight="1">
      <c r="A5" s="63" t="s">
        <v>510</v>
      </c>
      <c r="B5" s="340" t="s">
        <v>150</v>
      </c>
    </row>
    <row r="6" spans="1:2" ht="15" customHeight="1">
      <c r="A6" s="542" t="s">
        <v>138</v>
      </c>
      <c r="B6" s="542"/>
    </row>
    <row r="7" spans="1:7" ht="15" customHeight="1">
      <c r="A7" s="25" t="str">
        <f>'Trial Balance'!A206&amp;"-"&amp;'Trial Balance'!B206</f>
        <v>4006-Residential Energy Sales</v>
      </c>
      <c r="B7" s="339">
        <f>'Trial Balance'!L206</f>
        <v>-3618282.0296509443</v>
      </c>
      <c r="D7" s="11"/>
      <c r="E7" s="12"/>
      <c r="F7" s="13"/>
      <c r="G7" s="15"/>
    </row>
    <row r="8" spans="1:7" ht="15" customHeight="1">
      <c r="A8" s="25" t="str">
        <f>'Trial Balance'!A207&amp;"-"&amp;'Trial Balance'!B207</f>
        <v>4010-Commercial Energy Sales GS&lt;50 &amp; USL</v>
      </c>
      <c r="B8" s="339">
        <f>'Trial Balance'!L207</f>
        <v>-1643329.2892768716</v>
      </c>
      <c r="D8" s="11"/>
      <c r="E8" s="12"/>
      <c r="F8" s="13"/>
      <c r="G8" s="15"/>
    </row>
    <row r="9" spans="1:7" ht="15" customHeight="1">
      <c r="A9" s="25" t="str">
        <f>'Trial Balance'!A208&amp;"-"&amp;'Trial Balance'!B208</f>
        <v>4015-Industrial Energy Sales/Intermediate</v>
      </c>
      <c r="B9" s="339">
        <f>'Trial Balance'!L208</f>
        <v>-2987994.804775769</v>
      </c>
      <c r="D9" s="11"/>
      <c r="E9" s="12"/>
      <c r="F9" s="13"/>
      <c r="G9" s="15"/>
    </row>
    <row r="10" spans="1:7" ht="15" customHeight="1">
      <c r="A10" s="25" t="str">
        <f>'Trial Balance'!A209&amp;"-"&amp;'Trial Balance'!B209</f>
        <v>4020-Energy Sales to Large Users</v>
      </c>
      <c r="B10" s="339">
        <f>'Trial Balance'!L209</f>
        <v>0</v>
      </c>
      <c r="D10" s="11"/>
      <c r="E10" s="12"/>
      <c r="F10" s="13"/>
      <c r="G10" s="15"/>
    </row>
    <row r="11" spans="1:7" ht="15" customHeight="1">
      <c r="A11" s="25" t="str">
        <f>'Trial Balance'!A210&amp;"-"&amp;'Trial Balance'!B210</f>
        <v>4025-Street Lighting Energy Sales</v>
      </c>
      <c r="B11" s="339">
        <f>'Trial Balance'!L210</f>
        <v>-111938.91335420767</v>
      </c>
      <c r="D11" s="11"/>
      <c r="E11" s="12"/>
      <c r="F11" s="13"/>
      <c r="G11" s="15"/>
    </row>
    <row r="12" spans="1:7" ht="15" customHeight="1">
      <c r="A12" s="25" t="str">
        <f>'Trial Balance'!A211&amp;"-"&amp;'Trial Balance'!B211</f>
        <v>4030-Sentinel Energy Sales</v>
      </c>
      <c r="B12" s="339">
        <f>'Trial Balance'!L211</f>
        <v>-8844.136933181173</v>
      </c>
      <c r="D12" s="11"/>
      <c r="E12" s="12"/>
      <c r="F12" s="13"/>
      <c r="G12" s="15"/>
    </row>
    <row r="13" spans="1:7" ht="15" customHeight="1">
      <c r="A13" s="25" t="str">
        <f>'Trial Balance'!A212&amp;"-"&amp;'Trial Balance'!B212</f>
        <v>4035-General Energy Sales GS&gt; 50- 2999</v>
      </c>
      <c r="B13" s="339">
        <f>'Trial Balance'!L212</f>
        <v>0</v>
      </c>
      <c r="D13" s="11"/>
      <c r="E13" s="12"/>
      <c r="F13" s="13"/>
      <c r="G13" s="15"/>
    </row>
    <row r="14" spans="1:7" ht="15" customHeight="1">
      <c r="A14" s="25" t="str">
        <f>'Trial Balance'!A213&amp;"-"&amp;'Trial Balance'!B213</f>
        <v>4040-Other Energy Sales to Public Authorities</v>
      </c>
      <c r="B14" s="339">
        <f>'Trial Balance'!L213</f>
        <v>0</v>
      </c>
      <c r="D14" s="11"/>
      <c r="E14" s="12"/>
      <c r="F14" s="13"/>
      <c r="G14" s="15"/>
    </row>
    <row r="15" spans="1:7" ht="15" customHeight="1">
      <c r="A15" s="25" t="str">
        <f>'Trial Balance'!A214&amp;"-"&amp;'Trial Balance'!B214</f>
        <v>4045-Energy Sales to Railroads and Railways</v>
      </c>
      <c r="B15" s="339">
        <f>'Trial Balance'!L214</f>
        <v>0</v>
      </c>
      <c r="D15" s="11"/>
      <c r="E15" s="12"/>
      <c r="F15" s="13"/>
      <c r="G15" s="15"/>
    </row>
    <row r="16" spans="1:7" ht="15" customHeight="1">
      <c r="A16" s="25" t="str">
        <f>'Trial Balance'!A215&amp;"-"&amp;'Trial Balance'!B215</f>
        <v>4050-Revenue Adjustment</v>
      </c>
      <c r="B16" s="339">
        <f>'Trial Balance'!L215</f>
        <v>0</v>
      </c>
      <c r="D16" s="11"/>
      <c r="E16" s="12"/>
      <c r="F16" s="13"/>
      <c r="G16" s="15"/>
    </row>
    <row r="17" spans="1:7" ht="15" customHeight="1">
      <c r="A17" s="25" t="str">
        <f>'Trial Balance'!A216&amp;"-"&amp;'Trial Balance'!B216</f>
        <v>4055-Energy Sales for Resale</v>
      </c>
      <c r="B17" s="339">
        <f>'Trial Balance'!L216</f>
        <v>0</v>
      </c>
      <c r="D17" s="11"/>
      <c r="E17" s="14"/>
      <c r="F17" s="13"/>
      <c r="G17" s="15"/>
    </row>
    <row r="18" spans="1:7" ht="15" customHeight="1">
      <c r="A18" s="25" t="str">
        <f>'Trial Balance'!A217&amp;"-"&amp;'Trial Balance'!B217</f>
        <v>4060-Interdepartmental Energy Sales</v>
      </c>
      <c r="B18" s="339">
        <f>'Trial Balance'!L217</f>
        <v>0</v>
      </c>
      <c r="D18" s="11"/>
      <c r="E18" s="12"/>
      <c r="F18" s="13"/>
      <c r="G18" s="15"/>
    </row>
    <row r="19" spans="1:7" ht="15" customHeight="1">
      <c r="A19" s="25" t="str">
        <f>'Trial Balance'!A218&amp;"-"&amp;'Trial Balance'!B218</f>
        <v>4062-WMS</v>
      </c>
      <c r="B19" s="339">
        <f>'Trial Balance'!L218</f>
        <v>-711086.0269435996</v>
      </c>
      <c r="D19" s="11"/>
      <c r="E19" s="12"/>
      <c r="F19" s="13"/>
      <c r="G19" s="15"/>
    </row>
    <row r="20" spans="1:7" ht="15" customHeight="1">
      <c r="A20" s="25" t="str">
        <f>'Trial Balance'!A219&amp;"-"&amp;'Trial Balance'!B219</f>
        <v>4064-Billed WMS-One Time</v>
      </c>
      <c r="B20" s="339">
        <f>'Trial Balance'!L219</f>
        <v>0</v>
      </c>
      <c r="D20" s="11"/>
      <c r="E20" s="12"/>
      <c r="F20" s="13"/>
      <c r="G20" s="15"/>
    </row>
    <row r="21" spans="1:7" ht="15" customHeight="1">
      <c r="A21" s="25" t="str">
        <f>'Trial Balance'!A220&amp;"-"&amp;'Trial Balance'!B220</f>
        <v>4066-NS</v>
      </c>
      <c r="B21" s="339">
        <f>'Trial Balance'!L220</f>
        <v>-643422</v>
      </c>
      <c r="D21" s="11"/>
      <c r="E21" s="12"/>
      <c r="F21" s="13"/>
      <c r="G21" s="15"/>
    </row>
    <row r="22" spans="1:7" ht="15" customHeight="1">
      <c r="A22" s="25" t="str">
        <f>'Trial Balance'!A221&amp;"-"&amp;'Trial Balance'!B221</f>
        <v>4068-CS</v>
      </c>
      <c r="B22" s="339">
        <f>'Trial Balance'!L221</f>
        <v>-554146</v>
      </c>
      <c r="D22" s="11"/>
      <c r="E22" s="12"/>
      <c r="F22" s="13"/>
      <c r="G22" s="15"/>
    </row>
    <row r="23" spans="1:7" ht="15" customHeight="1" thickBot="1">
      <c r="A23" s="25" t="str">
        <f>'Trial Balance'!A222&amp;"-"&amp;'Trial Balance'!B222</f>
        <v>4075-LV Charges</v>
      </c>
      <c r="B23" s="339">
        <f>'Trial Balance'!L222</f>
        <v>-255551</v>
      </c>
      <c r="D23" s="11"/>
      <c r="E23" s="12"/>
      <c r="F23" s="13"/>
      <c r="G23" s="15"/>
    </row>
    <row r="24" spans="1:7" ht="15" customHeight="1" thickBot="1">
      <c r="A24" s="30" t="s">
        <v>139</v>
      </c>
      <c r="B24" s="341">
        <f>SUM(B7:B23)</f>
        <v>-10534594.200934574</v>
      </c>
      <c r="D24" s="11"/>
      <c r="E24" s="14"/>
      <c r="F24" s="13"/>
      <c r="G24" s="15"/>
    </row>
    <row r="25" spans="1:7" s="18" customFormat="1" ht="15" customHeight="1">
      <c r="A25" s="538"/>
      <c r="B25" s="539"/>
      <c r="D25" s="19"/>
      <c r="E25" s="12"/>
      <c r="F25" s="15"/>
      <c r="G25" s="15"/>
    </row>
    <row r="26" spans="1:7" s="18" customFormat="1" ht="15" customHeight="1">
      <c r="A26" s="542" t="s">
        <v>140</v>
      </c>
      <c r="B26" s="542"/>
      <c r="D26" s="19"/>
      <c r="E26" s="12"/>
      <c r="F26" s="15"/>
      <c r="G26" s="15"/>
    </row>
    <row r="27" spans="1:7" ht="15" customHeight="1">
      <c r="A27" s="25" t="str">
        <f>'Trial Balance'!A224&amp;"-"&amp;'Trial Balance'!B224</f>
        <v>4080-Distribution Services Revenue</v>
      </c>
      <c r="B27" s="339">
        <f>'Trial Balance'!L224</f>
        <v>-2444833.2085197233</v>
      </c>
      <c r="D27" s="11"/>
      <c r="E27" s="14"/>
      <c r="F27" s="13"/>
      <c r="G27" s="15"/>
    </row>
    <row r="28" spans="1:7" ht="15" customHeight="1">
      <c r="A28" s="25" t="str">
        <f>'Trial Balance'!A225&amp;"-"&amp;'Trial Balance'!B225</f>
        <v>4082-RS Rev</v>
      </c>
      <c r="B28" s="339">
        <f>'Trial Balance'!L225</f>
        <v>-8550</v>
      </c>
      <c r="D28" s="11"/>
      <c r="E28" s="14"/>
      <c r="F28" s="13"/>
      <c r="G28" s="15"/>
    </row>
    <row r="29" spans="1:7" ht="15" customHeight="1">
      <c r="A29" s="25" t="str">
        <f>'Trial Balance'!A226&amp;"-"&amp;'Trial Balance'!B226</f>
        <v>4084-Serv Tx Requests</v>
      </c>
      <c r="B29" s="339">
        <f>'Trial Balance'!L226</f>
        <v>-136</v>
      </c>
      <c r="D29" s="11"/>
      <c r="E29" s="14"/>
      <c r="F29" s="13"/>
      <c r="G29" s="15"/>
    </row>
    <row r="30" spans="1:7" ht="15" customHeight="1" thickBot="1">
      <c r="A30" s="25" t="str">
        <f>'Trial Balance'!A227&amp;"-"&amp;'Trial Balance'!B227</f>
        <v>4090-Electric Services Incidental to Energy Sales</v>
      </c>
      <c r="B30" s="339">
        <f>'Trial Balance'!L227</f>
        <v>0</v>
      </c>
      <c r="D30" s="11"/>
      <c r="E30" s="14"/>
      <c r="F30" s="13"/>
      <c r="G30" s="15"/>
    </row>
    <row r="31" spans="1:7" ht="15" customHeight="1" thickBot="1">
      <c r="A31" s="30" t="s">
        <v>928</v>
      </c>
      <c r="B31" s="341">
        <f>SUM(B27:B30)</f>
        <v>-2453519.2085197233</v>
      </c>
      <c r="D31" s="11"/>
      <c r="E31" s="12"/>
      <c r="F31" s="13"/>
      <c r="G31" s="15"/>
    </row>
    <row r="32" spans="1:7" s="18" customFormat="1" ht="15" customHeight="1">
      <c r="A32" s="538"/>
      <c r="B32" s="539"/>
      <c r="D32" s="19"/>
      <c r="E32" s="12"/>
      <c r="F32" s="15"/>
      <c r="G32" s="15"/>
    </row>
    <row r="33" spans="1:7" s="18" customFormat="1" ht="15" customHeight="1">
      <c r="A33" s="542" t="s">
        <v>75</v>
      </c>
      <c r="B33" s="542"/>
      <c r="D33" s="19"/>
      <c r="E33" s="12"/>
      <c r="F33" s="15"/>
      <c r="G33" s="15"/>
    </row>
    <row r="34" spans="1:7" ht="15" customHeight="1">
      <c r="A34" s="25" t="str">
        <f>'Trial Balance'!A229&amp;"-"&amp;'Trial Balance'!B229</f>
        <v>4205-Interdepartmental Rents</v>
      </c>
      <c r="B34" s="339">
        <f>'Trial Balance'!L229</f>
        <v>0</v>
      </c>
      <c r="D34" s="11"/>
      <c r="E34" s="14"/>
      <c r="F34" s="13"/>
      <c r="G34" s="15"/>
    </row>
    <row r="35" spans="1:2" ht="15" customHeight="1">
      <c r="A35" s="25" t="str">
        <f>'Trial Balance'!A230&amp;"-"&amp;'Trial Balance'!B230</f>
        <v>4210-Rent from Electric Property</v>
      </c>
      <c r="B35" s="339">
        <f>'Trial Balance'!L230</f>
        <v>-44029</v>
      </c>
    </row>
    <row r="36" spans="1:2" ht="15" customHeight="1">
      <c r="A36" s="25" t="str">
        <f>'Trial Balance'!A231&amp;"-"&amp;'Trial Balance'!B231</f>
        <v>4215-Other Utility Operating Income</v>
      </c>
      <c r="B36" s="339">
        <f>'Trial Balance'!L231</f>
        <v>0</v>
      </c>
    </row>
    <row r="37" spans="1:2" ht="15" customHeight="1">
      <c r="A37" s="25" t="str">
        <f>'Trial Balance'!A232&amp;"-"&amp;'Trial Balance'!B232</f>
        <v>4220-Other Electric Revenues</v>
      </c>
      <c r="B37" s="339">
        <f>'Trial Balance'!L232</f>
        <v>0</v>
      </c>
    </row>
    <row r="38" spans="1:2" ht="15" customHeight="1">
      <c r="A38" s="25" t="str">
        <f>'Trial Balance'!A233&amp;"-"&amp;'Trial Balance'!B233</f>
        <v>4225-Late Payment Charges</v>
      </c>
      <c r="B38" s="339">
        <f>'Trial Balance'!L233</f>
        <v>-32400</v>
      </c>
    </row>
    <row r="39" spans="1:2" ht="15" customHeight="1">
      <c r="A39" s="25" t="str">
        <f>'Trial Balance'!A234&amp;"-"&amp;'Trial Balance'!B234</f>
        <v>4230-Sales of Water and Water Power</v>
      </c>
      <c r="B39" s="339">
        <f>'Trial Balance'!L234</f>
        <v>0</v>
      </c>
    </row>
    <row r="40" spans="1:2" ht="15" customHeight="1">
      <c r="A40" s="25" t="str">
        <f>'Trial Balance'!A235&amp;"-"&amp;'Trial Balance'!B235</f>
        <v>4235-Miscellaneous Service Revenues</v>
      </c>
      <c r="B40" s="339">
        <f>'Trial Balance'!L235</f>
        <v>-88900</v>
      </c>
    </row>
    <row r="41" spans="1:2" ht="15" customHeight="1">
      <c r="A41" s="25" t="str">
        <f>'Trial Balance'!A236&amp;"-"&amp;'Trial Balance'!B236</f>
        <v>4240-Provision for Rate Refunds</v>
      </c>
      <c r="B41" s="339">
        <f>'Trial Balance'!L236</f>
        <v>0</v>
      </c>
    </row>
    <row r="42" spans="1:2" ht="15" customHeight="1" thickBot="1">
      <c r="A42" s="25" t="str">
        <f>'Trial Balance'!A237&amp;"-"&amp;'Trial Balance'!B237</f>
        <v>4245-Government Assistance Directly Credited to Income</v>
      </c>
      <c r="B42" s="339">
        <f>'Trial Balance'!L237</f>
        <v>0</v>
      </c>
    </row>
    <row r="43" spans="1:2" ht="15" customHeight="1" thickBot="1">
      <c r="A43" s="30" t="s">
        <v>86</v>
      </c>
      <c r="B43" s="341">
        <f>SUM(B34:B42)</f>
        <v>-165329</v>
      </c>
    </row>
    <row r="44" spans="1:2" s="18" customFormat="1" ht="15" customHeight="1">
      <c r="A44" s="538"/>
      <c r="B44" s="539"/>
    </row>
    <row r="45" spans="1:2" s="18" customFormat="1" ht="15" customHeight="1">
      <c r="A45" s="542" t="s">
        <v>87</v>
      </c>
      <c r="B45" s="542"/>
    </row>
    <row r="46" spans="1:2" ht="15" customHeight="1">
      <c r="A46" s="25" t="str">
        <f>'Trial Balance'!A239&amp;"-"&amp;'Trial Balance'!B239</f>
        <v>4305-Regulatory Debits</v>
      </c>
      <c r="B46" s="339">
        <f>'Trial Balance'!L239</f>
        <v>0</v>
      </c>
    </row>
    <row r="47" spans="1:2" ht="15" customHeight="1">
      <c r="A47" s="25" t="str">
        <f>'Trial Balance'!A240&amp;"-"&amp;'Trial Balance'!B240</f>
        <v>4310-Regulatory Credits</v>
      </c>
      <c r="B47" s="339">
        <f>'Trial Balance'!L240</f>
        <v>0</v>
      </c>
    </row>
    <row r="48" spans="1:2" ht="15" customHeight="1">
      <c r="A48" s="25" t="str">
        <f>'Trial Balance'!A241&amp;"-"&amp;'Trial Balance'!B241</f>
        <v>4315-Revenues from Electric Plant Leased to Others</v>
      </c>
      <c r="B48" s="339">
        <f>'Trial Balance'!L241</f>
        <v>0</v>
      </c>
    </row>
    <row r="49" spans="1:2" ht="15" customHeight="1">
      <c r="A49" s="25" t="str">
        <f>'Trial Balance'!A242&amp;"-"&amp;'Trial Balance'!B242</f>
        <v>4320-Expenses of Electric Plant Leased to Others</v>
      </c>
      <c r="B49" s="339">
        <f>'Trial Balance'!L242</f>
        <v>0</v>
      </c>
    </row>
    <row r="50" spans="1:2" ht="15" customHeight="1">
      <c r="A50" s="25" t="str">
        <f>'Trial Balance'!A244&amp;"-"&amp;'Trial Balance'!B244</f>
        <v>4325-Revenues from Merchandise, Jobbing, Etc.</v>
      </c>
      <c r="B50" s="339">
        <f>'Trial Balance'!L244</f>
        <v>0</v>
      </c>
    </row>
    <row r="51" spans="1:2" ht="15" customHeight="1">
      <c r="A51" s="25" t="str">
        <f>'Trial Balance'!A245&amp;"-"&amp;'Trial Balance'!B245</f>
        <v>4330-Costs and Expenses of Merchandising, Jobbing, Etc</v>
      </c>
      <c r="B51" s="339">
        <f>'Trial Balance'!L245</f>
        <v>0</v>
      </c>
    </row>
    <row r="52" spans="1:2" ht="15" customHeight="1">
      <c r="A52" s="25" t="str">
        <f>'Trial Balance'!A246&amp;"-"&amp;'Trial Balance'!B246</f>
        <v>4335-Profits and Losses from Financial Instrument Hedges</v>
      </c>
      <c r="B52" s="339">
        <f>'Trial Balance'!L246</f>
        <v>0</v>
      </c>
    </row>
    <row r="53" spans="1:2" ht="15" customHeight="1">
      <c r="A53" s="25" t="str">
        <f>'Trial Balance'!A247&amp;"-"&amp;'Trial Balance'!B247</f>
        <v>4340-Profits and Losses from Financial Instrument Investments</v>
      </c>
      <c r="B53" s="339">
        <f>'Trial Balance'!L247</f>
        <v>0</v>
      </c>
    </row>
    <row r="54" spans="1:2" ht="15" customHeight="1">
      <c r="A54" s="25" t="str">
        <f>'Trial Balance'!A248&amp;"-"&amp;'Trial Balance'!B248</f>
        <v>4345-Gains from Disposition of Future Use Utility Plant</v>
      </c>
      <c r="B54" s="339">
        <f>'Trial Balance'!L248</f>
        <v>0</v>
      </c>
    </row>
    <row r="55" spans="1:2" ht="15" customHeight="1">
      <c r="A55" s="25" t="str">
        <f>'Trial Balance'!A249&amp;"-"&amp;'Trial Balance'!B249</f>
        <v>4350-Losses from Disposition of Future Use Utility Plant</v>
      </c>
      <c r="B55" s="339">
        <f>'Trial Balance'!L249</f>
        <v>0</v>
      </c>
    </row>
    <row r="56" spans="1:2" ht="15" customHeight="1">
      <c r="A56" s="25" t="str">
        <f>'Trial Balance'!A250&amp;"-"&amp;'Trial Balance'!B250</f>
        <v>4355-Gain on Disposition of Utility and Other Property</v>
      </c>
      <c r="B56" s="339">
        <f>'Trial Balance'!L250</f>
        <v>0</v>
      </c>
    </row>
    <row r="57" spans="1:2" ht="15" customHeight="1">
      <c r="A57" s="25" t="str">
        <f>'Trial Balance'!A251&amp;"-"&amp;'Trial Balance'!B251</f>
        <v>4360-Loss on Disposition of Utility and Other Property</v>
      </c>
      <c r="B57" s="339">
        <f>'Trial Balance'!L251</f>
        <v>0</v>
      </c>
    </row>
    <row r="58" spans="1:2" ht="15" customHeight="1">
      <c r="A58" s="25" t="str">
        <f>'Trial Balance'!A252&amp;"-"&amp;'Trial Balance'!B252</f>
        <v>4365-Gains from Disposition of Allowances for Emission</v>
      </c>
      <c r="B58" s="339">
        <f>'Trial Balance'!L252</f>
        <v>0</v>
      </c>
    </row>
    <row r="59" spans="1:2" ht="15" customHeight="1">
      <c r="A59" s="25" t="str">
        <f>'Trial Balance'!A253&amp;"-"&amp;'Trial Balance'!B253</f>
        <v>4370-Losses from Disposition of Allowances for Emission</v>
      </c>
      <c r="B59" s="339">
        <f>'Trial Balance'!L253</f>
        <v>0</v>
      </c>
    </row>
    <row r="60" spans="1:2" ht="15" customHeight="1">
      <c r="A60" s="25" t="str">
        <f>'Trial Balance'!A254&amp;"-"&amp;'Trial Balance'!B254</f>
        <v>4375-Revenues from Non-Utility Operations</v>
      </c>
      <c r="B60" s="339">
        <f>'Trial Balance'!L254</f>
        <v>0</v>
      </c>
    </row>
    <row r="61" spans="1:2" ht="15" customHeight="1">
      <c r="A61" s="25" t="str">
        <f>'Trial Balance'!A255&amp;"-"&amp;'Trial Balance'!B255</f>
        <v>4380-Expenses of Non-Utility Operations</v>
      </c>
      <c r="B61" s="339">
        <f>'Trial Balance'!L255</f>
        <v>0</v>
      </c>
    </row>
    <row r="62" spans="1:2" ht="15" customHeight="1">
      <c r="A62" s="25" t="str">
        <f>'Trial Balance'!A256&amp;"-"&amp;'Trial Balance'!B256</f>
        <v>4385-Expenses of Non-Utility Operations</v>
      </c>
      <c r="B62" s="339">
        <f>'Trial Balance'!L256</f>
        <v>0</v>
      </c>
    </row>
    <row r="63" spans="1:2" ht="15" customHeight="1">
      <c r="A63" s="25" t="str">
        <f>'Trial Balance'!A257&amp;"-"&amp;'Trial Balance'!B257</f>
        <v>4390-Miscellaneous Non-Operating Income</v>
      </c>
      <c r="B63" s="339">
        <f>'Trial Balance'!L257</f>
        <v>0</v>
      </c>
    </row>
    <row r="64" spans="1:2" ht="15" customHeight="1">
      <c r="A64" s="25" t="str">
        <f>'Trial Balance'!A258&amp;"-"&amp;'Trial Balance'!B258</f>
        <v>4395-Rate-Payer Benefit Including Interest</v>
      </c>
      <c r="B64" s="339">
        <f>'Trial Balance'!L258</f>
        <v>0</v>
      </c>
    </row>
    <row r="65" spans="1:2" ht="15" customHeight="1" thickBot="1">
      <c r="A65" s="25" t="str">
        <f>'Trial Balance'!A259&amp;"-"&amp;'Trial Balance'!B259</f>
        <v>4398-Foreign Exchange Gains and Losses, Including Amortization</v>
      </c>
      <c r="B65" s="339">
        <f>'Trial Balance'!L259</f>
        <v>0</v>
      </c>
    </row>
    <row r="66" spans="1:2" ht="15" customHeight="1" thickBot="1">
      <c r="A66" s="30" t="s">
        <v>82</v>
      </c>
      <c r="B66" s="341">
        <f>SUM(B46:B65)</f>
        <v>0</v>
      </c>
    </row>
    <row r="67" spans="1:2" s="18" customFormat="1" ht="15" customHeight="1">
      <c r="A67" s="538"/>
      <c r="B67" s="539"/>
    </row>
    <row r="68" spans="1:2" s="18" customFormat="1" ht="15" customHeight="1">
      <c r="A68" s="542" t="s">
        <v>83</v>
      </c>
      <c r="B68" s="542"/>
    </row>
    <row r="69" spans="1:2" s="18" customFormat="1" ht="15" customHeight="1">
      <c r="A69" s="25" t="str">
        <f>'Trial Balance'!A261&amp;"-"&amp;'Trial Balance'!B261</f>
        <v>4405-Interest and Dividend Income</v>
      </c>
      <c r="B69" s="339">
        <f>'Trial Balance'!L261</f>
        <v>-12000</v>
      </c>
    </row>
    <row r="70" spans="1:2" ht="15" customHeight="1" thickBot="1">
      <c r="A70" s="25" t="str">
        <f>'Trial Balance'!A262&amp;"-"&amp;'Trial Balance'!B262</f>
        <v>4415-Equity in Earnings of Subsidiary Companies</v>
      </c>
      <c r="B70" s="339">
        <f>'Trial Balance'!L262</f>
        <v>0</v>
      </c>
    </row>
    <row r="71" spans="1:2" ht="15" customHeight="1" thickBot="1">
      <c r="A71" s="30" t="s">
        <v>84</v>
      </c>
      <c r="B71" s="341">
        <f>SUM(B69:B70)</f>
        <v>-12000</v>
      </c>
    </row>
    <row r="72" spans="1:2" s="18" customFormat="1" ht="15" customHeight="1">
      <c r="A72" s="538"/>
      <c r="B72" s="539"/>
    </row>
    <row r="73" spans="1:2" s="18" customFormat="1" ht="15" customHeight="1">
      <c r="A73" s="542" t="s">
        <v>85</v>
      </c>
      <c r="B73" s="542"/>
    </row>
    <row r="74" spans="1:2" ht="15" customHeight="1">
      <c r="A74" s="25" t="str">
        <f>'Trial Balance'!A264&amp;"-"&amp;'Trial Balance'!B264</f>
        <v>4705-Power Purchased</v>
      </c>
      <c r="B74" s="339">
        <f>'Trial Balance'!L264</f>
        <v>8370389.173990974</v>
      </c>
    </row>
    <row r="75" spans="1:2" ht="15" customHeight="1">
      <c r="A75" s="25" t="str">
        <f>'Trial Balance'!A265&amp;"-"&amp;'Trial Balance'!B265</f>
        <v>4708-WMS</v>
      </c>
      <c r="B75" s="339">
        <f>'Trial Balance'!L265</f>
        <v>711086.0269435996</v>
      </c>
    </row>
    <row r="76" spans="1:2" ht="15" customHeight="1">
      <c r="A76" s="25" t="str">
        <f>'Trial Balance'!A266&amp;"-"&amp;'Trial Balance'!B266</f>
        <v>4710-Cost of Power Adjustments</v>
      </c>
      <c r="B76" s="339">
        <f>'Trial Balance'!L266</f>
        <v>0</v>
      </c>
    </row>
    <row r="77" spans="1:2" ht="15" customHeight="1">
      <c r="A77" s="25" t="str">
        <f>'Trial Balance'!A267&amp;"-"&amp;'Trial Balance'!B267</f>
        <v>4712-0</v>
      </c>
      <c r="B77" s="339">
        <f>'Trial Balance'!L267</f>
        <v>0</v>
      </c>
    </row>
    <row r="78" spans="1:2" ht="15" customHeight="1">
      <c r="A78" s="25" t="str">
        <f>'Trial Balance'!A268&amp;"-"&amp;'Trial Balance'!B268</f>
        <v>4714-NW</v>
      </c>
      <c r="B78" s="339">
        <f>'Trial Balance'!L268</f>
        <v>643422</v>
      </c>
    </row>
    <row r="79" spans="1:2" ht="15" customHeight="1">
      <c r="A79" s="25" t="str">
        <f>'Trial Balance'!A269&amp;"-"&amp;'Trial Balance'!B269</f>
        <v>4715-System Control and Load Dispatching</v>
      </c>
      <c r="B79" s="339">
        <f>'Trial Balance'!L269</f>
        <v>0</v>
      </c>
    </row>
    <row r="80" spans="1:2" ht="15" customHeight="1">
      <c r="A80" s="25" t="str">
        <f>'Trial Balance'!A270&amp;"-"&amp;'Trial Balance'!B270</f>
        <v>4716-NCN</v>
      </c>
      <c r="B80" s="339">
        <f>'Trial Balance'!L270</f>
        <v>554146</v>
      </c>
    </row>
    <row r="81" spans="1:2" ht="15" customHeight="1">
      <c r="A81" s="25" t="str">
        <f>'Trial Balance'!A271&amp;"-"&amp;'Trial Balance'!B271</f>
        <v>4720-Other Expenses</v>
      </c>
      <c r="B81" s="339">
        <f>'Trial Balance'!L271</f>
        <v>0</v>
      </c>
    </row>
    <row r="82" spans="1:2" ht="15" customHeight="1">
      <c r="A82" s="25" t="str">
        <f>'Trial Balance'!A272&amp;"-"&amp;'Trial Balance'!B272</f>
        <v>4725-Competition Transition Expense</v>
      </c>
      <c r="B82" s="339">
        <f>'Trial Balance'!L272</f>
        <v>0</v>
      </c>
    </row>
    <row r="83" spans="1:2" ht="15" customHeight="1">
      <c r="A83" s="25" t="str">
        <f>'Trial Balance'!A273&amp;"-"&amp;'Trial Balance'!B273</f>
        <v>4730-Rural Rate Assistance Expense</v>
      </c>
      <c r="B83" s="339">
        <f>'Trial Balance'!L273</f>
        <v>0</v>
      </c>
    </row>
    <row r="84" spans="1:2" ht="15" customHeight="1" thickBot="1">
      <c r="A84" s="25" t="str">
        <f>'Trial Balance'!A274&amp;"-"&amp;'Trial Balance'!B274</f>
        <v>4750-LV Charges</v>
      </c>
      <c r="B84" s="339">
        <f>'Trial Balance'!L274</f>
        <v>255551</v>
      </c>
    </row>
    <row r="85" spans="1:2" ht="15" customHeight="1" thickBot="1">
      <c r="A85" s="30" t="s">
        <v>519</v>
      </c>
      <c r="B85" s="341">
        <f>SUM(B74:B84)</f>
        <v>10534594.200934574</v>
      </c>
    </row>
    <row r="86" spans="1:2" s="18" customFormat="1" ht="15" customHeight="1">
      <c r="A86" s="538"/>
      <c r="B86" s="539"/>
    </row>
    <row r="87" spans="1:2" s="18" customFormat="1" ht="15" customHeight="1">
      <c r="A87" s="542" t="s">
        <v>520</v>
      </c>
      <c r="B87" s="542"/>
    </row>
    <row r="88" spans="1:2" ht="15" customHeight="1">
      <c r="A88" s="25" t="str">
        <f>'Trial Balance'!A276&amp;"-"&amp;'Trial Balance'!B276</f>
        <v>5005-Operation Supervision and Engineering</v>
      </c>
      <c r="B88" s="339">
        <f>'Trial Balance'!L276</f>
        <v>103900</v>
      </c>
    </row>
    <row r="89" spans="1:2" ht="15" customHeight="1">
      <c r="A89" s="25" t="str">
        <f>'Trial Balance'!A277&amp;"-"&amp;'Trial Balance'!B277</f>
        <v>5010-Load Dispatching</v>
      </c>
      <c r="B89" s="339">
        <f>'Trial Balance'!L277</f>
        <v>0</v>
      </c>
    </row>
    <row r="90" spans="1:2" ht="15" customHeight="1">
      <c r="A90" s="25" t="str">
        <f>'Trial Balance'!A278&amp;"-"&amp;'Trial Balance'!B278</f>
        <v>5012-Station Buildings and Fixtures Expense</v>
      </c>
      <c r="B90" s="339">
        <f>'Trial Balance'!L278</f>
        <v>1000</v>
      </c>
    </row>
    <row r="91" spans="1:2" ht="15" customHeight="1">
      <c r="A91" s="25" t="str">
        <f>'Trial Balance'!A279&amp;"-"&amp;'Trial Balance'!B279</f>
        <v>5014-Transformer Station Equipment - Operation Labour</v>
      </c>
      <c r="B91" s="339">
        <f>'Trial Balance'!L279</f>
        <v>0</v>
      </c>
    </row>
    <row r="92" spans="1:2" ht="15" customHeight="1">
      <c r="A92" s="25" t="str">
        <f>'Trial Balance'!A280&amp;"-"&amp;'Trial Balance'!B280</f>
        <v>5015-Transformer Station Equipment - Operation Supplies and Expenses</v>
      </c>
      <c r="B92" s="339">
        <f>'Trial Balance'!L280</f>
        <v>0</v>
      </c>
    </row>
    <row r="93" spans="1:2" ht="15" customHeight="1">
      <c r="A93" s="25" t="str">
        <f>'Trial Balance'!A281&amp;"-"&amp;'Trial Balance'!B281</f>
        <v>5016-Distribution Station Equipment - Operation Labour</v>
      </c>
      <c r="B93" s="339">
        <f>'Trial Balance'!L281</f>
        <v>1000</v>
      </c>
    </row>
    <row r="94" spans="1:2" ht="15" customHeight="1">
      <c r="A94" s="25" t="str">
        <f>'Trial Balance'!A282&amp;"-"&amp;'Trial Balance'!B282</f>
        <v>5017-Distribution Station Equipment - Operation Supplies and Expenses</v>
      </c>
      <c r="B94" s="339">
        <f>'Trial Balance'!L282</f>
        <v>0</v>
      </c>
    </row>
    <row r="95" spans="1:2" ht="15" customHeight="1">
      <c r="A95" s="25" t="str">
        <f>'Trial Balance'!A283&amp;"-"&amp;'Trial Balance'!B283</f>
        <v>5020-Overhead Distribution Lines and Feeders - Operation Labour</v>
      </c>
      <c r="B95" s="339">
        <f>'Trial Balance'!L283</f>
        <v>1900</v>
      </c>
    </row>
    <row r="96" spans="1:2" ht="15" customHeight="1">
      <c r="A96" s="25" t="str">
        <f>'Trial Balance'!A284&amp;"-"&amp;'Trial Balance'!B284</f>
        <v>5025-Overhead Distribution Lines and Feeders - Operation Supplies and Expenses</v>
      </c>
      <c r="B96" s="339">
        <f>'Trial Balance'!L284</f>
        <v>0</v>
      </c>
    </row>
    <row r="97" spans="1:2" ht="15" customHeight="1">
      <c r="A97" s="25" t="str">
        <f>'Trial Balance'!A285&amp;"-"&amp;'Trial Balance'!B285</f>
        <v>5030-Overhead Subtransmission Feeders - Operation</v>
      </c>
      <c r="B97" s="339">
        <f>'Trial Balance'!L285</f>
        <v>0</v>
      </c>
    </row>
    <row r="98" spans="1:2" ht="15" customHeight="1">
      <c r="A98" s="25" t="str">
        <f>'Trial Balance'!A286&amp;"-"&amp;'Trial Balance'!B286</f>
        <v>5035-Overhead Distribution Transformers - Operation</v>
      </c>
      <c r="B98" s="339">
        <f>'Trial Balance'!L286</f>
        <v>9600</v>
      </c>
    </row>
    <row r="99" spans="1:2" ht="15" customHeight="1">
      <c r="A99" s="25" t="str">
        <f>'Trial Balance'!A287&amp;"-"&amp;'Trial Balance'!B287</f>
        <v>5040-Underground Distribution Lines and Feeders - Operation Labour</v>
      </c>
      <c r="B99" s="339">
        <f>'Trial Balance'!L287</f>
        <v>0</v>
      </c>
    </row>
    <row r="100" spans="1:2" ht="15" customHeight="1">
      <c r="A100" s="25" t="str">
        <f>'Trial Balance'!A288&amp;"-"&amp;'Trial Balance'!B288</f>
        <v>5045-Underground Distribution Lines and Feeders - Operation Supplies and Expenses</v>
      </c>
      <c r="B100" s="339">
        <f>'Trial Balance'!L288</f>
        <v>0</v>
      </c>
    </row>
    <row r="101" spans="1:2" ht="15" customHeight="1">
      <c r="A101" s="25" t="str">
        <f>'Trial Balance'!A289&amp;"-"&amp;'Trial Balance'!B289</f>
        <v>5050-Underground Subtransmission Feeders - Operation</v>
      </c>
      <c r="B101" s="339">
        <f>'Trial Balance'!L289</f>
        <v>0</v>
      </c>
    </row>
    <row r="102" spans="1:2" ht="15" customHeight="1">
      <c r="A102" s="25" t="str">
        <f>'Trial Balance'!A290&amp;"-"&amp;'Trial Balance'!B290</f>
        <v>5055-Underground Distribution Transformers - Operation</v>
      </c>
      <c r="B102" s="339">
        <f>'Trial Balance'!L290</f>
        <v>0</v>
      </c>
    </row>
    <row r="103" spans="1:2" ht="15" customHeight="1">
      <c r="A103" s="25" t="str">
        <f>'Trial Balance'!A291&amp;"-"&amp;'Trial Balance'!B291</f>
        <v>5060-Street Lighting and Signal System Expense</v>
      </c>
      <c r="B103" s="339">
        <f>'Trial Balance'!L291</f>
        <v>0</v>
      </c>
    </row>
    <row r="104" spans="1:2" ht="15" customHeight="1">
      <c r="A104" s="25" t="str">
        <f>'Trial Balance'!A292&amp;"-"&amp;'Trial Balance'!B292</f>
        <v>5065-Meter Expense</v>
      </c>
      <c r="B104" s="339">
        <f>'Trial Balance'!L292</f>
        <v>93800</v>
      </c>
    </row>
    <row r="105" spans="1:2" ht="15" customHeight="1">
      <c r="A105" s="25" t="str">
        <f>'Trial Balance'!A293&amp;"-"&amp;'Trial Balance'!B293</f>
        <v>5070-Customer Premises - Operation Labour</v>
      </c>
      <c r="B105" s="339">
        <f>'Trial Balance'!L293</f>
        <v>0</v>
      </c>
    </row>
    <row r="106" spans="1:2" ht="15" customHeight="1">
      <c r="A106" s="25" t="str">
        <f>'Trial Balance'!A294&amp;"-"&amp;'Trial Balance'!B294</f>
        <v>5075-Customer Premises - Materials and Expenses</v>
      </c>
      <c r="B106" s="339">
        <f>'Trial Balance'!L294</f>
        <v>0</v>
      </c>
    </row>
    <row r="107" spans="1:2" ht="15" customHeight="1">
      <c r="A107" s="25" t="str">
        <f>'Trial Balance'!A295&amp;"-"&amp;'Trial Balance'!B295</f>
        <v>5085-Miscellaneous Distribution Expense</v>
      </c>
      <c r="B107" s="339">
        <f>'Trial Balance'!L295</f>
        <v>64500</v>
      </c>
    </row>
    <row r="108" spans="1:2" ht="15" customHeight="1">
      <c r="A108" s="25" t="str">
        <f>'Trial Balance'!A296&amp;"-"&amp;'Trial Balance'!B296</f>
        <v>5090-Underground Distribution Lines and Feeders - Rental Paid</v>
      </c>
      <c r="B108" s="339">
        <f>'Trial Balance'!L296</f>
        <v>0</v>
      </c>
    </row>
    <row r="109" spans="1:2" ht="15" customHeight="1">
      <c r="A109" s="25" t="str">
        <f>'Trial Balance'!A297&amp;"-"&amp;'Trial Balance'!B297</f>
        <v>5095-Overhead Distribution Lines and Feeders - Rental Paid</v>
      </c>
      <c r="B109" s="339">
        <f>'Trial Balance'!L297</f>
        <v>22300</v>
      </c>
    </row>
    <row r="110" spans="1:2" ht="15" customHeight="1" thickBot="1">
      <c r="A110" s="25" t="str">
        <f>'Trial Balance'!A298&amp;"-"&amp;'Trial Balance'!B298</f>
        <v>5096-Other Rent</v>
      </c>
      <c r="B110" s="339">
        <f>'Trial Balance'!L298</f>
        <v>0</v>
      </c>
    </row>
    <row r="111" spans="1:2" ht="15" customHeight="1" thickBot="1">
      <c r="A111" s="30" t="s">
        <v>523</v>
      </c>
      <c r="B111" s="341">
        <f>SUM(B88:B110)</f>
        <v>298000</v>
      </c>
    </row>
    <row r="112" spans="1:2" s="18" customFormat="1" ht="15" customHeight="1">
      <c r="A112" s="538"/>
      <c r="B112" s="539"/>
    </row>
    <row r="113" spans="1:2" s="18" customFormat="1" ht="15" customHeight="1">
      <c r="A113" s="542" t="s">
        <v>524</v>
      </c>
      <c r="B113" s="542"/>
    </row>
    <row r="114" spans="1:2" ht="15" customHeight="1">
      <c r="A114" s="25" t="str">
        <f>'Trial Balance'!A300&amp;"-"&amp;'Trial Balance'!B300</f>
        <v>5105-Maintenance Supervision and Engineering</v>
      </c>
      <c r="B114" s="339">
        <f>'Trial Balance'!L300</f>
        <v>0</v>
      </c>
    </row>
    <row r="115" spans="1:2" ht="15" customHeight="1">
      <c r="A115" s="25" t="str">
        <f>'Trial Balance'!A301&amp;"-"&amp;'Trial Balance'!B301</f>
        <v>5110-Maintenance of Structures</v>
      </c>
      <c r="B115" s="339">
        <f>'Trial Balance'!L301</f>
        <v>0</v>
      </c>
    </row>
    <row r="116" spans="1:2" ht="15" customHeight="1">
      <c r="A116" s="25" t="str">
        <f>'Trial Balance'!A302&amp;"-"&amp;'Trial Balance'!B302</f>
        <v>5112-Maintenance of Transformer Station Equipment</v>
      </c>
      <c r="B116" s="339">
        <f>'Trial Balance'!L302</f>
        <v>0</v>
      </c>
    </row>
    <row r="117" spans="1:2" ht="15" customHeight="1">
      <c r="A117" s="25" t="str">
        <f>'Trial Balance'!A303&amp;"-"&amp;'Trial Balance'!B303</f>
        <v>5114-Mtaint Dist Stn Equip</v>
      </c>
      <c r="B117" s="339">
        <f>'Trial Balance'!L303</f>
        <v>68300</v>
      </c>
    </row>
    <row r="118" spans="1:2" ht="15" customHeight="1">
      <c r="A118" s="25" t="str">
        <f>'Trial Balance'!A304&amp;"-"&amp;'Trial Balance'!B304</f>
        <v>5120-Maintenance of Poles, Towers and Fixtures</v>
      </c>
      <c r="B118" s="339">
        <f>'Trial Balance'!L304</f>
        <v>39600</v>
      </c>
    </row>
    <row r="119" spans="1:2" ht="15" customHeight="1">
      <c r="A119" s="25" t="str">
        <f>'Trial Balance'!A305&amp;"-"&amp;'Trial Balance'!B305</f>
        <v>5125-Maintenance of Overhead Conductors and Devices</v>
      </c>
      <c r="B119" s="339">
        <f>'Trial Balance'!L305</f>
        <v>99100</v>
      </c>
    </row>
    <row r="120" spans="1:2" ht="15" customHeight="1">
      <c r="A120" s="25" t="str">
        <f>'Trial Balance'!A306&amp;"-"&amp;'Trial Balance'!B306</f>
        <v>5130-Maintenance of Overhead Services</v>
      </c>
      <c r="B120" s="339">
        <f>'Trial Balance'!L306</f>
        <v>49500</v>
      </c>
    </row>
    <row r="121" spans="1:2" ht="15" customHeight="1">
      <c r="A121" s="25" t="str">
        <f>'Trial Balance'!A307&amp;"-"&amp;'Trial Balance'!B307</f>
        <v>5135-Overhead Distribution Lines and Feeders - Right of Way</v>
      </c>
      <c r="B121" s="339">
        <f>'Trial Balance'!L307</f>
        <v>39600</v>
      </c>
    </row>
    <row r="122" spans="1:2" ht="15" customHeight="1">
      <c r="A122" s="25" t="str">
        <f>'Trial Balance'!A308&amp;"-"&amp;'Trial Balance'!B308</f>
        <v>5145-Maintenance of Underground Conduit</v>
      </c>
      <c r="B122" s="339">
        <f>'Trial Balance'!L308</f>
        <v>2000</v>
      </c>
    </row>
    <row r="123" spans="1:2" ht="15" customHeight="1">
      <c r="A123" s="25" t="str">
        <f>'Trial Balance'!A309&amp;"-"&amp;'Trial Balance'!B309</f>
        <v>5150-Maintenance of Underground Conductors and Devices</v>
      </c>
      <c r="B123" s="339">
        <f>'Trial Balance'!L309</f>
        <v>7100</v>
      </c>
    </row>
    <row r="124" spans="1:2" ht="15" customHeight="1">
      <c r="A124" s="25" t="str">
        <f>'Trial Balance'!A310&amp;"-"&amp;'Trial Balance'!B310</f>
        <v>5155-Maintenance of Underground Services</v>
      </c>
      <c r="B124" s="339">
        <f>'Trial Balance'!L310</f>
        <v>21600</v>
      </c>
    </row>
    <row r="125" spans="1:2" ht="15" customHeight="1">
      <c r="A125" s="25" t="str">
        <f>'Trial Balance'!A311&amp;"-"&amp;'Trial Balance'!B311</f>
        <v>5160-Maintenance of Line Transformers</v>
      </c>
      <c r="B125" s="339">
        <f>'Trial Balance'!L311</f>
        <v>49500</v>
      </c>
    </row>
    <row r="126" spans="1:2" ht="15" customHeight="1">
      <c r="A126" s="25" t="str">
        <f>'Trial Balance'!A312&amp;"-"&amp;'Trial Balance'!B312</f>
        <v>5165-Maintenance of Street Lighting and Signal Systems</v>
      </c>
      <c r="B126" s="339">
        <f>'Trial Balance'!L312</f>
        <v>0</v>
      </c>
    </row>
    <row r="127" spans="1:2" ht="15" customHeight="1">
      <c r="A127" s="25" t="str">
        <f>'Trial Balance'!A313&amp;"-"&amp;'Trial Balance'!B313</f>
        <v>5170-Sentinel Lights - Labour</v>
      </c>
      <c r="B127" s="339">
        <f>'Trial Balance'!L313</f>
        <v>0</v>
      </c>
    </row>
    <row r="128" spans="1:2" ht="15" customHeight="1">
      <c r="A128" s="25" t="str">
        <f>'Trial Balance'!A314&amp;"-"&amp;'Trial Balance'!B314</f>
        <v>5172-Sentinel Lights - Materials and Expenses</v>
      </c>
      <c r="B128" s="339">
        <f>'Trial Balance'!L314</f>
        <v>0</v>
      </c>
    </row>
    <row r="129" spans="1:2" ht="15" customHeight="1">
      <c r="A129" s="25" t="str">
        <f>'Trial Balance'!A315&amp;"-"&amp;'Trial Balance'!B315</f>
        <v>5175-Maintenance of Meters</v>
      </c>
      <c r="B129" s="339">
        <f>'Trial Balance'!L315</f>
        <v>19200</v>
      </c>
    </row>
    <row r="130" spans="1:2" ht="15" customHeight="1">
      <c r="A130" s="25" t="str">
        <f>'Trial Balance'!A316&amp;"-"&amp;'Trial Balance'!B316</f>
        <v>5178-Customer Installations Expenses - Leased Property</v>
      </c>
      <c r="B130" s="339">
        <f>'Trial Balance'!L316</f>
        <v>0</v>
      </c>
    </row>
    <row r="131" spans="1:2" ht="15" customHeight="1" thickBot="1">
      <c r="A131" s="25" t="str">
        <f>'Trial Balance'!A317&amp;"-"&amp;'Trial Balance'!B317</f>
        <v>5195-Maintenance of Other Installations on Customer Premises</v>
      </c>
      <c r="B131" s="339">
        <f>'Trial Balance'!L317</f>
        <v>0</v>
      </c>
    </row>
    <row r="132" spans="1:2" ht="15" customHeight="1" thickBot="1">
      <c r="A132" s="30" t="s">
        <v>88</v>
      </c>
      <c r="B132" s="341">
        <f>SUM(B114:B131)</f>
        <v>395500</v>
      </c>
    </row>
    <row r="133" spans="1:2" s="18" customFormat="1" ht="15" customHeight="1">
      <c r="A133" s="538"/>
      <c r="B133" s="539"/>
    </row>
    <row r="134" spans="1:2" s="18" customFormat="1" ht="15" customHeight="1">
      <c r="A134" s="540" t="s">
        <v>89</v>
      </c>
      <c r="B134" s="541"/>
    </row>
    <row r="135" spans="1:2" ht="15" customHeight="1">
      <c r="A135" s="25" t="str">
        <f>'Trial Balance'!A323&amp;"-"&amp;'Trial Balance'!B323</f>
        <v>5305-Supervision</v>
      </c>
      <c r="B135" s="339">
        <f>'Trial Balance'!L323</f>
        <v>0</v>
      </c>
    </row>
    <row r="136" spans="1:2" ht="15" customHeight="1">
      <c r="A136" s="25" t="str">
        <f>'Trial Balance'!A324&amp;"-"&amp;'Trial Balance'!B324</f>
        <v>5310-Meter Reading Expense</v>
      </c>
      <c r="B136" s="339">
        <f>'Trial Balance'!L324</f>
        <v>31600</v>
      </c>
    </row>
    <row r="137" spans="1:2" ht="15" customHeight="1">
      <c r="A137" s="25" t="str">
        <f>'Trial Balance'!A325&amp;"-"&amp;'Trial Balance'!B325</f>
        <v>5315-Customer Billing</v>
      </c>
      <c r="B137" s="339">
        <f>'Trial Balance'!L325</f>
        <v>269600</v>
      </c>
    </row>
    <row r="138" spans="1:2" ht="15" customHeight="1">
      <c r="A138" s="25" t="str">
        <f>'Trial Balance'!A326&amp;"-"&amp;'Trial Balance'!B326</f>
        <v>5320-Collecting</v>
      </c>
      <c r="B138" s="339">
        <f>'Trial Balance'!L326</f>
        <v>35700</v>
      </c>
    </row>
    <row r="139" spans="1:2" ht="15" customHeight="1">
      <c r="A139" s="25" t="str">
        <f>'Trial Balance'!A327&amp;"-"&amp;'Trial Balance'!B327</f>
        <v>5325-Collecting - Cash Over and Short</v>
      </c>
      <c r="B139" s="339">
        <f>'Trial Balance'!L327</f>
        <v>0</v>
      </c>
    </row>
    <row r="140" spans="1:2" ht="15" customHeight="1">
      <c r="A140" s="25" t="str">
        <f>'Trial Balance'!A328&amp;"-"&amp;'Trial Balance'!B328</f>
        <v>5330-Collection Charges</v>
      </c>
      <c r="B140" s="339">
        <f>'Trial Balance'!L328</f>
        <v>0</v>
      </c>
    </row>
    <row r="141" spans="1:2" ht="15" customHeight="1">
      <c r="A141" s="25" t="str">
        <f>'Trial Balance'!A329&amp;"-"&amp;'Trial Balance'!B329</f>
        <v>5335-Bad Debt Expense</v>
      </c>
      <c r="B141" s="339">
        <f>'Trial Balance'!L329</f>
        <v>39600</v>
      </c>
    </row>
    <row r="142" spans="1:2" ht="15" customHeight="1" thickBot="1">
      <c r="A142" s="25" t="str">
        <f>'Trial Balance'!A330&amp;"-"&amp;'Trial Balance'!B330</f>
        <v>5340-Miscellaneous Customer Accounts Expenses</v>
      </c>
      <c r="B142" s="339">
        <f>'Trial Balance'!L330</f>
        <v>0</v>
      </c>
    </row>
    <row r="143" spans="1:2" ht="15" customHeight="1" thickBot="1">
      <c r="A143" s="30" t="s">
        <v>97</v>
      </c>
      <c r="B143" s="341">
        <f>SUM(B135:B142)</f>
        <v>376500</v>
      </c>
    </row>
    <row r="144" spans="1:2" s="18" customFormat="1" ht="15" customHeight="1">
      <c r="A144" s="538"/>
      <c r="B144" s="539"/>
    </row>
    <row r="145" spans="1:2" s="18" customFormat="1" ht="15" customHeight="1">
      <c r="A145" s="540" t="s">
        <v>98</v>
      </c>
      <c r="B145" s="541"/>
    </row>
    <row r="146" spans="1:2" ht="15" customHeight="1">
      <c r="A146" s="25" t="str">
        <f>'Trial Balance'!A332&amp;"-"&amp;'Trial Balance'!B332</f>
        <v>5405-Supervision</v>
      </c>
      <c r="B146" s="339">
        <f>'Trial Balance'!L332</f>
        <v>0</v>
      </c>
    </row>
    <row r="147" spans="1:2" ht="15" customHeight="1">
      <c r="A147" s="25" t="str">
        <f>'Trial Balance'!A333&amp;"-"&amp;'Trial Balance'!B333</f>
        <v>5410-Community Relations - Sundry</v>
      </c>
      <c r="B147" s="339">
        <f>'Trial Balance'!L333</f>
        <v>3400</v>
      </c>
    </row>
    <row r="148" spans="1:2" ht="15" customHeight="1">
      <c r="A148" s="25" t="str">
        <f>'Trial Balance'!A334&amp;"-"&amp;'Trial Balance'!B334</f>
        <v>5415-Energy Conservation</v>
      </c>
      <c r="B148" s="339">
        <f>'Trial Balance'!L334</f>
        <v>0</v>
      </c>
    </row>
    <row r="149" spans="1:2" ht="15" customHeight="1">
      <c r="A149" s="25" t="str">
        <f>'Trial Balance'!A335&amp;"-"&amp;'Trial Balance'!B335</f>
        <v>5420-Community Safety Program</v>
      </c>
      <c r="B149" s="339">
        <f>'Trial Balance'!L335</f>
        <v>0</v>
      </c>
    </row>
    <row r="150" spans="1:2" ht="15" customHeight="1" thickBot="1">
      <c r="A150" s="25" t="str">
        <f>'Trial Balance'!A336&amp;"-"&amp;'Trial Balance'!B336</f>
        <v>5425-Miscellaneous Customer Service and Informational Expenses</v>
      </c>
      <c r="B150" s="339">
        <f>'Trial Balance'!L336</f>
        <v>0</v>
      </c>
    </row>
    <row r="151" spans="1:2" ht="15" customHeight="1" thickBot="1">
      <c r="A151" s="30" t="s">
        <v>99</v>
      </c>
      <c r="B151" s="341">
        <f>SUM(B146:B150)</f>
        <v>3400</v>
      </c>
    </row>
    <row r="152" spans="1:2" s="18" customFormat="1" ht="15" customHeight="1">
      <c r="A152" s="538"/>
      <c r="B152" s="539"/>
    </row>
    <row r="153" spans="1:2" s="18" customFormat="1" ht="15" customHeight="1">
      <c r="A153" s="540" t="s">
        <v>100</v>
      </c>
      <c r="B153" s="541"/>
    </row>
    <row r="154" spans="1:2" ht="15" customHeight="1">
      <c r="A154" s="25" t="str">
        <f>'Trial Balance'!A343&amp;"-"&amp;'Trial Balance'!B343</f>
        <v>5605-Executive Salaries and Expenses</v>
      </c>
      <c r="B154" s="339">
        <f>'Trial Balance'!L343</f>
        <v>0</v>
      </c>
    </row>
    <row r="155" spans="1:2" ht="15" customHeight="1">
      <c r="A155" s="25" t="str">
        <f>'Trial Balance'!A344&amp;"-"&amp;'Trial Balance'!B344</f>
        <v>5610-Management Salaries and Expenses</v>
      </c>
      <c r="B155" s="339">
        <f>'Trial Balance'!L344</f>
        <v>0</v>
      </c>
    </row>
    <row r="156" spans="1:2" ht="15" customHeight="1">
      <c r="A156" s="25" t="str">
        <f>'Trial Balance'!A345&amp;"-"&amp;'Trial Balance'!B345</f>
        <v>5615-General Administrative Salaries and Expenses</v>
      </c>
      <c r="B156" s="339">
        <f>'Trial Balance'!L345</f>
        <v>357900</v>
      </c>
    </row>
    <row r="157" spans="1:2" ht="15" customHeight="1">
      <c r="A157" s="25" t="str">
        <f>'Trial Balance'!A346&amp;"-"&amp;'Trial Balance'!B346</f>
        <v>5620-Office Supplies and Expenses</v>
      </c>
      <c r="B157" s="339">
        <f>'Trial Balance'!L346</f>
        <v>9900</v>
      </c>
    </row>
    <row r="158" spans="1:2" ht="15" customHeight="1">
      <c r="A158" s="25" t="str">
        <f>'Trial Balance'!A347&amp;"-"&amp;'Trial Balance'!B347</f>
        <v>5625-Administrative Expense Transferred-Credit</v>
      </c>
      <c r="B158" s="339">
        <f>'Trial Balance'!L347</f>
        <v>26700</v>
      </c>
    </row>
    <row r="159" spans="1:2" ht="15" customHeight="1">
      <c r="A159" s="25" t="str">
        <f>'Trial Balance'!A348&amp;"-"&amp;'Trial Balance'!B348</f>
        <v>5630-Outside Services Employed</v>
      </c>
      <c r="B159" s="339">
        <f>'Trial Balance'!L348</f>
        <v>59500</v>
      </c>
    </row>
    <row r="160" spans="1:2" ht="15" customHeight="1">
      <c r="A160" s="25" t="str">
        <f>'Trial Balance'!A349&amp;"-"&amp;'Trial Balance'!B349</f>
        <v>5635-Property Insurance</v>
      </c>
      <c r="B160" s="339">
        <f>'Trial Balance'!L349</f>
        <v>40200</v>
      </c>
    </row>
    <row r="161" spans="1:2" ht="15" customHeight="1">
      <c r="A161" s="25" t="str">
        <f>'Trial Balance'!A350&amp;"-"&amp;'Trial Balance'!B350</f>
        <v>5640-Injuries and Damages</v>
      </c>
      <c r="B161" s="339">
        <f>'Trial Balance'!L350</f>
        <v>0</v>
      </c>
    </row>
    <row r="162" spans="1:2" ht="15" customHeight="1">
      <c r="A162" s="25" t="str">
        <f>'Trial Balance'!A351&amp;"-"&amp;'Trial Balance'!B351</f>
        <v>5645-Employee Pensions and Benefits</v>
      </c>
      <c r="B162" s="339">
        <f>'Trial Balance'!L351</f>
        <v>0</v>
      </c>
    </row>
    <row r="163" spans="1:2" ht="15" customHeight="1">
      <c r="A163" s="25" t="str">
        <f>'Trial Balance'!A352&amp;"-"&amp;'Trial Balance'!B352</f>
        <v>5650-Franchise Requirements</v>
      </c>
      <c r="B163" s="339">
        <f>'Trial Balance'!L352</f>
        <v>0</v>
      </c>
    </row>
    <row r="164" spans="1:2" ht="15" customHeight="1">
      <c r="A164" s="25" t="str">
        <f>'Trial Balance'!A353&amp;"-"&amp;'Trial Balance'!B353</f>
        <v>5655-Regulatory Expenses</v>
      </c>
      <c r="B164" s="339">
        <f>'Trial Balance'!L353</f>
        <v>118200</v>
      </c>
    </row>
    <row r="165" spans="1:2" ht="15" customHeight="1">
      <c r="A165" s="25" t="str">
        <f>'Trial Balance'!A354&amp;"-"&amp;'Trial Balance'!B354</f>
        <v>5660-General Advertising Expenses</v>
      </c>
      <c r="B165" s="339">
        <f>'Trial Balance'!L354</f>
        <v>0</v>
      </c>
    </row>
    <row r="166" spans="1:2" ht="15" customHeight="1">
      <c r="A166" s="25" t="str">
        <f>'Trial Balance'!A355&amp;"-"&amp;'Trial Balance'!B355</f>
        <v>5665-Miscellaneous Expenses</v>
      </c>
      <c r="B166" s="339">
        <f>'Trial Balance'!L355</f>
        <v>95400</v>
      </c>
    </row>
    <row r="167" spans="1:2" ht="15" customHeight="1">
      <c r="A167" s="25" t="str">
        <f>'Trial Balance'!A356&amp;"-"&amp;'Trial Balance'!B356</f>
        <v>5670-Rent  </v>
      </c>
      <c r="B167" s="339">
        <f>'Trial Balance'!L356</f>
        <v>7900</v>
      </c>
    </row>
    <row r="168" spans="1:2" ht="15" customHeight="1">
      <c r="A168" s="25" t="str">
        <f>'Trial Balance'!A357&amp;"-"&amp;'Trial Balance'!B357</f>
        <v>5675-Maintenance of General Plant</v>
      </c>
      <c r="B168" s="339">
        <f>'Trial Balance'!L357</f>
        <v>27700</v>
      </c>
    </row>
    <row r="169" spans="1:2" ht="15" customHeight="1">
      <c r="A169" s="25" t="str">
        <f>'Trial Balance'!A358&amp;"-"&amp;'Trial Balance'!B358</f>
        <v>5680-Electrical Safety Authority Fees</v>
      </c>
      <c r="B169" s="339">
        <f>'Trial Balance'!L358</f>
        <v>3200</v>
      </c>
    </row>
    <row r="170" spans="1:2" ht="15" customHeight="1">
      <c r="A170" s="25" t="str">
        <f>'Trial Balance'!A360&amp;"-"&amp;'Trial Balance'!B360</f>
        <v>5685-Independent Market Operator Fees and Penalties</v>
      </c>
      <c r="B170" s="339">
        <f>'Trial Balance'!L360</f>
        <v>0</v>
      </c>
    </row>
    <row r="171" spans="1:2" ht="15" customHeight="1" thickBot="1">
      <c r="A171" s="25" t="str">
        <f>'Trial Balance'!A361&amp;"-"&amp;'Trial Balance'!B361</f>
        <v>5695-OM&amp;A Contra Account</v>
      </c>
      <c r="B171" s="339">
        <f>'Trial Balance'!L361</f>
        <v>0</v>
      </c>
    </row>
    <row r="172" spans="1:2" ht="15" customHeight="1" thickBot="1">
      <c r="A172" s="30" t="s">
        <v>76</v>
      </c>
      <c r="B172" s="341">
        <f>SUM(B154:B171)</f>
        <v>746600</v>
      </c>
    </row>
    <row r="173" spans="1:2" s="18" customFormat="1" ht="15" customHeight="1">
      <c r="A173" s="538"/>
      <c r="B173" s="539"/>
    </row>
    <row r="174" spans="1:2" s="18" customFormat="1" ht="15" customHeight="1">
      <c r="A174" s="540" t="s">
        <v>77</v>
      </c>
      <c r="B174" s="541"/>
    </row>
    <row r="175" spans="1:2" s="18" customFormat="1" ht="15" customHeight="1">
      <c r="A175" s="25" t="str">
        <f>'Trial Balance'!A363&amp;"-"&amp;'Trial Balance'!B363</f>
        <v>5705-Amortization Expense - Property, Plant and Equipment</v>
      </c>
      <c r="B175" s="339">
        <f>'Trial Balance'!L363</f>
        <v>337176.76335881406</v>
      </c>
    </row>
    <row r="176" spans="1:2" s="18" customFormat="1" ht="15" customHeight="1">
      <c r="A176" s="25" t="str">
        <f>'Trial Balance'!A364&amp;"-"&amp;'Trial Balance'!B364</f>
        <v>5710-Amortization of Limited Term Electric Plant</v>
      </c>
      <c r="B176" s="339">
        <f>'Trial Balance'!L364</f>
        <v>0</v>
      </c>
    </row>
    <row r="177" spans="1:2" s="18" customFormat="1" ht="15" customHeight="1">
      <c r="A177" s="25" t="str">
        <f>'Trial Balance'!A365&amp;"-"&amp;'Trial Balance'!B365</f>
        <v>5715-Amortization of Intangibles and Other Electric Plant</v>
      </c>
      <c r="B177" s="339">
        <f>'Trial Balance'!L365</f>
        <v>0</v>
      </c>
    </row>
    <row r="178" spans="1:2" s="18" customFormat="1" ht="15" customHeight="1">
      <c r="A178" s="25" t="str">
        <f>'Trial Balance'!A366&amp;"-"&amp;'Trial Balance'!B366</f>
        <v>5720-Amortization of Electric Plant Acquisition Adjustments</v>
      </c>
      <c r="B178" s="339">
        <f>'Trial Balance'!L366</f>
        <v>0</v>
      </c>
    </row>
    <row r="179" spans="1:2" s="18" customFormat="1" ht="15" customHeight="1">
      <c r="A179" s="25" t="str">
        <f>'Trial Balance'!A367&amp;"-"&amp;'Trial Balance'!B367</f>
        <v>5725-Miscellaneous Amortization</v>
      </c>
      <c r="B179" s="339">
        <f>'Trial Balance'!L367</f>
        <v>0</v>
      </c>
    </row>
    <row r="180" spans="1:2" s="18" customFormat="1" ht="15" customHeight="1">
      <c r="A180" s="25" t="str">
        <f>'Trial Balance'!A368&amp;"-"&amp;'Trial Balance'!B368</f>
        <v>5730-Amortization of Unrecovered Plant and Regulatory Study Costs</v>
      </c>
      <c r="B180" s="339">
        <f>'Trial Balance'!L368</f>
        <v>0</v>
      </c>
    </row>
    <row r="181" spans="1:2" s="18" customFormat="1" ht="15" customHeight="1">
      <c r="A181" s="25" t="str">
        <f>'Trial Balance'!A369&amp;"-"&amp;'Trial Balance'!B369</f>
        <v>5735-Amortization of Deferred Development Costs</v>
      </c>
      <c r="B181" s="339">
        <f>'Trial Balance'!L369</f>
        <v>0</v>
      </c>
    </row>
    <row r="182" spans="1:2" ht="15" customHeight="1" thickBot="1">
      <c r="A182" s="25" t="str">
        <f>'Trial Balance'!A370&amp;"-"&amp;'Trial Balance'!B370</f>
        <v>5740-Amortization of Deferred Charges</v>
      </c>
      <c r="B182" s="339">
        <f>'Trial Balance'!L370</f>
        <v>0</v>
      </c>
    </row>
    <row r="183" spans="1:2" ht="15" customHeight="1" thickBot="1">
      <c r="A183" s="30" t="s">
        <v>78</v>
      </c>
      <c r="B183" s="341">
        <f>SUM(B175:B182)</f>
        <v>337176.76335881406</v>
      </c>
    </row>
    <row r="184" spans="1:2" s="18" customFormat="1" ht="15" customHeight="1">
      <c r="A184" s="538"/>
      <c r="B184" s="539"/>
    </row>
    <row r="185" spans="1:2" s="18" customFormat="1" ht="15" customHeight="1">
      <c r="A185" s="540" t="s">
        <v>79</v>
      </c>
      <c r="B185" s="541"/>
    </row>
    <row r="186" spans="1:2" ht="15" customHeight="1">
      <c r="A186" s="25" t="str">
        <f>'Trial Balance'!A372&amp;"-"&amp;'Trial Balance'!B372</f>
        <v>6005-Interest on Long Term Debt</v>
      </c>
      <c r="B186" s="339">
        <f>'Trial Balance'!L372</f>
        <v>0</v>
      </c>
    </row>
    <row r="187" spans="1:2" ht="15" customHeight="1">
      <c r="A187" s="25" t="str">
        <f>'Trial Balance'!A373&amp;"-"&amp;'Trial Balance'!B373</f>
        <v>6010-Amortization of Debt Discount and Expense</v>
      </c>
      <c r="B187" s="339">
        <f>'Trial Balance'!L373</f>
        <v>0</v>
      </c>
    </row>
    <row r="188" spans="1:2" ht="15" customHeight="1">
      <c r="A188" s="25" t="str">
        <f>'Trial Balance'!A374&amp;"-"&amp;'Trial Balance'!B374</f>
        <v>6015-Amortization of Premium on Debt-Credit</v>
      </c>
      <c r="B188" s="339">
        <f>'Trial Balance'!L374</f>
        <v>0</v>
      </c>
    </row>
    <row r="189" spans="1:2" ht="15" customHeight="1">
      <c r="A189" s="25" t="str">
        <f>'Trial Balance'!A375&amp;"-"&amp;'Trial Balance'!B375</f>
        <v>6020-Amortization of Loss on Reacquired Debt</v>
      </c>
      <c r="B189" s="339">
        <f>'Trial Balance'!L375</f>
        <v>0</v>
      </c>
    </row>
    <row r="190" spans="1:2" ht="15" customHeight="1">
      <c r="A190" s="25" t="str">
        <f>'Trial Balance'!A376&amp;"-"&amp;'Trial Balance'!B376</f>
        <v>6025-Amortization of Gain on Reacquired Debt-Credit</v>
      </c>
      <c r="B190" s="339">
        <f>'Trial Balance'!L376</f>
        <v>0</v>
      </c>
    </row>
    <row r="191" spans="1:2" ht="15" customHeight="1">
      <c r="A191" s="25" t="str">
        <f>'Trial Balance'!A377&amp;"-"&amp;'Trial Balance'!B377</f>
        <v>6030-Interest on Debt to Associated Companies</v>
      </c>
      <c r="B191" s="339">
        <f>'Trial Balance'!L377</f>
        <v>51303.844809</v>
      </c>
    </row>
    <row r="192" spans="1:2" ht="15" customHeight="1">
      <c r="A192" s="25" t="str">
        <f>'Trial Balance'!A378&amp;"-"&amp;'Trial Balance'!B378</f>
        <v>6035-Other Interest Expense</v>
      </c>
      <c r="B192" s="339">
        <f>'Trial Balance'!L378</f>
        <v>44988.98239999999</v>
      </c>
    </row>
    <row r="193" spans="1:2" ht="15" customHeight="1">
      <c r="A193" s="25" t="str">
        <f>'Trial Balance'!A379&amp;"-"&amp;'Trial Balance'!B379</f>
        <v>6040-Allowance for Borrowed Funds Used During Construction-Credit</v>
      </c>
      <c r="B193" s="339">
        <f>'Trial Balance'!L379</f>
        <v>0</v>
      </c>
    </row>
    <row r="194" spans="1:2" ht="15" customHeight="1">
      <c r="A194" s="25" t="str">
        <f>'Trial Balance'!A380&amp;"-"&amp;'Trial Balance'!B380</f>
        <v>6042-Allowance for Other Funds Used During Construction</v>
      </c>
      <c r="B194" s="339">
        <f>'Trial Balance'!L380</f>
        <v>0</v>
      </c>
    </row>
    <row r="195" spans="1:2" ht="15" customHeight="1" thickBot="1">
      <c r="A195" s="25" t="str">
        <f>'Trial Balance'!A381&amp;"-"&amp;'Trial Balance'!B381</f>
        <v>6045-Interest Expense on Capital Lease Obligations</v>
      </c>
      <c r="B195" s="339">
        <f>'Trial Balance'!L381</f>
        <v>0</v>
      </c>
    </row>
    <row r="196" spans="1:2" ht="15" customHeight="1" thickBot="1">
      <c r="A196" s="30" t="s">
        <v>521</v>
      </c>
      <c r="B196" s="341">
        <f>SUM(B186:B195)</f>
        <v>96292.827209</v>
      </c>
    </row>
    <row r="197" spans="1:2" s="18" customFormat="1" ht="15" customHeight="1">
      <c r="A197" s="538"/>
      <c r="B197" s="539"/>
    </row>
    <row r="198" spans="1:2" s="18" customFormat="1" ht="15" customHeight="1">
      <c r="A198" s="540" t="s">
        <v>522</v>
      </c>
      <c r="B198" s="541"/>
    </row>
    <row r="199" spans="1:2" ht="15" customHeight="1" thickBot="1">
      <c r="A199" s="25" t="str">
        <f>'Trial Balance'!A383&amp;"-"&amp;'Trial Balance'!B383</f>
        <v>6105-Taxes Other Than Income Taxes</v>
      </c>
      <c r="B199" s="339">
        <f>'Trial Balance'!L383</f>
        <v>23300</v>
      </c>
    </row>
    <row r="200" spans="1:2" ht="15" customHeight="1" thickBot="1">
      <c r="A200" s="30" t="s">
        <v>525</v>
      </c>
      <c r="B200" s="341">
        <f>SUM(B199)</f>
        <v>23300</v>
      </c>
    </row>
    <row r="201" spans="1:2" s="18" customFormat="1" ht="15" customHeight="1">
      <c r="A201" s="538"/>
      <c r="B201" s="539"/>
    </row>
    <row r="202" spans="1:2" s="18" customFormat="1" ht="15" customHeight="1">
      <c r="A202" s="540" t="s">
        <v>526</v>
      </c>
      <c r="B202" s="541"/>
    </row>
    <row r="203" spans="1:2" ht="15" customHeight="1">
      <c r="A203" s="25" t="str">
        <f>'Trial Balance'!A384&amp;"-"&amp;'Trial Balance'!B384</f>
        <v>6110-Income Taxes</v>
      </c>
      <c r="B203" s="339">
        <f>'Trial Balance'!L384</f>
        <v>36674.47101904824</v>
      </c>
    </row>
    <row r="204" spans="1:2" ht="15" customHeight="1" thickBot="1">
      <c r="A204" s="25" t="str">
        <f>'Trial Balance'!A385&amp;"-"&amp;'Trial Balance'!B385</f>
        <v>6115-Provision for Future Income Taxes</v>
      </c>
      <c r="B204" s="339">
        <f>'Trial Balance'!L385</f>
        <v>0</v>
      </c>
    </row>
    <row r="205" spans="1:2" ht="15" customHeight="1" thickBot="1">
      <c r="A205" s="30" t="s">
        <v>527</v>
      </c>
      <c r="B205" s="341">
        <f>SUM(B203:B204)</f>
        <v>36674.47101904824</v>
      </c>
    </row>
    <row r="206" spans="1:2" s="18" customFormat="1" ht="15" customHeight="1">
      <c r="A206" s="538"/>
      <c r="B206" s="539"/>
    </row>
    <row r="207" spans="1:2" s="18" customFormat="1" ht="15" customHeight="1">
      <c r="A207" s="540" t="s">
        <v>508</v>
      </c>
      <c r="B207" s="541"/>
    </row>
    <row r="208" spans="1:2" ht="15" customHeight="1">
      <c r="A208" s="25" t="str">
        <f>'Trial Balance'!A387&amp;"-"&amp;'Trial Balance'!B387</f>
        <v>6205-Donations</v>
      </c>
      <c r="B208" s="339">
        <f>'Trial Balance'!L387</f>
        <v>0</v>
      </c>
    </row>
    <row r="209" spans="1:2" ht="15" customHeight="1">
      <c r="A209" s="25" t="str">
        <f>'Trial Balance'!A388&amp;"-"&amp;'Trial Balance'!B388</f>
        <v>6210-Life Insurance</v>
      </c>
      <c r="B209" s="339">
        <f>'Trial Balance'!L388</f>
        <v>0</v>
      </c>
    </row>
    <row r="210" spans="1:2" ht="15" customHeight="1">
      <c r="A210" s="25" t="str">
        <f>'Trial Balance'!A389&amp;"-"&amp;'Trial Balance'!B389</f>
        <v>6215-Penalties</v>
      </c>
      <c r="B210" s="339">
        <f>'Trial Balance'!L389</f>
        <v>0</v>
      </c>
    </row>
    <row r="211" spans="1:7" ht="15" customHeight="1" thickBot="1">
      <c r="A211" s="25" t="str">
        <f>'Trial Balance'!A390&amp;"-"&amp;'Trial Balance'!B390</f>
        <v>6225-Other Deductions</v>
      </c>
      <c r="B211" s="339">
        <f>'Trial Balance'!L390</f>
        <v>0</v>
      </c>
      <c r="D211" s="10"/>
      <c r="E211" s="10"/>
      <c r="F211" s="10"/>
      <c r="G211" s="10"/>
    </row>
    <row r="212" spans="1:2" ht="15" customHeight="1" thickBot="1">
      <c r="A212" s="30" t="s">
        <v>509</v>
      </c>
      <c r="B212" s="341">
        <f>SUM(B208:B211)</f>
        <v>0</v>
      </c>
    </row>
    <row r="213" spans="1:7" s="10" customFormat="1" ht="15" customHeight="1" thickBot="1">
      <c r="A213" s="538"/>
      <c r="B213" s="539"/>
      <c r="D213"/>
      <c r="E213"/>
      <c r="F213"/>
      <c r="G213"/>
    </row>
    <row r="214" spans="1:2" ht="18.75" customHeight="1" thickBot="1">
      <c r="A214" s="31" t="s">
        <v>776</v>
      </c>
      <c r="B214" s="342">
        <f>B24+B31+B43+B66+B71+B85+B111+B132+B143+B151+B172+B183+B196+B200+B205+B212</f>
        <v>-317404.14693286095</v>
      </c>
    </row>
    <row r="215" spans="1:2" ht="15">
      <c r="A215" s="9"/>
      <c r="B215" s="343"/>
    </row>
    <row r="216" spans="1:2" ht="15">
      <c r="A216" s="9"/>
      <c r="B216" s="343"/>
    </row>
    <row r="217" spans="1:2" ht="15">
      <c r="A217" s="9" t="s">
        <v>865</v>
      </c>
      <c r="B217" s="343">
        <f>B214-B205</f>
        <v>-354078.6179519092</v>
      </c>
    </row>
    <row r="218" spans="1:2" ht="15">
      <c r="A218" s="9"/>
      <c r="B218" s="343"/>
    </row>
    <row r="219" spans="1:2" ht="15">
      <c r="A219" s="9"/>
      <c r="B219" s="343"/>
    </row>
    <row r="220" spans="1:2" ht="15">
      <c r="A220" s="9"/>
      <c r="B220" s="343"/>
    </row>
    <row r="221" spans="1:2" ht="15">
      <c r="A221" s="9"/>
      <c r="B221" s="343"/>
    </row>
    <row r="222" spans="1:2" ht="15">
      <c r="A222" s="9"/>
      <c r="B222" s="343"/>
    </row>
    <row r="223" spans="1:2" ht="15">
      <c r="A223" s="9"/>
      <c r="B223" s="343"/>
    </row>
    <row r="224" spans="1:2" ht="15">
      <c r="A224" s="9"/>
      <c r="B224" s="343"/>
    </row>
    <row r="225" spans="1:2" ht="15">
      <c r="A225" s="9"/>
      <c r="B225" s="343"/>
    </row>
    <row r="226" spans="1:2" ht="15">
      <c r="A226" s="9"/>
      <c r="B226" s="343"/>
    </row>
    <row r="227" spans="1:2" ht="15">
      <c r="A227" s="9"/>
      <c r="B227" s="343"/>
    </row>
    <row r="228" spans="1:2" ht="15">
      <c r="A228" s="9"/>
      <c r="B228" s="343"/>
    </row>
    <row r="229" spans="1:2" ht="15">
      <c r="A229" s="9"/>
      <c r="B229" s="343"/>
    </row>
    <row r="230" spans="1:2" ht="15">
      <c r="A230" s="9"/>
      <c r="B230" s="343"/>
    </row>
    <row r="231" spans="1:2" ht="15">
      <c r="A231" s="9"/>
      <c r="B231" s="343"/>
    </row>
    <row r="232" spans="1:2" ht="15">
      <c r="A232" s="9"/>
      <c r="B232" s="343"/>
    </row>
    <row r="233" spans="1:2" ht="15">
      <c r="A233" s="9"/>
      <c r="B233" s="343"/>
    </row>
    <row r="234" spans="1:2" ht="15">
      <c r="A234" s="9"/>
      <c r="B234" s="343"/>
    </row>
    <row r="235" spans="1:2" ht="15">
      <c r="A235" s="9"/>
      <c r="B235" s="343"/>
    </row>
    <row r="236" spans="1:2" ht="15">
      <c r="A236" s="9"/>
      <c r="B236" s="343"/>
    </row>
    <row r="237" spans="1:2" ht="15">
      <c r="A237" s="9"/>
      <c r="B237" s="343"/>
    </row>
    <row r="238" spans="1:2" ht="15">
      <c r="A238" s="9"/>
      <c r="B238" s="343"/>
    </row>
    <row r="239" spans="1:2" ht="15">
      <c r="A239" s="9"/>
      <c r="B239" s="343"/>
    </row>
    <row r="240" spans="1:2" ht="15">
      <c r="A240" s="9"/>
      <c r="B240" s="343"/>
    </row>
    <row r="241" spans="1:2" ht="15">
      <c r="A241" s="9"/>
      <c r="B241" s="343"/>
    </row>
    <row r="242" spans="1:2" ht="15">
      <c r="A242" s="9"/>
      <c r="B242" s="343"/>
    </row>
    <row r="243" spans="1:2" ht="15">
      <c r="A243" s="9"/>
      <c r="B243" s="343"/>
    </row>
    <row r="244" spans="1:2" ht="15">
      <c r="A244" s="9"/>
      <c r="B244" s="343"/>
    </row>
    <row r="245" spans="1:2" ht="15">
      <c r="A245" s="9"/>
      <c r="B245" s="343"/>
    </row>
    <row r="246" spans="1:2" ht="15">
      <c r="A246" s="9"/>
      <c r="B246" s="343"/>
    </row>
    <row r="247" spans="1:2" ht="15">
      <c r="A247" s="9"/>
      <c r="B247" s="343"/>
    </row>
    <row r="248" spans="1:2" ht="15">
      <c r="A248" s="9"/>
      <c r="B248" s="343"/>
    </row>
    <row r="249" spans="1:2" ht="15">
      <c r="A249" s="9"/>
      <c r="B249" s="343"/>
    </row>
    <row r="250" spans="1:2" ht="15">
      <c r="A250" s="9"/>
      <c r="B250" s="343"/>
    </row>
    <row r="251" spans="1:2" ht="15">
      <c r="A251" s="9"/>
      <c r="B251" s="343"/>
    </row>
    <row r="252" spans="1:2" ht="15">
      <c r="A252" s="9"/>
      <c r="B252" s="343"/>
    </row>
    <row r="253" spans="1:2" ht="15">
      <c r="A253" s="9"/>
      <c r="B253" s="343"/>
    </row>
    <row r="254" spans="1:2" ht="15">
      <c r="A254" s="9"/>
      <c r="B254" s="343"/>
    </row>
    <row r="255" spans="1:2" ht="15">
      <c r="A255" s="9"/>
      <c r="B255" s="343"/>
    </row>
    <row r="256" spans="1:2" ht="15">
      <c r="A256" s="9"/>
      <c r="B256" s="343"/>
    </row>
    <row r="257" spans="1:2" ht="15">
      <c r="A257" s="9"/>
      <c r="B257" s="343"/>
    </row>
    <row r="258" spans="1:2" ht="15">
      <c r="A258" s="9"/>
      <c r="B258" s="343"/>
    </row>
    <row r="259" spans="1:2" ht="15">
      <c r="A259" s="9"/>
      <c r="B259" s="343"/>
    </row>
    <row r="260" spans="1:2" ht="15">
      <c r="A260" s="9"/>
      <c r="B260" s="343"/>
    </row>
    <row r="261" spans="1:2" ht="15">
      <c r="A261" s="9"/>
      <c r="B261" s="343"/>
    </row>
    <row r="262" spans="1:2" ht="15">
      <c r="A262" s="9"/>
      <c r="B262" s="343"/>
    </row>
    <row r="263" spans="1:2" ht="15">
      <c r="A263" s="9"/>
      <c r="B263" s="343"/>
    </row>
    <row r="264" spans="1:2" ht="15">
      <c r="A264" s="9"/>
      <c r="B264" s="343"/>
    </row>
    <row r="265" spans="1:2" ht="15">
      <c r="A265" s="9"/>
      <c r="B265" s="343"/>
    </row>
    <row r="266" spans="1:2" ht="15">
      <c r="A266" s="9"/>
      <c r="B266" s="343"/>
    </row>
    <row r="267" spans="1:2" ht="15">
      <c r="A267" s="9"/>
      <c r="B267" s="343"/>
    </row>
    <row r="268" spans="1:2" ht="15">
      <c r="A268" s="9"/>
      <c r="B268" s="343"/>
    </row>
    <row r="269" spans="1:2" ht="15">
      <c r="A269" s="9"/>
      <c r="B269" s="343"/>
    </row>
    <row r="270" spans="1:2" ht="15">
      <c r="A270" s="9"/>
      <c r="B270" s="343"/>
    </row>
    <row r="271" spans="1:2" ht="15">
      <c r="A271" s="9"/>
      <c r="B271" s="343"/>
    </row>
    <row r="272" spans="1:2" ht="15">
      <c r="A272" s="9"/>
      <c r="B272" s="343"/>
    </row>
    <row r="273" spans="1:2" ht="15">
      <c r="A273" s="9"/>
      <c r="B273" s="343"/>
    </row>
    <row r="274" spans="1:2" ht="15">
      <c r="A274" s="9"/>
      <c r="B274" s="343"/>
    </row>
    <row r="275" spans="1:2" ht="15">
      <c r="A275" s="9"/>
      <c r="B275" s="343"/>
    </row>
    <row r="276" spans="1:2" ht="15">
      <c r="A276" s="9"/>
      <c r="B276" s="343"/>
    </row>
    <row r="277" spans="1:2" ht="15">
      <c r="A277" s="9"/>
      <c r="B277" s="343"/>
    </row>
    <row r="278" spans="1:2" ht="15">
      <c r="A278" s="9"/>
      <c r="B278" s="343"/>
    </row>
    <row r="279" spans="1:2" ht="15">
      <c r="A279" s="9"/>
      <c r="B279" s="343"/>
    </row>
    <row r="280" spans="1:2" ht="15">
      <c r="A280" s="9"/>
      <c r="B280" s="343"/>
    </row>
    <row r="281" spans="1:2" ht="15">
      <c r="A281" s="9"/>
      <c r="B281" s="343"/>
    </row>
    <row r="282" spans="1:2" ht="15">
      <c r="A282" s="9"/>
      <c r="B282" s="343"/>
    </row>
    <row r="283" spans="1:2" ht="15">
      <c r="A283" s="9"/>
      <c r="B283" s="343"/>
    </row>
    <row r="284" spans="1:2" ht="15">
      <c r="A284" s="9"/>
      <c r="B284" s="343"/>
    </row>
    <row r="285" spans="1:2" ht="15">
      <c r="A285" s="9"/>
      <c r="B285" s="343"/>
    </row>
    <row r="286" spans="1:2" ht="15">
      <c r="A286" s="9"/>
      <c r="B286" s="343"/>
    </row>
    <row r="287" spans="1:2" ht="15">
      <c r="A287" s="9"/>
      <c r="B287" s="343"/>
    </row>
    <row r="288" spans="1:2" ht="15">
      <c r="A288" s="9"/>
      <c r="B288" s="343"/>
    </row>
    <row r="289" spans="1:2" ht="15">
      <c r="A289" s="9"/>
      <c r="B289" s="343"/>
    </row>
    <row r="290" spans="1:2" ht="15">
      <c r="A290" s="9"/>
      <c r="B290" s="343"/>
    </row>
    <row r="291" spans="1:2" ht="15">
      <c r="A291" s="9"/>
      <c r="B291" s="343"/>
    </row>
    <row r="292" spans="1:2" ht="15">
      <c r="A292" s="9"/>
      <c r="B292" s="343"/>
    </row>
    <row r="293" spans="1:2" ht="15">
      <c r="A293" s="9"/>
      <c r="B293" s="343"/>
    </row>
    <row r="294" spans="1:2" ht="15">
      <c r="A294" s="9"/>
      <c r="B294" s="343"/>
    </row>
    <row r="295" spans="1:2" ht="15">
      <c r="A295" s="9"/>
      <c r="B295" s="343"/>
    </row>
    <row r="296" spans="1:2" ht="15">
      <c r="A296" s="9"/>
      <c r="B296" s="343"/>
    </row>
    <row r="297" spans="1:2" ht="15">
      <c r="A297" s="9"/>
      <c r="B297" s="343"/>
    </row>
    <row r="298" spans="1:2" ht="15">
      <c r="A298" s="9"/>
      <c r="B298" s="343"/>
    </row>
    <row r="299" spans="1:2" ht="15">
      <c r="A299" s="9"/>
      <c r="B299" s="343"/>
    </row>
    <row r="300" spans="1:2" ht="15">
      <c r="A300" s="9"/>
      <c r="B300" s="343"/>
    </row>
    <row r="301" spans="1:2" ht="15">
      <c r="A301" s="9"/>
      <c r="B301" s="343"/>
    </row>
    <row r="302" spans="1:2" ht="15">
      <c r="A302" s="9"/>
      <c r="B302" s="343"/>
    </row>
    <row r="303" spans="1:2" ht="15">
      <c r="A303" s="9"/>
      <c r="B303" s="343"/>
    </row>
    <row r="304" spans="1:2" ht="15">
      <c r="A304" s="9"/>
      <c r="B304" s="343"/>
    </row>
    <row r="305" spans="1:2" ht="15">
      <c r="A305" s="9"/>
      <c r="B305" s="343"/>
    </row>
    <row r="306" spans="1:2" ht="15">
      <c r="A306" s="9"/>
      <c r="B306" s="343"/>
    </row>
    <row r="307" spans="1:2" ht="15">
      <c r="A307" s="9"/>
      <c r="B307" s="343"/>
    </row>
    <row r="308" spans="1:2" ht="15">
      <c r="A308" s="9"/>
      <c r="B308" s="343"/>
    </row>
    <row r="309" spans="1:2" ht="15">
      <c r="A309" s="9"/>
      <c r="B309" s="343"/>
    </row>
    <row r="310" spans="1:2" ht="15">
      <c r="A310" s="9"/>
      <c r="B310" s="343"/>
    </row>
    <row r="311" spans="1:2" ht="15">
      <c r="A311" s="9"/>
      <c r="B311" s="343"/>
    </row>
    <row r="312" spans="1:2" ht="15">
      <c r="A312" s="9"/>
      <c r="B312" s="343"/>
    </row>
    <row r="313" spans="1:2" ht="15">
      <c r="A313" s="9"/>
      <c r="B313" s="343"/>
    </row>
    <row r="314" spans="1:2" ht="15">
      <c r="A314" s="9"/>
      <c r="B314" s="343"/>
    </row>
    <row r="315" spans="1:2" ht="15">
      <c r="A315" s="9"/>
      <c r="B315" s="343"/>
    </row>
    <row r="316" spans="1:2" ht="15">
      <c r="A316" s="9"/>
      <c r="B316" s="343"/>
    </row>
    <row r="317" spans="1:2" ht="15">
      <c r="A317" s="9"/>
      <c r="B317" s="343"/>
    </row>
    <row r="318" spans="1:2" ht="15">
      <c r="A318" s="9"/>
      <c r="B318" s="343"/>
    </row>
    <row r="319" spans="1:2" ht="15">
      <c r="A319" s="9"/>
      <c r="B319" s="343"/>
    </row>
    <row r="320" spans="1:2" ht="15">
      <c r="A320" s="9"/>
      <c r="B320" s="343"/>
    </row>
    <row r="321" spans="1:2" ht="15">
      <c r="A321" s="9"/>
      <c r="B321" s="343"/>
    </row>
    <row r="322" spans="1:2" ht="15">
      <c r="A322" s="9"/>
      <c r="B322" s="343"/>
    </row>
    <row r="323" spans="1:2" ht="15">
      <c r="A323" s="9"/>
      <c r="B323" s="343"/>
    </row>
    <row r="324" spans="1:2" ht="15">
      <c r="A324" s="9"/>
      <c r="B324" s="343"/>
    </row>
    <row r="325" spans="1:2" ht="15">
      <c r="A325" s="9"/>
      <c r="B325" s="343"/>
    </row>
    <row r="326" spans="1:2" ht="15">
      <c r="A326" s="9"/>
      <c r="B326" s="343"/>
    </row>
    <row r="327" spans="1:2" ht="15">
      <c r="A327" s="9"/>
      <c r="B327" s="343"/>
    </row>
    <row r="328" spans="1:2" ht="15">
      <c r="A328" s="9"/>
      <c r="B328" s="343"/>
    </row>
    <row r="329" spans="1:2" ht="15">
      <c r="A329" s="9"/>
      <c r="B329" s="343"/>
    </row>
    <row r="330" spans="1:2" ht="15">
      <c r="A330" s="9"/>
      <c r="B330" s="343"/>
    </row>
  </sheetData>
  <sheetProtection/>
  <mergeCells count="36">
    <mergeCell ref="A213:B213"/>
    <mergeCell ref="A201:B201"/>
    <mergeCell ref="A202:B202"/>
    <mergeCell ref="A206:B206"/>
    <mergeCell ref="A207:B207"/>
    <mergeCell ref="A184:B184"/>
    <mergeCell ref="A185:B185"/>
    <mergeCell ref="A197:B197"/>
    <mergeCell ref="A198:B198"/>
    <mergeCell ref="A113:B113"/>
    <mergeCell ref="A152:B152"/>
    <mergeCell ref="A173:B173"/>
    <mergeCell ref="A174:B174"/>
    <mergeCell ref="A145:B145"/>
    <mergeCell ref="A134:B134"/>
    <mergeCell ref="A153:B153"/>
    <mergeCell ref="A133:B133"/>
    <mergeCell ref="A144:B144"/>
    <mergeCell ref="A73:B73"/>
    <mergeCell ref="A86:B86"/>
    <mergeCell ref="A87:B87"/>
    <mergeCell ref="A112:B112"/>
    <mergeCell ref="A25:B25"/>
    <mergeCell ref="A26:B26"/>
    <mergeCell ref="A32:B32"/>
    <mergeCell ref="A33:B33"/>
    <mergeCell ref="A44:B44"/>
    <mergeCell ref="A67:B67"/>
    <mergeCell ref="A1:B1"/>
    <mergeCell ref="A2:B2"/>
    <mergeCell ref="A68:B68"/>
    <mergeCell ref="A72:B72"/>
    <mergeCell ref="A45:B45"/>
    <mergeCell ref="A3:B3"/>
    <mergeCell ref="A4:B4"/>
    <mergeCell ref="A6:B6"/>
  </mergeCells>
  <printOptions/>
  <pageMargins left="0.7480314960629921" right="0.7480314960629921" top="0.984251968503937" bottom="0.984251968503937" header="0.5118110236220472" footer="0.5118110236220472"/>
  <pageSetup fitToHeight="4" fitToWidth="1" horizontalDpi="355" verticalDpi="355" orientation="portrait" scale="79" r:id="rId1"/>
  <headerFooter alignWithMargins="0">
    <oddFooter>&amp;L&amp;A</oddFooter>
  </headerFooter>
  <rowBreaks count="5" manualBreakCount="5">
    <brk id="44" max="255" man="1"/>
    <brk id="86" max="255" man="1"/>
    <brk id="112" max="255" man="1"/>
    <brk id="152" max="255" man="1"/>
    <brk id="18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="90" zoomScaleNormal="90" zoomScalePageLayoutView="0" workbookViewId="0" topLeftCell="N1">
      <selection activeCell="T13" sqref="T13"/>
    </sheetView>
  </sheetViews>
  <sheetFormatPr defaultColWidth="9.140625" defaultRowHeight="12.75"/>
  <cols>
    <col min="1" max="1" width="1.28515625" style="0" customWidth="1"/>
    <col min="2" max="2" width="1.1484375" style="0" customWidth="1"/>
    <col min="3" max="3" width="24.57421875" style="0" customWidth="1"/>
    <col min="4" max="4" width="16.8515625" style="0" customWidth="1"/>
    <col min="5" max="5" width="15.7109375" style="0" customWidth="1"/>
    <col min="6" max="7" width="0.9921875" style="0" customWidth="1"/>
    <col min="8" max="8" width="1.28515625" style="0" customWidth="1"/>
    <col min="9" max="9" width="19.8515625" style="0" customWidth="1"/>
    <col min="10" max="10" width="15.421875" style="0" customWidth="1"/>
    <col min="11" max="11" width="15.28125" style="0" customWidth="1"/>
    <col min="12" max="12" width="1.1484375" style="0" customWidth="1"/>
    <col min="13" max="13" width="0.85546875" style="0" customWidth="1"/>
    <col min="14" max="14" width="0.9921875" style="0" customWidth="1"/>
    <col min="15" max="15" width="15.421875" style="0" bestFit="1" customWidth="1"/>
    <col min="16" max="16" width="17.57421875" style="0" customWidth="1"/>
    <col min="17" max="17" width="13.8515625" style="0" customWidth="1"/>
    <col min="18" max="18" width="1.1484375" style="0" customWidth="1"/>
    <col min="19" max="19" width="0.85546875" style="0" customWidth="1"/>
    <col min="20" max="20" width="0.9921875" style="0" customWidth="1"/>
    <col min="21" max="21" width="16.28125" style="0" customWidth="1"/>
    <col min="22" max="22" width="18.421875" style="0" customWidth="1"/>
    <col min="23" max="23" width="13.421875" style="0" customWidth="1"/>
    <col min="24" max="24" width="0.85546875" style="0" customWidth="1"/>
    <col min="25" max="25" width="0.9921875" style="0" customWidth="1"/>
    <col min="26" max="26" width="0.85546875" style="0" customWidth="1"/>
    <col min="27" max="27" width="0.9921875" style="0" customWidth="1"/>
    <col min="28" max="28" width="16.28125" style="0" customWidth="1"/>
    <col min="29" max="29" width="18.28125" style="0" customWidth="1"/>
    <col min="30" max="30" width="13.7109375" style="0" customWidth="1"/>
    <col min="31" max="31" width="0.85546875" style="0" customWidth="1"/>
    <col min="32" max="32" width="1.1484375" style="0" customWidth="1"/>
    <col min="33" max="33" width="6.140625" style="0" bestFit="1" customWidth="1"/>
    <col min="34" max="34" width="17.8515625" style="0" customWidth="1"/>
    <col min="35" max="35" width="20.00390625" style="0" customWidth="1"/>
    <col min="36" max="36" width="1.28515625" style="0" customWidth="1"/>
  </cols>
  <sheetData>
    <row r="1" spans="1:36" ht="12.75">
      <c r="A1" s="573" t="str">
        <f>'Trial Balance'!A1:F1</f>
        <v>Rideau St. Lawrence Distribution Inc.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254"/>
      <c r="T1" s="254"/>
      <c r="U1" s="254"/>
      <c r="V1" s="254"/>
      <c r="W1" s="256"/>
      <c r="X1" s="256"/>
      <c r="Y1" s="257"/>
      <c r="Z1" s="254"/>
      <c r="AA1" s="254"/>
      <c r="AB1" s="254"/>
      <c r="AC1" s="254"/>
      <c r="AD1" s="256"/>
      <c r="AE1" s="256"/>
      <c r="AF1" s="257"/>
      <c r="AG1" s="257"/>
      <c r="AH1" s="257"/>
      <c r="AI1" s="257"/>
      <c r="AJ1" s="257"/>
    </row>
    <row r="2" spans="1:36" ht="12.75">
      <c r="A2" s="573" t="str">
        <f>'Trial Balance'!A2:F2</f>
        <v> License Number ED-2003-0003, File Number EB-2011-0274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254"/>
      <c r="T2" s="254"/>
      <c r="U2" s="254"/>
      <c r="V2" s="254"/>
      <c r="W2" s="256"/>
      <c r="X2" s="256"/>
      <c r="Y2" s="257"/>
      <c r="Z2" s="254"/>
      <c r="AA2" s="254"/>
      <c r="AB2" s="254"/>
      <c r="AC2" s="254"/>
      <c r="AD2" s="256"/>
      <c r="AE2" s="256"/>
      <c r="AF2" s="257"/>
      <c r="AG2" s="257"/>
      <c r="AH2" s="257"/>
      <c r="AI2" s="257"/>
      <c r="AJ2" s="257"/>
    </row>
    <row r="3" spans="2:31" ht="23.25" customHeight="1">
      <c r="B3" s="572" t="s">
        <v>219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253"/>
      <c r="T3" s="253"/>
      <c r="U3" s="253"/>
      <c r="V3" s="253"/>
      <c r="W3" s="253"/>
      <c r="X3" s="253"/>
      <c r="Z3" s="253"/>
      <c r="AA3" s="253"/>
      <c r="AB3" s="253"/>
      <c r="AC3" s="253"/>
      <c r="AD3" s="253"/>
      <c r="AE3" s="253"/>
    </row>
    <row r="4" ht="16.5" customHeight="1" thickBot="1"/>
    <row r="5" spans="2:31" ht="5.25" customHeight="1">
      <c r="B5" s="35"/>
      <c r="C5" s="36"/>
      <c r="D5" s="36"/>
      <c r="E5" s="36"/>
      <c r="F5" s="37"/>
      <c r="G5" s="48"/>
      <c r="H5" s="35"/>
      <c r="I5" s="36"/>
      <c r="J5" s="36"/>
      <c r="K5" s="36"/>
      <c r="L5" s="37"/>
      <c r="M5" s="48"/>
      <c r="N5" s="35"/>
      <c r="O5" s="36"/>
      <c r="P5" s="36"/>
      <c r="Q5" s="36"/>
      <c r="R5" s="37"/>
      <c r="S5" s="48"/>
      <c r="T5" s="35"/>
      <c r="U5" s="36"/>
      <c r="V5" s="36"/>
      <c r="W5" s="36"/>
      <c r="X5" s="37"/>
      <c r="Z5" s="48"/>
      <c r="AA5" s="35"/>
      <c r="AB5" s="36"/>
      <c r="AC5" s="36"/>
      <c r="AD5" s="36"/>
      <c r="AE5" s="37"/>
    </row>
    <row r="6" spans="2:33" ht="15" customHeight="1">
      <c r="B6" s="38"/>
      <c r="C6" s="568">
        <v>2008</v>
      </c>
      <c r="D6" s="568"/>
      <c r="E6" s="568"/>
      <c r="F6" s="47"/>
      <c r="G6" s="48"/>
      <c r="H6" s="38"/>
      <c r="I6" s="568">
        <v>2009</v>
      </c>
      <c r="J6" s="568"/>
      <c r="K6" s="568"/>
      <c r="L6" s="47"/>
      <c r="M6" s="48"/>
      <c r="N6" s="38"/>
      <c r="O6" s="568">
        <v>2010</v>
      </c>
      <c r="P6" s="568"/>
      <c r="Q6" s="568"/>
      <c r="R6" s="47"/>
      <c r="S6" s="48"/>
      <c r="T6" s="38"/>
      <c r="U6" s="568">
        <v>2011</v>
      </c>
      <c r="V6" s="568"/>
      <c r="W6" s="568"/>
      <c r="X6" s="47"/>
      <c r="Z6" s="48"/>
      <c r="AA6" s="38"/>
      <c r="AB6" s="568">
        <v>2012</v>
      </c>
      <c r="AC6" s="568"/>
      <c r="AD6" s="568"/>
      <c r="AE6" s="47"/>
      <c r="AG6" s="394"/>
    </row>
    <row r="7" spans="2:33" ht="12.75">
      <c r="B7" s="38"/>
      <c r="C7" s="453" t="s">
        <v>174</v>
      </c>
      <c r="D7" s="453" t="s">
        <v>172</v>
      </c>
      <c r="E7" s="453" t="s">
        <v>173</v>
      </c>
      <c r="F7" s="39"/>
      <c r="G7" s="10"/>
      <c r="H7" s="38"/>
      <c r="I7" s="65" t="s">
        <v>174</v>
      </c>
      <c r="J7" s="65" t="s">
        <v>172</v>
      </c>
      <c r="K7" s="65" t="s">
        <v>173</v>
      </c>
      <c r="L7" s="39"/>
      <c r="M7" s="10"/>
      <c r="N7" s="38"/>
      <c r="O7" s="65" t="s">
        <v>174</v>
      </c>
      <c r="P7" s="65" t="s">
        <v>172</v>
      </c>
      <c r="Q7" s="65" t="s">
        <v>173</v>
      </c>
      <c r="R7" s="39"/>
      <c r="S7" s="10"/>
      <c r="T7" s="38"/>
      <c r="U7" s="65" t="s">
        <v>174</v>
      </c>
      <c r="V7" s="65" t="s">
        <v>172</v>
      </c>
      <c r="W7" s="65" t="s">
        <v>173</v>
      </c>
      <c r="X7" s="39"/>
      <c r="Z7" s="10"/>
      <c r="AA7" s="38"/>
      <c r="AB7" s="65" t="s">
        <v>174</v>
      </c>
      <c r="AC7" s="65" t="s">
        <v>172</v>
      </c>
      <c r="AD7" s="65" t="s">
        <v>173</v>
      </c>
      <c r="AE7" s="39"/>
      <c r="AG7" s="394"/>
    </row>
    <row r="8" spans="2:33" ht="12.75">
      <c r="B8" s="38"/>
      <c r="C8" s="33" t="s">
        <v>169</v>
      </c>
      <c r="D8" s="66">
        <v>0.493</v>
      </c>
      <c r="E8" s="207">
        <f>'Debt &amp; Capital Structure'!M34</f>
        <v>0.0499</v>
      </c>
      <c r="F8" s="39"/>
      <c r="G8" s="10"/>
      <c r="H8" s="38"/>
      <c r="I8" s="33" t="s">
        <v>169</v>
      </c>
      <c r="J8" s="393">
        <v>0.527</v>
      </c>
      <c r="K8" s="45">
        <v>0.0499</v>
      </c>
      <c r="L8" s="39"/>
      <c r="M8" s="10"/>
      <c r="N8" s="38"/>
      <c r="O8" s="33" t="s">
        <v>169</v>
      </c>
      <c r="P8" s="66">
        <v>0.56</v>
      </c>
      <c r="Q8" s="45">
        <v>0.0499</v>
      </c>
      <c r="R8" s="39"/>
      <c r="S8" s="10"/>
      <c r="T8" s="38"/>
      <c r="U8" s="33" t="s">
        <v>169</v>
      </c>
      <c r="V8" s="66">
        <v>0.56</v>
      </c>
      <c r="W8" s="45">
        <v>0.0499</v>
      </c>
      <c r="X8" s="39"/>
      <c r="Z8" s="10"/>
      <c r="AA8" s="38"/>
      <c r="AB8" s="33" t="s">
        <v>169</v>
      </c>
      <c r="AC8" s="66">
        <v>0.56</v>
      </c>
      <c r="AD8" s="45">
        <f>'Debt &amp; Capital Structure'!M50</f>
        <v>0.037530818423339</v>
      </c>
      <c r="AE8" s="39"/>
      <c r="AG8" s="394"/>
    </row>
    <row r="9" spans="2:33" ht="12.75">
      <c r="B9" s="38"/>
      <c r="C9" s="44" t="s">
        <v>170</v>
      </c>
      <c r="D9" s="66">
        <v>0.04</v>
      </c>
      <c r="E9" s="66">
        <v>0.0447</v>
      </c>
      <c r="F9" s="39"/>
      <c r="G9" s="10"/>
      <c r="H9" s="38"/>
      <c r="I9" s="44" t="s">
        <v>170</v>
      </c>
      <c r="J9" s="66">
        <v>0.04</v>
      </c>
      <c r="K9" s="66">
        <v>0.0447</v>
      </c>
      <c r="L9" s="39"/>
      <c r="M9" s="10"/>
      <c r="N9" s="38"/>
      <c r="O9" s="44" t="s">
        <v>170</v>
      </c>
      <c r="P9" s="66">
        <v>0.04</v>
      </c>
      <c r="Q9" s="66">
        <v>0.0447</v>
      </c>
      <c r="R9" s="39"/>
      <c r="S9" s="10"/>
      <c r="T9" s="38"/>
      <c r="U9" s="44" t="s">
        <v>170</v>
      </c>
      <c r="V9" s="66">
        <v>0.04</v>
      </c>
      <c r="W9" s="66">
        <v>0.0447</v>
      </c>
      <c r="X9" s="39"/>
      <c r="Z9" s="10"/>
      <c r="AA9" s="38"/>
      <c r="AB9" s="44" t="s">
        <v>170</v>
      </c>
      <c r="AC9" s="66">
        <v>0.04</v>
      </c>
      <c r="AD9" s="66">
        <v>0.0208</v>
      </c>
      <c r="AE9" s="39"/>
      <c r="AG9" s="394"/>
    </row>
    <row r="10" spans="2:33" ht="13.5" thickBot="1">
      <c r="B10" s="38"/>
      <c r="C10" s="33" t="s">
        <v>167</v>
      </c>
      <c r="D10" s="66">
        <v>0.467</v>
      </c>
      <c r="E10" s="234">
        <v>0.0857</v>
      </c>
      <c r="F10" s="39"/>
      <c r="G10" s="10"/>
      <c r="H10" s="38"/>
      <c r="I10" s="33" t="s">
        <v>167</v>
      </c>
      <c r="J10" s="66">
        <v>0.433</v>
      </c>
      <c r="K10" s="234">
        <v>0.0857</v>
      </c>
      <c r="L10" s="39"/>
      <c r="M10" s="10"/>
      <c r="N10" s="38"/>
      <c r="O10" s="33" t="s">
        <v>167</v>
      </c>
      <c r="P10" s="66">
        <v>0.4</v>
      </c>
      <c r="Q10" s="234">
        <v>0.0857</v>
      </c>
      <c r="R10" s="39"/>
      <c r="S10" s="10"/>
      <c r="T10" s="38"/>
      <c r="U10" s="33" t="s">
        <v>167</v>
      </c>
      <c r="V10" s="66">
        <v>0.4</v>
      </c>
      <c r="W10" s="66">
        <v>0.0857</v>
      </c>
      <c r="X10" s="39"/>
      <c r="Z10" s="10"/>
      <c r="AA10" s="38"/>
      <c r="AB10" s="33" t="s">
        <v>167</v>
      </c>
      <c r="AC10" s="66">
        <v>0.4</v>
      </c>
      <c r="AD10" s="66">
        <v>0.0912</v>
      </c>
      <c r="AE10" s="39"/>
      <c r="AG10" s="394"/>
    </row>
    <row r="11" spans="2:33" ht="13.5" thickBot="1">
      <c r="B11" s="38"/>
      <c r="C11" s="570" t="s">
        <v>415</v>
      </c>
      <c r="D11" s="570"/>
      <c r="E11" s="199">
        <f>E8*(D8/(D8+D9))+E9*(D9/(D8+D9))</f>
        <v>0.04950975609756097</v>
      </c>
      <c r="F11" s="39"/>
      <c r="G11" s="10"/>
      <c r="H11" s="38"/>
      <c r="I11" s="570" t="s">
        <v>415</v>
      </c>
      <c r="J11" s="570"/>
      <c r="K11" s="199">
        <f>K8*(J8/(J8+J9))+K9*(J9/(J8+J9))</f>
        <v>0.04953315696649029</v>
      </c>
      <c r="L11" s="39"/>
      <c r="M11" s="10"/>
      <c r="N11" s="38"/>
      <c r="O11" s="574" t="s">
        <v>415</v>
      </c>
      <c r="P11" s="575"/>
      <c r="Q11" s="199">
        <f>Q8*(P8/(P8+P9))+Q9*(P9/(P8+P9))</f>
        <v>0.049553333333333324</v>
      </c>
      <c r="R11" s="39"/>
      <c r="S11" s="10"/>
      <c r="T11" s="38"/>
      <c r="U11" s="574" t="s">
        <v>415</v>
      </c>
      <c r="V11" s="575"/>
      <c r="W11" s="199">
        <f>W8*(V8/(V8+V9))+W9*(V9/(V8+V9))</f>
        <v>0.049553333333333324</v>
      </c>
      <c r="X11" s="39"/>
      <c r="Z11" s="10"/>
      <c r="AA11" s="38"/>
      <c r="AB11" s="574" t="s">
        <v>415</v>
      </c>
      <c r="AC11" s="575"/>
      <c r="AD11" s="199">
        <f>AD8*(AC8/(AC8+AC9))+AD9*(AC9/(AC8+AC9))</f>
        <v>0.036415430528449734</v>
      </c>
      <c r="AE11" s="39"/>
      <c r="AG11" s="394"/>
    </row>
    <row r="12" spans="2:33" ht="13.5" thickBot="1">
      <c r="B12" s="38"/>
      <c r="C12" s="570" t="s">
        <v>171</v>
      </c>
      <c r="D12" s="570"/>
      <c r="E12" s="46">
        <f>(D8*E8)+(D9*E9)+(D10*E10)</f>
        <v>0.0664106</v>
      </c>
      <c r="F12" s="40"/>
      <c r="G12" s="217"/>
      <c r="H12" s="38"/>
      <c r="I12" s="570" t="s">
        <v>171</v>
      </c>
      <c r="J12" s="570"/>
      <c r="K12" s="46">
        <f>(J8*K8)+(J9*K9)+(J10*K10)</f>
        <v>0.0651934</v>
      </c>
      <c r="L12" s="40"/>
      <c r="M12" s="217"/>
      <c r="N12" s="38"/>
      <c r="O12" s="570" t="s">
        <v>171</v>
      </c>
      <c r="P12" s="576"/>
      <c r="Q12" s="46">
        <f>(P8*Q8)+(P9*Q9)+(P10*Q10)</f>
        <v>0.064012</v>
      </c>
      <c r="R12" s="40"/>
      <c r="S12" s="217"/>
      <c r="T12" s="38"/>
      <c r="U12" s="570" t="s">
        <v>171</v>
      </c>
      <c r="V12" s="576"/>
      <c r="W12" s="46">
        <f>(V8*W8)+(V9*W9)+(V10*W10)</f>
        <v>0.064012</v>
      </c>
      <c r="X12" s="40"/>
      <c r="Z12" s="217"/>
      <c r="AA12" s="38"/>
      <c r="AB12" s="570" t="s">
        <v>171</v>
      </c>
      <c r="AC12" s="576"/>
      <c r="AD12" s="46">
        <f>(AC8*AD8)+(AC9*AD9)+(AC10*AD10)</f>
        <v>0.05832925831706985</v>
      </c>
      <c r="AE12" s="40"/>
      <c r="AG12" s="394"/>
    </row>
    <row r="13" spans="2:33" ht="6.75" customHeight="1" thickBot="1">
      <c r="B13" s="41"/>
      <c r="C13" s="42"/>
      <c r="D13" s="42"/>
      <c r="E13" s="42"/>
      <c r="F13" s="43"/>
      <c r="G13" s="48"/>
      <c r="H13" s="41"/>
      <c r="I13" s="42"/>
      <c r="J13" s="42"/>
      <c r="K13" s="42"/>
      <c r="L13" s="43"/>
      <c r="M13" s="48"/>
      <c r="N13" s="41"/>
      <c r="O13" s="42"/>
      <c r="P13" s="42"/>
      <c r="Q13" s="42"/>
      <c r="R13" s="43"/>
      <c r="S13" s="48"/>
      <c r="T13" s="41"/>
      <c r="U13" s="42"/>
      <c r="V13" s="42"/>
      <c r="W13" s="42"/>
      <c r="X13" s="43"/>
      <c r="Z13" s="48"/>
      <c r="AA13" s="41"/>
      <c r="AB13" s="42"/>
      <c r="AC13" s="42"/>
      <c r="AD13" s="42"/>
      <c r="AE13" s="43"/>
      <c r="AG13" s="394"/>
    </row>
    <row r="14" ht="13.5" thickBot="1">
      <c r="AG14" s="394"/>
    </row>
    <row r="15" spans="2:33" ht="6" customHeight="1">
      <c r="B15" s="35"/>
      <c r="C15" s="36"/>
      <c r="D15" s="36"/>
      <c r="E15" s="36"/>
      <c r="F15" s="37"/>
      <c r="G15" s="48"/>
      <c r="H15" s="35"/>
      <c r="I15" s="36"/>
      <c r="J15" s="36"/>
      <c r="K15" s="36"/>
      <c r="L15" s="37"/>
      <c r="M15" s="48"/>
      <c r="N15" s="35"/>
      <c r="O15" s="36"/>
      <c r="P15" s="36"/>
      <c r="Q15" s="36"/>
      <c r="R15" s="37"/>
      <c r="S15" s="48"/>
      <c r="T15" s="35"/>
      <c r="U15" s="36"/>
      <c r="V15" s="36"/>
      <c r="W15" s="36"/>
      <c r="X15" s="37"/>
      <c r="Z15" s="48"/>
      <c r="AA15" s="35"/>
      <c r="AB15" s="36"/>
      <c r="AC15" s="36"/>
      <c r="AD15" s="36"/>
      <c r="AE15" s="37"/>
      <c r="AG15" s="394"/>
    </row>
    <row r="16" spans="2:33" ht="15.75">
      <c r="B16" s="38"/>
      <c r="C16" s="567" t="s">
        <v>201</v>
      </c>
      <c r="D16" s="567"/>
      <c r="E16" s="567"/>
      <c r="F16" s="47"/>
      <c r="G16" s="48"/>
      <c r="H16" s="38"/>
      <c r="I16" s="567" t="s">
        <v>192</v>
      </c>
      <c r="J16" s="567"/>
      <c r="K16" s="567"/>
      <c r="L16" s="47"/>
      <c r="M16" s="48"/>
      <c r="N16" s="38"/>
      <c r="O16" s="577" t="s">
        <v>788</v>
      </c>
      <c r="P16" s="577"/>
      <c r="Q16" s="577"/>
      <c r="R16" s="47"/>
      <c r="S16" s="48"/>
      <c r="T16" s="38"/>
      <c r="U16" s="568" t="s">
        <v>805</v>
      </c>
      <c r="V16" s="568"/>
      <c r="W16" s="568"/>
      <c r="X16" s="47"/>
      <c r="Z16" s="48"/>
      <c r="AA16" s="38"/>
      <c r="AB16" s="568" t="s">
        <v>830</v>
      </c>
      <c r="AC16" s="568"/>
      <c r="AD16" s="568"/>
      <c r="AE16" s="47"/>
      <c r="AG16" s="394"/>
    </row>
    <row r="17" spans="2:31" ht="12.75">
      <c r="B17" s="38"/>
      <c r="C17" s="569" t="s">
        <v>175</v>
      </c>
      <c r="D17" s="569"/>
      <c r="E17" s="64" t="s">
        <v>176</v>
      </c>
      <c r="F17" s="47"/>
      <c r="G17" s="48"/>
      <c r="H17" s="38"/>
      <c r="I17" s="569" t="s">
        <v>175</v>
      </c>
      <c r="J17" s="569"/>
      <c r="K17" s="64"/>
      <c r="L17" s="47"/>
      <c r="M17" s="48"/>
      <c r="N17" s="38"/>
      <c r="O17" s="578" t="s">
        <v>175</v>
      </c>
      <c r="P17" s="579"/>
      <c r="Q17" s="64"/>
      <c r="R17" s="47"/>
      <c r="S17" s="48"/>
      <c r="T17" s="38"/>
      <c r="U17" s="578" t="s">
        <v>175</v>
      </c>
      <c r="V17" s="579"/>
      <c r="W17" s="64"/>
      <c r="X17" s="47"/>
      <c r="Z17" s="48"/>
      <c r="AA17" s="38"/>
      <c r="AB17" s="578" t="s">
        <v>175</v>
      </c>
      <c r="AC17" s="579"/>
      <c r="AD17" s="64"/>
      <c r="AE17" s="47"/>
    </row>
    <row r="18" spans="2:33" s="262" customFormat="1" ht="12.75">
      <c r="B18" s="260"/>
      <c r="C18" s="566" t="s">
        <v>157</v>
      </c>
      <c r="D18" s="566"/>
      <c r="E18" s="272">
        <f>'2008 Income Statement'!B111</f>
        <v>189497.52</v>
      </c>
      <c r="F18" s="261"/>
      <c r="G18" s="255"/>
      <c r="H18" s="260"/>
      <c r="I18" s="566" t="s">
        <v>157</v>
      </c>
      <c r="J18" s="566"/>
      <c r="K18" s="274">
        <f>'2009 Income Statement'!B111</f>
        <v>232774.02999999997</v>
      </c>
      <c r="L18" s="261"/>
      <c r="M18" s="255"/>
      <c r="N18" s="260"/>
      <c r="O18" s="547" t="s">
        <v>157</v>
      </c>
      <c r="P18" s="553"/>
      <c r="Q18" s="265">
        <f>'2010 Income Statement'!B112</f>
        <v>178302.21</v>
      </c>
      <c r="R18" s="261"/>
      <c r="S18" s="255"/>
      <c r="T18" s="260"/>
      <c r="U18" s="547" t="s">
        <v>157</v>
      </c>
      <c r="V18" s="553"/>
      <c r="W18" s="265">
        <f>'2011 Income Statement'!B111</f>
        <v>310045.43</v>
      </c>
      <c r="X18" s="261"/>
      <c r="Z18" s="255"/>
      <c r="AA18" s="260"/>
      <c r="AB18" s="547" t="s">
        <v>157</v>
      </c>
      <c r="AC18" s="553"/>
      <c r="AD18" s="265">
        <f>'2012 Income Statement'!B111</f>
        <v>298000</v>
      </c>
      <c r="AE18" s="261"/>
      <c r="AG18" s="394">
        <f>AD18/E18</f>
        <v>1.5725799472204176</v>
      </c>
    </row>
    <row r="19" spans="2:33" s="262" customFormat="1" ht="12.75">
      <c r="B19" s="260"/>
      <c r="C19" s="566" t="s">
        <v>183</v>
      </c>
      <c r="D19" s="566"/>
      <c r="E19" s="272">
        <f>'2008 Income Statement'!B132</f>
        <v>268547.73</v>
      </c>
      <c r="F19" s="261"/>
      <c r="G19" s="255"/>
      <c r="H19" s="260"/>
      <c r="I19" s="566" t="s">
        <v>183</v>
      </c>
      <c r="J19" s="566"/>
      <c r="K19" s="274">
        <f>'2009 Income Statement'!B132</f>
        <v>292592.31</v>
      </c>
      <c r="L19" s="261"/>
      <c r="M19" s="255"/>
      <c r="N19" s="260"/>
      <c r="O19" s="547" t="s">
        <v>183</v>
      </c>
      <c r="P19" s="553"/>
      <c r="Q19" s="265">
        <f>'2010 Income Statement'!B133</f>
        <v>346408.46</v>
      </c>
      <c r="R19" s="261"/>
      <c r="S19" s="255"/>
      <c r="T19" s="260"/>
      <c r="U19" s="547" t="s">
        <v>183</v>
      </c>
      <c r="V19" s="553"/>
      <c r="W19" s="265">
        <f>'2011 Income Statement'!B132</f>
        <v>401700</v>
      </c>
      <c r="X19" s="261"/>
      <c r="Z19" s="255"/>
      <c r="AA19" s="260"/>
      <c r="AB19" s="547" t="s">
        <v>183</v>
      </c>
      <c r="AC19" s="553"/>
      <c r="AD19" s="265">
        <f>'2012 Income Statement'!B132</f>
        <v>395500</v>
      </c>
      <c r="AE19" s="261"/>
      <c r="AG19" s="394">
        <f aca="true" t="shared" si="0" ref="AG19:AG25">AD19/E19</f>
        <v>1.4727363362929935</v>
      </c>
    </row>
    <row r="20" spans="2:33" s="262" customFormat="1" ht="12.75">
      <c r="B20" s="260"/>
      <c r="C20" s="566" t="s">
        <v>184</v>
      </c>
      <c r="D20" s="566"/>
      <c r="E20" s="272">
        <f>'2008 Income Statement'!B143</f>
        <v>395414.00000000006</v>
      </c>
      <c r="F20" s="261"/>
      <c r="G20" s="255"/>
      <c r="H20" s="260"/>
      <c r="I20" s="566" t="s">
        <v>184</v>
      </c>
      <c r="J20" s="566"/>
      <c r="K20" s="274">
        <f>'2009 Income Statement'!B143</f>
        <v>429850.54000000004</v>
      </c>
      <c r="L20" s="261"/>
      <c r="M20" s="255"/>
      <c r="N20" s="260"/>
      <c r="O20" s="547" t="s">
        <v>184</v>
      </c>
      <c r="P20" s="553"/>
      <c r="Q20" s="265">
        <f>'2010 Income Statement'!B144</f>
        <v>422655.49</v>
      </c>
      <c r="R20" s="261"/>
      <c r="S20" s="255"/>
      <c r="T20" s="260"/>
      <c r="U20" s="547" t="s">
        <v>184</v>
      </c>
      <c r="V20" s="553"/>
      <c r="W20" s="265">
        <f>'2011 Income Statement'!B143</f>
        <v>422000</v>
      </c>
      <c r="X20" s="261"/>
      <c r="Z20" s="255"/>
      <c r="AA20" s="260"/>
      <c r="AB20" s="547" t="s">
        <v>184</v>
      </c>
      <c r="AC20" s="553"/>
      <c r="AD20" s="265">
        <f>'2012 Income Statement'!B143</f>
        <v>376500</v>
      </c>
      <c r="AE20" s="261"/>
      <c r="AG20" s="394">
        <f t="shared" si="0"/>
        <v>0.9521665899538204</v>
      </c>
    </row>
    <row r="21" spans="2:33" s="262" customFormat="1" ht="12.75">
      <c r="B21" s="260"/>
      <c r="C21" s="566" t="s">
        <v>185</v>
      </c>
      <c r="D21" s="566"/>
      <c r="E21" s="272">
        <f>'2008 Income Statement'!B151</f>
        <v>485.87</v>
      </c>
      <c r="F21" s="261"/>
      <c r="G21" s="255"/>
      <c r="H21" s="260"/>
      <c r="I21" s="566" t="s">
        <v>185</v>
      </c>
      <c r="J21" s="566"/>
      <c r="K21" s="274">
        <f>'2009 Income Statement'!B151</f>
        <v>9219.77</v>
      </c>
      <c r="L21" s="261"/>
      <c r="M21" s="255"/>
      <c r="N21" s="260"/>
      <c r="O21" s="547" t="s">
        <v>185</v>
      </c>
      <c r="P21" s="553"/>
      <c r="Q21" s="265">
        <f>'2010 Income Statement'!B152</f>
        <v>450</v>
      </c>
      <c r="R21" s="261"/>
      <c r="S21" s="255"/>
      <c r="T21" s="260"/>
      <c r="U21" s="547" t="s">
        <v>185</v>
      </c>
      <c r="V21" s="553"/>
      <c r="W21" s="265">
        <f>'2011 Income Statement'!B151</f>
        <v>3500</v>
      </c>
      <c r="X21" s="261"/>
      <c r="Z21" s="255"/>
      <c r="AA21" s="260"/>
      <c r="AB21" s="547" t="s">
        <v>185</v>
      </c>
      <c r="AC21" s="553"/>
      <c r="AD21" s="265">
        <f>'2012 Income Statement'!B151</f>
        <v>3400</v>
      </c>
      <c r="AE21" s="261"/>
      <c r="AG21" s="394">
        <f t="shared" si="0"/>
        <v>6.997756601560088</v>
      </c>
    </row>
    <row r="22" spans="2:33" s="262" customFormat="1" ht="12.75">
      <c r="B22" s="260"/>
      <c r="C22" s="565" t="s">
        <v>186</v>
      </c>
      <c r="D22" s="565"/>
      <c r="E22" s="272">
        <f>'2008 Income Statement'!B172</f>
        <v>629125.3</v>
      </c>
      <c r="F22" s="261"/>
      <c r="G22" s="255"/>
      <c r="H22" s="260"/>
      <c r="I22" s="565" t="s">
        <v>186</v>
      </c>
      <c r="J22" s="565"/>
      <c r="K22" s="274">
        <f>'2009 Income Statement'!B172</f>
        <v>653416.03</v>
      </c>
      <c r="L22" s="261"/>
      <c r="M22" s="255"/>
      <c r="N22" s="260"/>
      <c r="O22" s="554" t="s">
        <v>186</v>
      </c>
      <c r="P22" s="555"/>
      <c r="Q22" s="265">
        <f>'2010 Income Statement'!B174</f>
        <v>695208.46</v>
      </c>
      <c r="R22" s="261"/>
      <c r="S22" s="255"/>
      <c r="T22" s="260"/>
      <c r="U22" s="554" t="s">
        <v>186</v>
      </c>
      <c r="V22" s="555"/>
      <c r="W22" s="265">
        <f>'2011 Income Statement'!B172</f>
        <v>669264</v>
      </c>
      <c r="X22" s="261"/>
      <c r="Z22" s="255"/>
      <c r="AA22" s="260"/>
      <c r="AB22" s="554" t="s">
        <v>186</v>
      </c>
      <c r="AC22" s="555"/>
      <c r="AD22" s="265">
        <f>'2012 Income Statement'!B172</f>
        <v>746600</v>
      </c>
      <c r="AE22" s="261"/>
      <c r="AG22" s="394">
        <f t="shared" si="0"/>
        <v>1.186727031960088</v>
      </c>
    </row>
    <row r="23" spans="2:33" s="262" customFormat="1" ht="12.75">
      <c r="B23" s="260"/>
      <c r="C23" s="565" t="s">
        <v>187</v>
      </c>
      <c r="D23" s="565"/>
      <c r="E23" s="272">
        <f>'2008 Income Statement'!B200</f>
        <v>21292.42</v>
      </c>
      <c r="F23" s="261"/>
      <c r="G23" s="255"/>
      <c r="H23" s="260"/>
      <c r="I23" s="565" t="s">
        <v>187</v>
      </c>
      <c r="J23" s="565"/>
      <c r="K23" s="265">
        <f>'2009 Income Statement'!B200</f>
        <v>20754.74</v>
      </c>
      <c r="L23" s="261"/>
      <c r="M23" s="255"/>
      <c r="N23" s="260"/>
      <c r="O23" s="554" t="s">
        <v>187</v>
      </c>
      <c r="P23" s="555"/>
      <c r="Q23" s="265">
        <f>'2010 Income Statement'!B202</f>
        <v>21558.3</v>
      </c>
      <c r="R23" s="261"/>
      <c r="S23" s="255"/>
      <c r="T23" s="260"/>
      <c r="U23" s="554" t="s">
        <v>187</v>
      </c>
      <c r="V23" s="555"/>
      <c r="W23" s="265">
        <f>'2011 Income Statement'!B200</f>
        <v>22400</v>
      </c>
      <c r="X23" s="261"/>
      <c r="Z23" s="255"/>
      <c r="AA23" s="260"/>
      <c r="AB23" s="554" t="s">
        <v>187</v>
      </c>
      <c r="AC23" s="555"/>
      <c r="AD23" s="265">
        <f>'2012 Income Statement'!B200</f>
        <v>23300</v>
      </c>
      <c r="AE23" s="261"/>
      <c r="AG23" s="394">
        <f t="shared" si="0"/>
        <v>1.094286135629487</v>
      </c>
    </row>
    <row r="24" spans="2:31" ht="12.75">
      <c r="B24" s="38"/>
      <c r="C24" s="556" t="s">
        <v>391</v>
      </c>
      <c r="D24" s="564"/>
      <c r="E24" s="200"/>
      <c r="F24" s="47"/>
      <c r="G24" s="48"/>
      <c r="H24" s="38"/>
      <c r="I24" s="556" t="s">
        <v>391</v>
      </c>
      <c r="J24" s="564"/>
      <c r="K24" s="200">
        <v>0</v>
      </c>
      <c r="L24" s="47"/>
      <c r="M24" s="48"/>
      <c r="N24" s="38"/>
      <c r="O24" s="556" t="s">
        <v>391</v>
      </c>
      <c r="P24" s="557"/>
      <c r="Q24" s="266">
        <v>0</v>
      </c>
      <c r="R24" s="47"/>
      <c r="S24" s="48"/>
      <c r="T24" s="38"/>
      <c r="U24" s="556" t="s">
        <v>391</v>
      </c>
      <c r="V24" s="557"/>
      <c r="W24" s="266"/>
      <c r="X24" s="47"/>
      <c r="Z24" s="48"/>
      <c r="AA24" s="38"/>
      <c r="AB24" s="556" t="s">
        <v>391</v>
      </c>
      <c r="AC24" s="557"/>
      <c r="AD24" s="266"/>
      <c r="AE24" s="47"/>
    </row>
    <row r="25" spans="2:33" s="262" customFormat="1" ht="12.75">
      <c r="B25" s="260"/>
      <c r="C25" s="558" t="s">
        <v>177</v>
      </c>
      <c r="D25" s="559"/>
      <c r="E25" s="267">
        <f>SUM(E18:E23)-E24</f>
        <v>1504362.8399999999</v>
      </c>
      <c r="F25" s="261"/>
      <c r="G25" s="255"/>
      <c r="H25" s="260"/>
      <c r="I25" s="558" t="s">
        <v>177</v>
      </c>
      <c r="J25" s="559"/>
      <c r="K25" s="267">
        <f>SUM(K18:K23)-K24</f>
        <v>1638607.4200000002</v>
      </c>
      <c r="L25" s="261"/>
      <c r="M25" s="255"/>
      <c r="N25" s="260"/>
      <c r="O25" s="558" t="s">
        <v>177</v>
      </c>
      <c r="P25" s="559"/>
      <c r="Q25" s="267">
        <f>SUM(Q18:Q23)-Q24</f>
        <v>1664582.9200000002</v>
      </c>
      <c r="R25" s="261"/>
      <c r="S25" s="255"/>
      <c r="T25" s="260"/>
      <c r="U25" s="558" t="s">
        <v>177</v>
      </c>
      <c r="V25" s="559"/>
      <c r="W25" s="267">
        <f>SUM(W18:W23)-W24</f>
        <v>1828909.43</v>
      </c>
      <c r="X25" s="261"/>
      <c r="Z25" s="255"/>
      <c r="AA25" s="260"/>
      <c r="AB25" s="558" t="s">
        <v>177</v>
      </c>
      <c r="AC25" s="559"/>
      <c r="AD25" s="267">
        <f>SUM(AD18:AD23)-AD24</f>
        <v>1843300</v>
      </c>
      <c r="AE25" s="261"/>
      <c r="AG25" s="394">
        <f t="shared" si="0"/>
        <v>1.2253027999548303</v>
      </c>
    </row>
    <row r="26" spans="2:33" s="262" customFormat="1" ht="12.75">
      <c r="B26" s="260"/>
      <c r="C26" s="560" t="s">
        <v>188</v>
      </c>
      <c r="D26" s="561"/>
      <c r="E26" s="265">
        <f>'2008 Income Statement'!B85</f>
        <v>8771341.09</v>
      </c>
      <c r="F26" s="261"/>
      <c r="G26" s="255"/>
      <c r="H26" s="260"/>
      <c r="I26" s="560" t="s">
        <v>188</v>
      </c>
      <c r="J26" s="561"/>
      <c r="K26" s="265">
        <f>'2009 Income Statement'!B85</f>
        <v>8978754.270000001</v>
      </c>
      <c r="L26" s="261"/>
      <c r="M26" s="255"/>
      <c r="N26" s="260"/>
      <c r="O26" s="560" t="s">
        <v>188</v>
      </c>
      <c r="P26" s="561"/>
      <c r="Q26" s="265">
        <f>'2010 Income Statement'!B86</f>
        <v>9131848.93</v>
      </c>
      <c r="R26" s="261"/>
      <c r="S26" s="255"/>
      <c r="T26" s="260"/>
      <c r="U26" s="560" t="s">
        <v>188</v>
      </c>
      <c r="V26" s="561"/>
      <c r="W26" s="265">
        <f>'2011 Income Statement'!B85</f>
        <v>9835044.964014731</v>
      </c>
      <c r="X26" s="261"/>
      <c r="Z26" s="255"/>
      <c r="AA26" s="260"/>
      <c r="AB26" s="560" t="s">
        <v>188</v>
      </c>
      <c r="AC26" s="561"/>
      <c r="AD26" s="265">
        <f>'2012 Income Statement'!B85</f>
        <v>10534594.200934574</v>
      </c>
      <c r="AE26" s="261"/>
      <c r="AG26" s="394">
        <f>AD26/E26</f>
        <v>1.2010243465443178</v>
      </c>
    </row>
    <row r="27" spans="2:31" s="262" customFormat="1" ht="12.75">
      <c r="B27" s="260"/>
      <c r="C27" s="562" t="s">
        <v>196</v>
      </c>
      <c r="D27" s="563"/>
      <c r="E27" s="265">
        <f>E25+E26</f>
        <v>10275703.93</v>
      </c>
      <c r="F27" s="261"/>
      <c r="G27" s="255"/>
      <c r="H27" s="260"/>
      <c r="I27" s="562" t="s">
        <v>196</v>
      </c>
      <c r="J27" s="563"/>
      <c r="K27" s="265">
        <f>K25+K26</f>
        <v>10617361.690000001</v>
      </c>
      <c r="L27" s="261"/>
      <c r="M27" s="255"/>
      <c r="N27" s="260"/>
      <c r="O27" s="562" t="s">
        <v>196</v>
      </c>
      <c r="P27" s="563"/>
      <c r="Q27" s="265">
        <f>Q25+Q26</f>
        <v>10796431.85</v>
      </c>
      <c r="R27" s="261"/>
      <c r="S27" s="255"/>
      <c r="T27" s="260"/>
      <c r="U27" s="562" t="s">
        <v>196</v>
      </c>
      <c r="V27" s="563"/>
      <c r="W27" s="265">
        <f>W25+W26</f>
        <v>11663954.394014731</v>
      </c>
      <c r="X27" s="261"/>
      <c r="Z27" s="255"/>
      <c r="AA27" s="260"/>
      <c r="AB27" s="562" t="s">
        <v>196</v>
      </c>
      <c r="AC27" s="563"/>
      <c r="AD27" s="265">
        <f>AD25+AD26</f>
        <v>12377894.200934574</v>
      </c>
      <c r="AE27" s="261"/>
    </row>
    <row r="28" spans="2:31" s="262" customFormat="1" ht="13.5" thickBot="1">
      <c r="B28" s="260"/>
      <c r="C28" s="562"/>
      <c r="D28" s="571"/>
      <c r="E28" s="546"/>
      <c r="F28" s="261"/>
      <c r="G28" s="255"/>
      <c r="H28" s="260"/>
      <c r="I28" s="562"/>
      <c r="J28" s="571"/>
      <c r="K28" s="546"/>
      <c r="L28" s="261"/>
      <c r="M28" s="255"/>
      <c r="N28" s="260"/>
      <c r="O28" s="544"/>
      <c r="P28" s="545"/>
      <c r="Q28" s="546"/>
      <c r="R28" s="261"/>
      <c r="S28" s="255"/>
      <c r="T28" s="260"/>
      <c r="U28" s="544"/>
      <c r="V28" s="545"/>
      <c r="W28" s="546"/>
      <c r="X28" s="261"/>
      <c r="Z28" s="255"/>
      <c r="AA28" s="260"/>
      <c r="AB28" s="544"/>
      <c r="AC28" s="545"/>
      <c r="AD28" s="546"/>
      <c r="AE28" s="261"/>
    </row>
    <row r="29" spans="2:31" s="262" customFormat="1" ht="13.5" thickBot="1">
      <c r="B29" s="260"/>
      <c r="C29" s="566" t="s">
        <v>197</v>
      </c>
      <c r="D29" s="547"/>
      <c r="E29" s="268">
        <f>E27*0.15</f>
        <v>1541355.5895</v>
      </c>
      <c r="F29" s="261"/>
      <c r="G29" s="255"/>
      <c r="H29" s="260"/>
      <c r="I29" s="566" t="s">
        <v>197</v>
      </c>
      <c r="J29" s="547"/>
      <c r="K29" s="268">
        <f>K27*0.15</f>
        <v>1592604.2535</v>
      </c>
      <c r="L29" s="261"/>
      <c r="M29" s="255"/>
      <c r="N29" s="260"/>
      <c r="O29" s="547" t="s">
        <v>197</v>
      </c>
      <c r="P29" s="548"/>
      <c r="Q29" s="268">
        <f>Q27*0.15</f>
        <v>1619464.7774999999</v>
      </c>
      <c r="R29" s="261"/>
      <c r="S29" s="255"/>
      <c r="T29" s="260"/>
      <c r="U29" s="547" t="s">
        <v>197</v>
      </c>
      <c r="V29" s="548"/>
      <c r="W29" s="268">
        <f>W27*0.15</f>
        <v>1749593.1591022096</v>
      </c>
      <c r="X29" s="261"/>
      <c r="Z29" s="255"/>
      <c r="AA29" s="260"/>
      <c r="AB29" s="547" t="s">
        <v>931</v>
      </c>
      <c r="AC29" s="548"/>
      <c r="AD29" s="268">
        <f>AD27*0.14</f>
        <v>1732905.1881308404</v>
      </c>
      <c r="AE29" s="261"/>
    </row>
    <row r="30" spans="2:31" ht="6.75" customHeight="1" thickBot="1">
      <c r="B30" s="41"/>
      <c r="C30" s="42"/>
      <c r="D30" s="42"/>
      <c r="E30" s="50"/>
      <c r="F30" s="43"/>
      <c r="G30" s="48"/>
      <c r="H30" s="41"/>
      <c r="I30" s="42"/>
      <c r="J30" s="42"/>
      <c r="K30" s="50"/>
      <c r="L30" s="43"/>
      <c r="M30" s="48"/>
      <c r="N30" s="41"/>
      <c r="O30" s="42"/>
      <c r="P30" s="42"/>
      <c r="Q30" s="50"/>
      <c r="R30" s="43"/>
      <c r="S30" s="48"/>
      <c r="T30" s="41"/>
      <c r="U30" s="42"/>
      <c r="V30" s="42"/>
      <c r="W30" s="50"/>
      <c r="X30" s="43"/>
      <c r="Z30" s="48"/>
      <c r="AA30" s="41"/>
      <c r="AB30" s="42"/>
      <c r="AC30" s="42"/>
      <c r="AD30" s="50"/>
      <c r="AE30" s="43"/>
    </row>
    <row r="31" ht="13.5" thickBot="1"/>
    <row r="32" spans="2:31" ht="7.5" customHeight="1">
      <c r="B32" s="35"/>
      <c r="C32" s="36"/>
      <c r="D32" s="36"/>
      <c r="E32" s="36"/>
      <c r="F32" s="37"/>
      <c r="G32" s="48"/>
      <c r="H32" s="35"/>
      <c r="I32" s="36"/>
      <c r="J32" s="36"/>
      <c r="K32" s="36"/>
      <c r="L32" s="37"/>
      <c r="M32" s="48"/>
      <c r="N32" s="35"/>
      <c r="O32" s="36"/>
      <c r="P32" s="36"/>
      <c r="Q32" s="36"/>
      <c r="R32" s="37"/>
      <c r="S32" s="48"/>
      <c r="T32" s="35"/>
      <c r="U32" s="36"/>
      <c r="V32" s="36"/>
      <c r="W32" s="36"/>
      <c r="X32" s="37"/>
      <c r="Z32" s="48"/>
      <c r="AA32" s="35"/>
      <c r="AB32" s="36"/>
      <c r="AC32" s="36"/>
      <c r="AD32" s="36"/>
      <c r="AE32" s="37"/>
    </row>
    <row r="33" spans="2:31" s="262" customFormat="1" ht="15.75">
      <c r="B33" s="260"/>
      <c r="C33" s="549" t="s">
        <v>244</v>
      </c>
      <c r="D33" s="549"/>
      <c r="E33" s="549"/>
      <c r="F33" s="261"/>
      <c r="G33" s="255"/>
      <c r="H33" s="260"/>
      <c r="I33" s="549" t="s">
        <v>193</v>
      </c>
      <c r="J33" s="549"/>
      <c r="K33" s="549"/>
      <c r="L33" s="261"/>
      <c r="M33" s="255"/>
      <c r="N33" s="260"/>
      <c r="O33" s="549" t="s">
        <v>789</v>
      </c>
      <c r="P33" s="549"/>
      <c r="Q33" s="549"/>
      <c r="R33" s="261"/>
      <c r="S33" s="255"/>
      <c r="T33" s="260"/>
      <c r="U33" s="549" t="s">
        <v>808</v>
      </c>
      <c r="V33" s="549"/>
      <c r="W33" s="549"/>
      <c r="X33" s="261"/>
      <c r="Z33" s="255"/>
      <c r="AA33" s="260"/>
      <c r="AB33" s="549" t="s">
        <v>831</v>
      </c>
      <c r="AC33" s="549"/>
      <c r="AD33" s="549"/>
      <c r="AE33" s="261"/>
    </row>
    <row r="34" spans="2:31" s="262" customFormat="1" ht="12.75">
      <c r="B34" s="260"/>
      <c r="C34" s="550" t="s">
        <v>198</v>
      </c>
      <c r="D34" s="550"/>
      <c r="E34" s="269">
        <f>'FA Continuity 2008'!D47-'FA Continuity 2008'!I47</f>
        <v>3500926.42</v>
      </c>
      <c r="F34" s="261"/>
      <c r="G34" s="255"/>
      <c r="H34" s="260"/>
      <c r="I34" s="550" t="s">
        <v>194</v>
      </c>
      <c r="J34" s="550"/>
      <c r="K34" s="269">
        <f>E35</f>
        <v>3848479.6</v>
      </c>
      <c r="L34" s="261"/>
      <c r="M34" s="255"/>
      <c r="N34" s="260"/>
      <c r="O34" s="550" t="s">
        <v>790</v>
      </c>
      <c r="P34" s="550"/>
      <c r="Q34" s="269">
        <f>K35</f>
        <v>4115105.520000001</v>
      </c>
      <c r="R34" s="261"/>
      <c r="S34" s="255"/>
      <c r="T34" s="260"/>
      <c r="U34" s="550" t="s">
        <v>806</v>
      </c>
      <c r="V34" s="550"/>
      <c r="W34" s="269">
        <f>Q35</f>
        <v>5147592.2156666685</v>
      </c>
      <c r="X34" s="261"/>
      <c r="Z34" s="255"/>
      <c r="AA34" s="260"/>
      <c r="AB34" s="550" t="s">
        <v>832</v>
      </c>
      <c r="AC34" s="550"/>
      <c r="AD34" s="269">
        <f>W35</f>
        <v>5349238.007059885</v>
      </c>
      <c r="AE34" s="261"/>
    </row>
    <row r="35" spans="2:31" s="262" customFormat="1" ht="12.75">
      <c r="B35" s="260"/>
      <c r="C35" s="550" t="s">
        <v>245</v>
      </c>
      <c r="D35" s="550"/>
      <c r="E35" s="269">
        <f>'FA Continuity 2008'!M47</f>
        <v>3848479.6</v>
      </c>
      <c r="F35" s="261"/>
      <c r="G35" s="255"/>
      <c r="H35" s="260"/>
      <c r="I35" s="550" t="s">
        <v>195</v>
      </c>
      <c r="J35" s="550"/>
      <c r="K35" s="269">
        <f>'FA Continuity 2009'!M47</f>
        <v>4115105.520000001</v>
      </c>
      <c r="L35" s="261"/>
      <c r="M35" s="255"/>
      <c r="N35" s="260"/>
      <c r="O35" s="550" t="s">
        <v>791</v>
      </c>
      <c r="P35" s="550"/>
      <c r="Q35" s="269">
        <f>'FA Continuity 2010'!M47</f>
        <v>5147592.2156666685</v>
      </c>
      <c r="R35" s="261"/>
      <c r="S35" s="255"/>
      <c r="T35" s="260"/>
      <c r="U35" s="550" t="s">
        <v>807</v>
      </c>
      <c r="V35" s="550"/>
      <c r="W35" s="269">
        <f>'FA Continuity MIFRS 2011'!M47</f>
        <v>5349238.007059885</v>
      </c>
      <c r="X35" s="261"/>
      <c r="Z35" s="255"/>
      <c r="AA35" s="260"/>
      <c r="AB35" s="550" t="s">
        <v>833</v>
      </c>
      <c r="AC35" s="550"/>
      <c r="AD35" s="269">
        <f>'FA Continuity 2012'!M47</f>
        <v>5369838.792615441</v>
      </c>
      <c r="AE35" s="261"/>
    </row>
    <row r="36" spans="2:31" s="262" customFormat="1" ht="12.75">
      <c r="B36" s="260"/>
      <c r="C36" s="551" t="s">
        <v>246</v>
      </c>
      <c r="D36" s="551"/>
      <c r="E36" s="270">
        <f>AVERAGE(E34:E35)</f>
        <v>3674703.01</v>
      </c>
      <c r="F36" s="261"/>
      <c r="G36" s="255"/>
      <c r="H36" s="260"/>
      <c r="I36" s="551" t="s">
        <v>787</v>
      </c>
      <c r="J36" s="551"/>
      <c r="K36" s="270">
        <f>AVERAGE(K34:K35)</f>
        <v>3981792.5600000005</v>
      </c>
      <c r="L36" s="261"/>
      <c r="M36" s="255"/>
      <c r="N36" s="260"/>
      <c r="O36" s="551" t="s">
        <v>927</v>
      </c>
      <c r="P36" s="551"/>
      <c r="Q36" s="270">
        <f>AVERAGE(Q34:Q35)</f>
        <v>4631348.867833335</v>
      </c>
      <c r="R36" s="261"/>
      <c r="S36" s="255"/>
      <c r="T36" s="260"/>
      <c r="U36" s="551" t="s">
        <v>828</v>
      </c>
      <c r="V36" s="551"/>
      <c r="W36" s="270">
        <f>AVERAGE(W34:W35)</f>
        <v>5248415.111363277</v>
      </c>
      <c r="X36" s="261"/>
      <c r="Z36" s="255"/>
      <c r="AA36" s="260"/>
      <c r="AB36" s="551" t="s">
        <v>829</v>
      </c>
      <c r="AC36" s="551"/>
      <c r="AD36" s="270">
        <f>AVERAGE(AD34:AD35)</f>
        <v>5359538.399837663</v>
      </c>
      <c r="AE36" s="261"/>
    </row>
    <row r="37" spans="2:31" s="262" customFormat="1" ht="12.75">
      <c r="B37" s="260"/>
      <c r="C37" s="550" t="s">
        <v>178</v>
      </c>
      <c r="D37" s="550"/>
      <c r="E37" s="269">
        <f>E29</f>
        <v>1541355.5895</v>
      </c>
      <c r="F37" s="261"/>
      <c r="G37" s="255"/>
      <c r="H37" s="260"/>
      <c r="I37" s="550" t="s">
        <v>178</v>
      </c>
      <c r="J37" s="550"/>
      <c r="K37" s="269">
        <f>K29</f>
        <v>1592604.2535</v>
      </c>
      <c r="L37" s="261"/>
      <c r="M37" s="255"/>
      <c r="N37" s="260"/>
      <c r="O37" s="550" t="s">
        <v>178</v>
      </c>
      <c r="P37" s="550"/>
      <c r="Q37" s="269">
        <f>Q29</f>
        <v>1619464.7774999999</v>
      </c>
      <c r="R37" s="261"/>
      <c r="S37" s="255"/>
      <c r="T37" s="260"/>
      <c r="U37" s="550" t="s">
        <v>178</v>
      </c>
      <c r="V37" s="550"/>
      <c r="W37" s="269">
        <f>W29</f>
        <v>1749593.1591022096</v>
      </c>
      <c r="X37" s="261"/>
      <c r="Z37" s="255"/>
      <c r="AA37" s="260"/>
      <c r="AB37" s="550" t="s">
        <v>178</v>
      </c>
      <c r="AC37" s="550"/>
      <c r="AD37" s="269">
        <f>AD29</f>
        <v>1732905.1881308404</v>
      </c>
      <c r="AE37" s="261"/>
    </row>
    <row r="38" spans="2:31" s="262" customFormat="1" ht="13.5" thickBot="1">
      <c r="B38" s="260"/>
      <c r="C38" s="551" t="s">
        <v>199</v>
      </c>
      <c r="D38" s="551"/>
      <c r="E38" s="271">
        <f>E36+E37</f>
        <v>5216058.5995</v>
      </c>
      <c r="F38" s="261"/>
      <c r="G38" s="255"/>
      <c r="H38" s="260"/>
      <c r="I38" s="551" t="s">
        <v>199</v>
      </c>
      <c r="J38" s="551"/>
      <c r="K38" s="271">
        <f>K36+K37</f>
        <v>5574396.8135</v>
      </c>
      <c r="L38" s="261"/>
      <c r="M38" s="255"/>
      <c r="N38" s="260"/>
      <c r="O38" s="551" t="s">
        <v>199</v>
      </c>
      <c r="P38" s="551"/>
      <c r="Q38" s="271">
        <f>Q36+Q37</f>
        <v>6250813.645333335</v>
      </c>
      <c r="R38" s="261"/>
      <c r="S38" s="255"/>
      <c r="T38" s="260"/>
      <c r="U38" s="551" t="s">
        <v>199</v>
      </c>
      <c r="V38" s="551"/>
      <c r="W38" s="271">
        <f>W36+W37</f>
        <v>6998008.270465487</v>
      </c>
      <c r="X38" s="261"/>
      <c r="Z38" s="255"/>
      <c r="AA38" s="260"/>
      <c r="AB38" s="551" t="s">
        <v>199</v>
      </c>
      <c r="AC38" s="551"/>
      <c r="AD38" s="271">
        <f>AD36+AD37</f>
        <v>7092443.587968504</v>
      </c>
      <c r="AE38" s="261"/>
    </row>
    <row r="39" spans="2:31" ht="13.5" thickTop="1">
      <c r="B39" s="38"/>
      <c r="C39" s="552" t="s">
        <v>171</v>
      </c>
      <c r="D39" s="552"/>
      <c r="E39" s="51">
        <f>E12</f>
        <v>0.0664106</v>
      </c>
      <c r="F39" s="47"/>
      <c r="G39" s="48"/>
      <c r="H39" s="38"/>
      <c r="I39" s="552" t="s">
        <v>171</v>
      </c>
      <c r="J39" s="552"/>
      <c r="K39" s="51">
        <f>K12</f>
        <v>0.0651934</v>
      </c>
      <c r="L39" s="47"/>
      <c r="M39" s="48"/>
      <c r="N39" s="38"/>
      <c r="O39" s="552" t="s">
        <v>171</v>
      </c>
      <c r="P39" s="552"/>
      <c r="Q39" s="51">
        <f>Q12</f>
        <v>0.064012</v>
      </c>
      <c r="R39" s="47"/>
      <c r="S39" s="48"/>
      <c r="T39" s="38"/>
      <c r="U39" s="552" t="s">
        <v>171</v>
      </c>
      <c r="V39" s="552"/>
      <c r="W39" s="51">
        <f>W12</f>
        <v>0.064012</v>
      </c>
      <c r="X39" s="47"/>
      <c r="Z39" s="48"/>
      <c r="AA39" s="38"/>
      <c r="AB39" s="552" t="s">
        <v>171</v>
      </c>
      <c r="AC39" s="552"/>
      <c r="AD39" s="51">
        <f>AD12</f>
        <v>0.05832925831706985</v>
      </c>
      <c r="AE39" s="47"/>
    </row>
    <row r="40" spans="2:31" s="262" customFormat="1" ht="13.5" thickBot="1">
      <c r="B40" s="260"/>
      <c r="C40" s="551" t="s">
        <v>200</v>
      </c>
      <c r="D40" s="551"/>
      <c r="E40" s="271">
        <f>E38*E39</f>
        <v>346401.58122795465</v>
      </c>
      <c r="F40" s="261"/>
      <c r="G40" s="255"/>
      <c r="H40" s="260"/>
      <c r="I40" s="551" t="s">
        <v>200</v>
      </c>
      <c r="J40" s="551"/>
      <c r="K40" s="271">
        <f>K38*K39</f>
        <v>363413.8812212309</v>
      </c>
      <c r="L40" s="261"/>
      <c r="M40" s="255"/>
      <c r="N40" s="260"/>
      <c r="O40" s="551" t="s">
        <v>200</v>
      </c>
      <c r="P40" s="551"/>
      <c r="Q40" s="271">
        <f>Q38*Q39</f>
        <v>400127.08306507743</v>
      </c>
      <c r="R40" s="261"/>
      <c r="S40" s="255"/>
      <c r="T40" s="260"/>
      <c r="U40" s="551" t="s">
        <v>200</v>
      </c>
      <c r="V40" s="551"/>
      <c r="W40" s="271">
        <f>W38*W39</f>
        <v>447956.5054090367</v>
      </c>
      <c r="X40" s="261"/>
      <c r="Z40" s="255"/>
      <c r="AA40" s="260"/>
      <c r="AB40" s="551" t="s">
        <v>200</v>
      </c>
      <c r="AC40" s="551"/>
      <c r="AD40" s="271">
        <f>AD38*AD39</f>
        <v>413696.9741418606</v>
      </c>
      <c r="AE40" s="261"/>
    </row>
    <row r="41" spans="2:31" s="262" customFormat="1" ht="13.5" thickTop="1">
      <c r="B41" s="260"/>
      <c r="C41" s="550" t="s">
        <v>181</v>
      </c>
      <c r="D41" s="550"/>
      <c r="E41" s="269">
        <f>(E38*D8*E8)+(E38*D9*E9)</f>
        <v>137645.00556462564</v>
      </c>
      <c r="F41" s="261"/>
      <c r="G41" s="255"/>
      <c r="H41" s="260"/>
      <c r="I41" s="550" t="s">
        <v>181</v>
      </c>
      <c r="J41" s="550"/>
      <c r="K41" s="269">
        <f>(K38*J8*K8)+(K38*J9*K9)</f>
        <v>156558.60682619156</v>
      </c>
      <c r="L41" s="261"/>
      <c r="M41" s="255"/>
      <c r="N41" s="260"/>
      <c r="O41" s="550" t="s">
        <v>181</v>
      </c>
      <c r="P41" s="550"/>
      <c r="Q41" s="269">
        <f>(Q38*P8*Q8)+(Q38*P9*Q9)</f>
        <v>185849.19130305073</v>
      </c>
      <c r="R41" s="261"/>
      <c r="S41" s="255"/>
      <c r="T41" s="260"/>
      <c r="U41" s="550" t="s">
        <v>181</v>
      </c>
      <c r="V41" s="550"/>
      <c r="W41" s="269">
        <f>(W38*V8*W8)+(W38*V9*W9)</f>
        <v>208064.78189747984</v>
      </c>
      <c r="X41" s="261"/>
      <c r="Z41" s="255"/>
      <c r="AA41" s="260"/>
      <c r="AB41" s="550" t="s">
        <v>181</v>
      </c>
      <c r="AC41" s="550"/>
      <c r="AD41" s="269">
        <f>(AD38*AC8*AD8)+(AD38*AC9*AD9)</f>
        <v>154964.63205276954</v>
      </c>
      <c r="AE41" s="261"/>
    </row>
    <row r="42" spans="2:31" s="262" customFormat="1" ht="12.75">
      <c r="B42" s="260"/>
      <c r="C42" s="550" t="s">
        <v>182</v>
      </c>
      <c r="D42" s="550"/>
      <c r="E42" s="269">
        <f>E38*D10*E10</f>
        <v>208756.57566332901</v>
      </c>
      <c r="F42" s="261"/>
      <c r="G42" s="255"/>
      <c r="H42" s="260"/>
      <c r="I42" s="550" t="s">
        <v>182</v>
      </c>
      <c r="J42" s="550"/>
      <c r="K42" s="269">
        <f>K38*J10*K10</f>
        <v>206855.27439503936</v>
      </c>
      <c r="L42" s="261"/>
      <c r="M42" s="255"/>
      <c r="N42" s="260"/>
      <c r="O42" s="550" t="s">
        <v>182</v>
      </c>
      <c r="P42" s="550"/>
      <c r="Q42" s="269">
        <f>Q38*P10*Q10</f>
        <v>214277.8917620267</v>
      </c>
      <c r="R42" s="261"/>
      <c r="S42" s="255"/>
      <c r="T42" s="260"/>
      <c r="U42" s="550" t="s">
        <v>182</v>
      </c>
      <c r="V42" s="550"/>
      <c r="W42" s="269">
        <f>W38*V10*W10</f>
        <v>239891.7235115569</v>
      </c>
      <c r="X42" s="261"/>
      <c r="Z42" s="255"/>
      <c r="AA42" s="260"/>
      <c r="AB42" s="550" t="s">
        <v>182</v>
      </c>
      <c r="AC42" s="550"/>
      <c r="AD42" s="269">
        <f>AD38*AC10*AD10</f>
        <v>258732.34208909105</v>
      </c>
      <c r="AE42" s="261"/>
    </row>
    <row r="43" spans="2:31" ht="5.25" customHeight="1" thickBot="1">
      <c r="B43" s="41"/>
      <c r="C43" s="42"/>
      <c r="D43" s="42"/>
      <c r="E43" s="42"/>
      <c r="F43" s="43"/>
      <c r="G43" s="48"/>
      <c r="H43" s="41"/>
      <c r="I43" s="42"/>
      <c r="J43" s="42"/>
      <c r="K43" s="42"/>
      <c r="L43" s="43"/>
      <c r="M43" s="48"/>
      <c r="N43" s="41"/>
      <c r="O43" s="42"/>
      <c r="P43" s="42"/>
      <c r="Q43" s="42"/>
      <c r="R43" s="43"/>
      <c r="S43" s="48"/>
      <c r="T43" s="41"/>
      <c r="U43" s="42"/>
      <c r="V43" s="42"/>
      <c r="W43" s="42"/>
      <c r="X43" s="43"/>
      <c r="Z43" s="48"/>
      <c r="AA43" s="41"/>
      <c r="AB43" s="42"/>
      <c r="AC43" s="42"/>
      <c r="AD43" s="42"/>
      <c r="AE43" s="43"/>
    </row>
    <row r="44" ht="13.5" customHeight="1"/>
    <row r="53" ht="12.75">
      <c r="AD53" t="s">
        <v>842</v>
      </c>
    </row>
    <row r="78" ht="12.75">
      <c r="D78" s="17"/>
    </row>
  </sheetData>
  <sheetProtection/>
  <mergeCells count="138">
    <mergeCell ref="AB40:AC40"/>
    <mergeCell ref="AB41:AC41"/>
    <mergeCell ref="AB42:AC42"/>
    <mergeCell ref="AB36:AC36"/>
    <mergeCell ref="AB37:AC37"/>
    <mergeCell ref="AB38:AC38"/>
    <mergeCell ref="AB39:AC39"/>
    <mergeCell ref="AB29:AC29"/>
    <mergeCell ref="AB33:AD33"/>
    <mergeCell ref="AB34:AC34"/>
    <mergeCell ref="AB35:AC35"/>
    <mergeCell ref="AB25:AC25"/>
    <mergeCell ref="AB26:AC26"/>
    <mergeCell ref="AB27:AC27"/>
    <mergeCell ref="AB28:AD28"/>
    <mergeCell ref="AB21:AC21"/>
    <mergeCell ref="AB22:AC22"/>
    <mergeCell ref="AB23:AC23"/>
    <mergeCell ref="AB24:AC24"/>
    <mergeCell ref="AB17:AC17"/>
    <mergeCell ref="AB18:AC18"/>
    <mergeCell ref="AB19:AC19"/>
    <mergeCell ref="AB20:AC20"/>
    <mergeCell ref="AB6:AD6"/>
    <mergeCell ref="AB11:AC11"/>
    <mergeCell ref="AB12:AC12"/>
    <mergeCell ref="AB16:AD16"/>
    <mergeCell ref="O27:P27"/>
    <mergeCell ref="O41:P41"/>
    <mergeCell ref="O39:P39"/>
    <mergeCell ref="O40:P40"/>
    <mergeCell ref="O38:P38"/>
    <mergeCell ref="O16:Q16"/>
    <mergeCell ref="O17:P17"/>
    <mergeCell ref="O18:P18"/>
    <mergeCell ref="O19:P19"/>
    <mergeCell ref="O20:P20"/>
    <mergeCell ref="O29:P29"/>
    <mergeCell ref="O28:Q28"/>
    <mergeCell ref="O21:P21"/>
    <mergeCell ref="O22:P22"/>
    <mergeCell ref="U6:W6"/>
    <mergeCell ref="U11:V11"/>
    <mergeCell ref="U12:V12"/>
    <mergeCell ref="U16:W16"/>
    <mergeCell ref="U17:V17"/>
    <mergeCell ref="U18:V18"/>
    <mergeCell ref="B3:R3"/>
    <mergeCell ref="A1:R1"/>
    <mergeCell ref="A2:R2"/>
    <mergeCell ref="C11:D11"/>
    <mergeCell ref="I6:K6"/>
    <mergeCell ref="I11:J11"/>
    <mergeCell ref="O6:Q6"/>
    <mergeCell ref="C42:D42"/>
    <mergeCell ref="O11:P11"/>
    <mergeCell ref="O12:P12"/>
    <mergeCell ref="O35:P35"/>
    <mergeCell ref="O36:P36"/>
    <mergeCell ref="O23:P23"/>
    <mergeCell ref="O25:P25"/>
    <mergeCell ref="O26:P26"/>
    <mergeCell ref="O24:P24"/>
    <mergeCell ref="O42:P42"/>
    <mergeCell ref="C23:D23"/>
    <mergeCell ref="C26:D26"/>
    <mergeCell ref="C25:D25"/>
    <mergeCell ref="C24:D24"/>
    <mergeCell ref="C27:D27"/>
    <mergeCell ref="C29:D29"/>
    <mergeCell ref="C41:D41"/>
    <mergeCell ref="C40:D40"/>
    <mergeCell ref="C28:E28"/>
    <mergeCell ref="C33:E33"/>
    <mergeCell ref="C38:D38"/>
    <mergeCell ref="C39:D39"/>
    <mergeCell ref="I34:J34"/>
    <mergeCell ref="I35:J35"/>
    <mergeCell ref="C37:D37"/>
    <mergeCell ref="O34:P34"/>
    <mergeCell ref="C34:D34"/>
    <mergeCell ref="C35:D35"/>
    <mergeCell ref="C36:D36"/>
    <mergeCell ref="I36:J36"/>
    <mergeCell ref="O37:P37"/>
    <mergeCell ref="I29:J29"/>
    <mergeCell ref="I33:K33"/>
    <mergeCell ref="I28:K28"/>
    <mergeCell ref="O33:Q33"/>
    <mergeCell ref="C19:D19"/>
    <mergeCell ref="C20:D20"/>
    <mergeCell ref="C21:D21"/>
    <mergeCell ref="C22:D22"/>
    <mergeCell ref="I21:J21"/>
    <mergeCell ref="I22:J22"/>
    <mergeCell ref="C16:E16"/>
    <mergeCell ref="C6:E6"/>
    <mergeCell ref="C17:D17"/>
    <mergeCell ref="C18:D18"/>
    <mergeCell ref="C12:D12"/>
    <mergeCell ref="I12:J12"/>
    <mergeCell ref="I16:K16"/>
    <mergeCell ref="I17:J17"/>
    <mergeCell ref="I18:J18"/>
    <mergeCell ref="I24:J24"/>
    <mergeCell ref="I25:J25"/>
    <mergeCell ref="I26:J26"/>
    <mergeCell ref="I27:J27"/>
    <mergeCell ref="I23:J23"/>
    <mergeCell ref="I19:J19"/>
    <mergeCell ref="I20:J20"/>
    <mergeCell ref="I42:J42"/>
    <mergeCell ref="I37:J37"/>
    <mergeCell ref="I38:J38"/>
    <mergeCell ref="I39:J39"/>
    <mergeCell ref="I40:J40"/>
    <mergeCell ref="I41:J41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W28"/>
    <mergeCell ref="U29:V29"/>
    <mergeCell ref="U33:W33"/>
    <mergeCell ref="U34:V34"/>
    <mergeCell ref="U35:V35"/>
    <mergeCell ref="U40:V40"/>
    <mergeCell ref="U41:V41"/>
    <mergeCell ref="U42:V42"/>
    <mergeCell ref="U36:V36"/>
    <mergeCell ref="U37:V37"/>
    <mergeCell ref="U38:V38"/>
    <mergeCell ref="U39:V39"/>
  </mergeCells>
  <printOptions/>
  <pageMargins left="0.1968503937007874" right="0.3937007874015748" top="0.8661417322834646" bottom="0.2362204724409449" header="0.2755905511811024" footer="0"/>
  <pageSetup fitToHeight="1" fitToWidth="1" horizontalDpi="600" verticalDpi="600" orientation="landscape" scale="5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="75" zoomScaleNormal="75" zoomScalePageLayoutView="0" workbookViewId="0" topLeftCell="A10">
      <selection activeCell="A44" sqref="A44:IV44"/>
    </sheetView>
  </sheetViews>
  <sheetFormatPr defaultColWidth="9.140625" defaultRowHeight="12.75"/>
  <cols>
    <col min="1" max="1" width="6.28125" style="20" customWidth="1"/>
    <col min="2" max="2" width="6.7109375" style="215" customWidth="1"/>
    <col min="3" max="3" width="39.28125" style="214" customWidth="1"/>
    <col min="4" max="4" width="12.140625" style="214" customWidth="1"/>
    <col min="5" max="5" width="11.57421875" style="214" bestFit="1" customWidth="1"/>
    <col min="6" max="6" width="11.7109375" style="214" customWidth="1"/>
    <col min="7" max="7" width="13.421875" style="214" customWidth="1"/>
    <col min="8" max="8" width="1.1484375" style="214" customWidth="1"/>
    <col min="9" max="9" width="12.421875" style="214" customWidth="1"/>
    <col min="10" max="10" width="11.57421875" style="214" bestFit="1" customWidth="1"/>
    <col min="11" max="11" width="11.7109375" style="214" customWidth="1"/>
    <col min="12" max="12" width="12.57421875" style="214" customWidth="1"/>
    <col min="13" max="13" width="12.8515625" style="214" customWidth="1"/>
    <col min="16" max="16" width="16.00390625" style="0" customWidth="1"/>
    <col min="17" max="17" width="15.28125" style="0" customWidth="1"/>
  </cols>
  <sheetData>
    <row r="1" spans="1:13" ht="12.75">
      <c r="A1" s="519" t="str">
        <f>'Trial Balance'!A1:F1</f>
        <v>Rideau St. Lawrence Distribution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2.75">
      <c r="A2" s="519" t="str">
        <f>'Trial Balance'!A2:F2</f>
        <v> License Number ED-2003-0003, File Number EB-2011-0274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ht="12.75">
      <c r="A3" s="520"/>
      <c r="B3" s="520"/>
      <c r="C3" s="520"/>
      <c r="D3" s="211"/>
      <c r="E3" s="211"/>
      <c r="F3" s="211"/>
      <c r="G3" s="211"/>
      <c r="H3" s="212"/>
      <c r="I3" s="213"/>
      <c r="J3" s="213"/>
      <c r="K3" s="213"/>
      <c r="L3" s="213"/>
      <c r="M3" s="213"/>
    </row>
    <row r="4" spans="1:13" ht="12.75">
      <c r="A4" s="520" t="s">
        <v>209</v>
      </c>
      <c r="B4" s="520"/>
      <c r="C4" s="520"/>
      <c r="D4" s="211"/>
      <c r="E4" s="211"/>
      <c r="F4" s="211"/>
      <c r="H4" s="212"/>
      <c r="I4" s="213"/>
      <c r="J4" s="213"/>
      <c r="K4" s="213"/>
      <c r="L4" s="213"/>
      <c r="M4" s="213"/>
    </row>
    <row r="5" spans="1:13" ht="12.75">
      <c r="A5" s="520" t="s">
        <v>781</v>
      </c>
      <c r="B5" s="520"/>
      <c r="C5" s="520"/>
      <c r="D5" s="211"/>
      <c r="E5" s="211"/>
      <c r="F5" s="211"/>
      <c r="H5" s="212"/>
      <c r="I5" s="213"/>
      <c r="J5" s="213"/>
      <c r="K5" s="213"/>
      <c r="L5" s="213"/>
      <c r="M5" s="213"/>
    </row>
    <row r="6" spans="4:13" ht="12.75">
      <c r="D6" s="515" t="s">
        <v>248</v>
      </c>
      <c r="E6" s="515"/>
      <c r="F6" s="515"/>
      <c r="G6" s="515"/>
      <c r="H6" s="212"/>
      <c r="I6" s="515" t="s">
        <v>249</v>
      </c>
      <c r="J6" s="515"/>
      <c r="K6" s="515"/>
      <c r="L6" s="515"/>
      <c r="M6" s="213"/>
    </row>
    <row r="7" spans="3:13" ht="12.75">
      <c r="C7" s="210"/>
      <c r="D7" s="517"/>
      <c r="E7" s="517"/>
      <c r="F7" s="517"/>
      <c r="G7" s="517"/>
      <c r="H7" s="212"/>
      <c r="I7" s="517"/>
      <c r="J7" s="517"/>
      <c r="K7" s="517"/>
      <c r="L7" s="517"/>
      <c r="M7" s="213"/>
    </row>
    <row r="8" spans="1:24" s="16" customFormat="1" ht="12.75">
      <c r="A8" s="521" t="s">
        <v>202</v>
      </c>
      <c r="B8" s="521" t="s">
        <v>482</v>
      </c>
      <c r="C8" s="521" t="s">
        <v>174</v>
      </c>
      <c r="D8" s="513" t="s">
        <v>214</v>
      </c>
      <c r="E8" s="513" t="s">
        <v>312</v>
      </c>
      <c r="F8" s="513" t="s">
        <v>313</v>
      </c>
      <c r="G8" s="513" t="s">
        <v>215</v>
      </c>
      <c r="H8" s="518"/>
      <c r="I8" s="513" t="s">
        <v>214</v>
      </c>
      <c r="J8" s="513" t="s">
        <v>312</v>
      </c>
      <c r="K8" s="513" t="s">
        <v>313</v>
      </c>
      <c r="L8" s="513" t="s">
        <v>215</v>
      </c>
      <c r="M8" s="513" t="s">
        <v>216</v>
      </c>
      <c r="P8"/>
      <c r="Q8"/>
      <c r="R8"/>
      <c r="S8"/>
      <c r="T8"/>
      <c r="U8"/>
      <c r="V8"/>
      <c r="W8"/>
      <c r="X8"/>
    </row>
    <row r="9" spans="1:24" s="16" customFormat="1" ht="12.75">
      <c r="A9" s="522"/>
      <c r="B9" s="522"/>
      <c r="C9" s="522"/>
      <c r="D9" s="514" t="s">
        <v>250</v>
      </c>
      <c r="E9" s="514" t="s">
        <v>312</v>
      </c>
      <c r="F9" s="514"/>
      <c r="G9" s="514"/>
      <c r="H9" s="518"/>
      <c r="I9" s="514" t="s">
        <v>250</v>
      </c>
      <c r="J9" s="514" t="s">
        <v>312</v>
      </c>
      <c r="K9" s="514"/>
      <c r="L9" s="514"/>
      <c r="M9" s="514"/>
      <c r="P9"/>
      <c r="Q9"/>
      <c r="R9"/>
      <c r="S9"/>
      <c r="T9"/>
      <c r="U9"/>
      <c r="V9"/>
      <c r="W9"/>
      <c r="X9"/>
    </row>
    <row r="10" spans="1:24" s="16" customFormat="1" ht="12.75">
      <c r="A10" s="241" t="s">
        <v>203</v>
      </c>
      <c r="B10" s="484">
        <f>+'Trial Balance'!A82</f>
        <v>1610</v>
      </c>
      <c r="C10" s="500" t="str">
        <f>+'Trial Balance'!B82</f>
        <v>Intangible Assets</v>
      </c>
      <c r="D10" s="489"/>
      <c r="E10" s="489"/>
      <c r="F10" s="489"/>
      <c r="G10" s="489">
        <f>D10+E10-F10</f>
        <v>0</v>
      </c>
      <c r="H10" s="518"/>
      <c r="I10" s="489">
        <v>0</v>
      </c>
      <c r="J10" s="489"/>
      <c r="K10" s="489"/>
      <c r="L10" s="489">
        <f>I10+J10-K10</f>
        <v>0</v>
      </c>
      <c r="M10" s="489">
        <f>G10-L10</f>
        <v>0</v>
      </c>
      <c r="P10"/>
      <c r="Q10"/>
      <c r="R10"/>
      <c r="S10"/>
      <c r="T10"/>
      <c r="U10"/>
      <c r="V10"/>
      <c r="W10"/>
      <c r="X10"/>
    </row>
    <row r="11" spans="1:13" ht="12.75">
      <c r="A11" s="241" t="s">
        <v>203</v>
      </c>
      <c r="B11" s="484">
        <f>+'Trial Balance'!A83</f>
        <v>1805</v>
      </c>
      <c r="C11" s="500" t="str">
        <f>+'Trial Balance'!B83</f>
        <v>Land</v>
      </c>
      <c r="D11" s="489">
        <f>'[3]App.2-B_Fixed Asset Continuity'!F137</f>
        <v>84205.25</v>
      </c>
      <c r="E11" s="489">
        <f>'[3]App.2-B_Fixed Asset Continuity'!G137</f>
        <v>0</v>
      </c>
      <c r="F11" s="489">
        <f>'[3]App.2-B_Fixed Asset Continuity'!H147</f>
        <v>0</v>
      </c>
      <c r="G11" s="489">
        <f>D11+E11-F11</f>
        <v>84205.25</v>
      </c>
      <c r="H11" s="518"/>
      <c r="I11" s="489">
        <f>-'[3]App.2-B_Fixed Asset Continuity'!K137</f>
        <v>0</v>
      </c>
      <c r="J11" s="489">
        <f>-'[3]App.2-B_Fixed Asset Continuity'!L137</f>
        <v>0</v>
      </c>
      <c r="K11" s="489">
        <f>'[3]App.2-B_Fixed Asset Continuity'!M147</f>
        <v>0</v>
      </c>
      <c r="L11" s="489">
        <f aca="true" t="shared" si="0" ref="L11:L45">I11+J11-K11</f>
        <v>0</v>
      </c>
      <c r="M11" s="489">
        <f aca="true" t="shared" si="1" ref="M11:M46">G11-L11</f>
        <v>84205.25</v>
      </c>
    </row>
    <row r="12" spans="1:13" ht="12.75">
      <c r="A12" s="241" t="s">
        <v>470</v>
      </c>
      <c r="B12" s="484">
        <f>+'Trial Balance'!A84</f>
        <v>1806</v>
      </c>
      <c r="C12" s="500" t="str">
        <f>+'Trial Balance'!B84</f>
        <v>Land Rights</v>
      </c>
      <c r="D12" s="489"/>
      <c r="E12" s="489"/>
      <c r="F12" s="489"/>
      <c r="G12" s="489">
        <f aca="true" t="shared" si="2" ref="G12:G46">D12+E12-F12</f>
        <v>0</v>
      </c>
      <c r="H12" s="518"/>
      <c r="I12" s="489"/>
      <c r="J12" s="489"/>
      <c r="K12" s="489"/>
      <c r="L12" s="489">
        <f t="shared" si="0"/>
        <v>0</v>
      </c>
      <c r="M12" s="489">
        <f t="shared" si="1"/>
        <v>0</v>
      </c>
    </row>
    <row r="13" spans="1:13" ht="12.75">
      <c r="A13" s="241">
        <v>1</v>
      </c>
      <c r="B13" s="484">
        <f>+'Trial Balance'!A85</f>
        <v>1808</v>
      </c>
      <c r="C13" s="500" t="str">
        <f>+'Trial Balance'!B85</f>
        <v>Buildings and Fixtures</v>
      </c>
      <c r="D13" s="489">
        <f>'[3]App.2-B_Fixed Asset Continuity'!F138</f>
        <v>16600.08</v>
      </c>
      <c r="E13" s="489">
        <f>'[3]App.2-B_Fixed Asset Continuity'!G138</f>
        <v>59119.43</v>
      </c>
      <c r="F13" s="489">
        <f>'[3]App.2-B_Fixed Asset Continuity'!H148</f>
        <v>0</v>
      </c>
      <c r="G13" s="489">
        <f t="shared" si="2"/>
        <v>75719.51000000001</v>
      </c>
      <c r="H13" s="518"/>
      <c r="I13" s="489">
        <f>-'[3]App.2-B_Fixed Asset Continuity'!K138</f>
        <v>2499</v>
      </c>
      <c r="J13" s="489">
        <f>-'[3]App.2-B_Fixed Asset Continuity'!L138</f>
        <v>923.2</v>
      </c>
      <c r="K13" s="489">
        <f>'[3]App.2-B_Fixed Asset Continuity'!M148</f>
        <v>0</v>
      </c>
      <c r="L13" s="489">
        <f t="shared" si="0"/>
        <v>3422.2</v>
      </c>
      <c r="M13" s="489">
        <f t="shared" si="1"/>
        <v>72297.31000000001</v>
      </c>
    </row>
    <row r="14" spans="1:13" ht="12.75">
      <c r="A14" s="241"/>
      <c r="B14" s="484">
        <f>+'Trial Balance'!A86</f>
        <v>1810</v>
      </c>
      <c r="C14" s="500" t="str">
        <f>+'Trial Balance'!B86</f>
        <v>Leasehold Improvements</v>
      </c>
      <c r="D14" s="489"/>
      <c r="E14" s="489"/>
      <c r="F14" s="489"/>
      <c r="G14" s="489">
        <f t="shared" si="2"/>
        <v>0</v>
      </c>
      <c r="H14" s="518"/>
      <c r="I14" s="489"/>
      <c r="J14" s="489"/>
      <c r="K14" s="489"/>
      <c r="L14" s="489">
        <f t="shared" si="0"/>
        <v>0</v>
      </c>
      <c r="M14" s="489">
        <f t="shared" si="1"/>
        <v>0</v>
      </c>
    </row>
    <row r="15" spans="1:13" ht="12.75">
      <c r="A15" s="241"/>
      <c r="B15" s="484">
        <f>+'Trial Balance'!A87</f>
        <v>1815</v>
      </c>
      <c r="C15" s="500" t="str">
        <f>+'Trial Balance'!B87</f>
        <v>Transformer Station Equipment - Normally Primary above 50 kV</v>
      </c>
      <c r="D15" s="489"/>
      <c r="E15" s="489"/>
      <c r="F15" s="489"/>
      <c r="G15" s="489">
        <f t="shared" si="2"/>
        <v>0</v>
      </c>
      <c r="H15" s="518"/>
      <c r="I15" s="489"/>
      <c r="J15" s="489"/>
      <c r="K15" s="489"/>
      <c r="L15" s="489">
        <f t="shared" si="0"/>
        <v>0</v>
      </c>
      <c r="M15" s="489">
        <f t="shared" si="1"/>
        <v>0</v>
      </c>
    </row>
    <row r="16" spans="1:13" ht="12.75">
      <c r="A16" s="241">
        <v>1</v>
      </c>
      <c r="B16" s="484">
        <f>+'Trial Balance'!A88</f>
        <v>1820</v>
      </c>
      <c r="C16" s="500" t="str">
        <f>+'Trial Balance'!B88</f>
        <v>Distribution Station Equipment - Normally Primary below 50 kV</v>
      </c>
      <c r="D16" s="489">
        <f>'[3]App.2-B_Fixed Asset Continuity'!F141</f>
        <v>546818.5</v>
      </c>
      <c r="E16" s="489">
        <f>'[3]App.2-B_Fixed Asset Continuity'!G141</f>
        <v>115521.61</v>
      </c>
      <c r="F16" s="489">
        <f>'[3]App.2-B_Fixed Asset Continuity'!H151</f>
        <v>0</v>
      </c>
      <c r="G16" s="489">
        <f t="shared" si="2"/>
        <v>662340.11</v>
      </c>
      <c r="H16" s="518"/>
      <c r="I16" s="489">
        <f>-'[3]App.2-B_Fixed Asset Continuity'!K141</f>
        <v>104542.87</v>
      </c>
      <c r="J16" s="489">
        <f>-'[3]App.2-B_Fixed Asset Continuity'!L141</f>
        <v>24183.18</v>
      </c>
      <c r="K16" s="489">
        <f>'[3]App.2-B_Fixed Asset Continuity'!M151</f>
        <v>0</v>
      </c>
      <c r="L16" s="489">
        <f t="shared" si="0"/>
        <v>128726.04999999999</v>
      </c>
      <c r="M16" s="489">
        <f t="shared" si="1"/>
        <v>533614.06</v>
      </c>
    </row>
    <row r="17" spans="1:13" ht="12.75">
      <c r="A17" s="241"/>
      <c r="B17" s="484">
        <f>+'Trial Balance'!A89</f>
        <v>1825</v>
      </c>
      <c r="C17" s="500" t="str">
        <f>+'Trial Balance'!B89</f>
        <v>Storage Battery Equipment</v>
      </c>
      <c r="D17" s="489"/>
      <c r="E17" s="489"/>
      <c r="F17" s="489"/>
      <c r="G17" s="489">
        <f t="shared" si="2"/>
        <v>0</v>
      </c>
      <c r="H17" s="518"/>
      <c r="I17" s="489"/>
      <c r="J17" s="489"/>
      <c r="K17" s="489"/>
      <c r="L17" s="489">
        <f t="shared" si="0"/>
        <v>0</v>
      </c>
      <c r="M17" s="489">
        <f t="shared" si="1"/>
        <v>0</v>
      </c>
    </row>
    <row r="18" spans="1:14" ht="12.75">
      <c r="A18" s="241">
        <v>1</v>
      </c>
      <c r="B18" s="484">
        <f>+'Trial Balance'!A90</f>
        <v>1830</v>
      </c>
      <c r="C18" s="500" t="str">
        <f>+'Trial Balance'!B90</f>
        <v>Poles, Towers and Fixtures</v>
      </c>
      <c r="D18" s="489">
        <f>'[3]App.2-B_Fixed Asset Continuity'!F143</f>
        <v>290927.61</v>
      </c>
      <c r="E18" s="489">
        <f>'[3]App.2-B_Fixed Asset Continuity'!G143</f>
        <v>79565.1</v>
      </c>
      <c r="F18" s="489">
        <f>'[3]App.2-B_Fixed Asset Continuity'!H153</f>
        <v>0</v>
      </c>
      <c r="G18" s="489">
        <f t="shared" si="2"/>
        <v>370492.70999999996</v>
      </c>
      <c r="H18" s="518"/>
      <c r="I18" s="489">
        <f>-'[3]App.2-B_Fixed Asset Continuity'!K143</f>
        <v>37298.11</v>
      </c>
      <c r="J18" s="489">
        <f>-'[3]App.2-B_Fixed Asset Continuity'!L143</f>
        <v>13228.41</v>
      </c>
      <c r="K18" s="489">
        <f>'[3]App.2-B_Fixed Asset Continuity'!M153</f>
        <v>0</v>
      </c>
      <c r="L18" s="489">
        <f t="shared" si="0"/>
        <v>50526.520000000004</v>
      </c>
      <c r="M18" s="489">
        <f t="shared" si="1"/>
        <v>319966.18999999994</v>
      </c>
      <c r="N18" s="252"/>
    </row>
    <row r="19" spans="1:13" ht="12.75">
      <c r="A19" s="241">
        <v>1</v>
      </c>
      <c r="B19" s="484">
        <f>+'Trial Balance'!A91</f>
        <v>1835</v>
      </c>
      <c r="C19" s="500" t="str">
        <f>+'Trial Balance'!B91</f>
        <v>Overhead Conductors and Devices</v>
      </c>
      <c r="D19" s="489">
        <f>'[3]App.2-B_Fixed Asset Continuity'!F144</f>
        <v>1646734.61</v>
      </c>
      <c r="E19" s="489">
        <f>'[3]App.2-B_Fixed Asset Continuity'!G144</f>
        <v>42080.51</v>
      </c>
      <c r="F19" s="489">
        <f>'[3]App.2-B_Fixed Asset Continuity'!H154</f>
        <v>0</v>
      </c>
      <c r="G19" s="489">
        <f t="shared" si="2"/>
        <v>1688815.12</v>
      </c>
      <c r="H19" s="518"/>
      <c r="I19" s="489">
        <f>-'[3]App.2-B_Fixed Asset Continuity'!K144</f>
        <v>423289.2</v>
      </c>
      <c r="J19" s="489">
        <f>-'[3]App.2-B_Fixed Asset Continuity'!L144</f>
        <v>66710.98</v>
      </c>
      <c r="K19" s="489">
        <f>'[3]App.2-B_Fixed Asset Continuity'!M154</f>
        <v>0</v>
      </c>
      <c r="L19" s="489">
        <f t="shared" si="0"/>
        <v>490000.18</v>
      </c>
      <c r="M19" s="489">
        <f t="shared" si="1"/>
        <v>1198814.9400000002</v>
      </c>
    </row>
    <row r="20" spans="1:13" ht="12.75">
      <c r="A20" s="241">
        <v>1</v>
      </c>
      <c r="B20" s="484">
        <f>+'Trial Balance'!A92</f>
        <v>1840</v>
      </c>
      <c r="C20" s="500" t="str">
        <f>+'Trial Balance'!B92</f>
        <v>Underground Conduit</v>
      </c>
      <c r="D20" s="489">
        <f>'[3]App.2-B_Fixed Asset Continuity'!F145</f>
        <v>461238.46</v>
      </c>
      <c r="E20" s="489">
        <f>'[3]App.2-B_Fixed Asset Continuity'!G145</f>
        <v>0</v>
      </c>
      <c r="F20" s="489">
        <f>'[3]App.2-B_Fixed Asset Continuity'!H155</f>
        <v>0</v>
      </c>
      <c r="G20" s="489">
        <f t="shared" si="2"/>
        <v>461238.46</v>
      </c>
      <c r="H20" s="518"/>
      <c r="I20" s="489">
        <f>-'[3]App.2-B_Fixed Asset Continuity'!K145</f>
        <v>120937.45</v>
      </c>
      <c r="J20" s="489">
        <f>-'[3]App.2-B_Fixed Asset Continuity'!L145</f>
        <v>18449.54</v>
      </c>
      <c r="K20" s="489">
        <f>'[3]App.2-B_Fixed Asset Continuity'!M155</f>
        <v>0</v>
      </c>
      <c r="L20" s="489">
        <f t="shared" si="0"/>
        <v>139386.99</v>
      </c>
      <c r="M20" s="489">
        <f t="shared" si="1"/>
        <v>321851.47000000003</v>
      </c>
    </row>
    <row r="21" spans="1:13" ht="12.75">
      <c r="A21" s="241">
        <v>1</v>
      </c>
      <c r="B21" s="484">
        <f>+'Trial Balance'!A93</f>
        <v>1845</v>
      </c>
      <c r="C21" s="500" t="str">
        <f>+'Trial Balance'!B93</f>
        <v>Underground Conductors and Devices</v>
      </c>
      <c r="D21" s="489">
        <f>'[3]App.2-B_Fixed Asset Continuity'!F146</f>
        <v>311875.91000000003</v>
      </c>
      <c r="E21" s="489">
        <f>'[3]App.2-B_Fixed Asset Continuity'!G146</f>
        <v>28870.94</v>
      </c>
      <c r="F21" s="489">
        <f>'[3]App.2-B_Fixed Asset Continuity'!H156</f>
        <v>0</v>
      </c>
      <c r="G21" s="489">
        <f t="shared" si="2"/>
        <v>340746.85000000003</v>
      </c>
      <c r="H21" s="518"/>
      <c r="I21" s="489">
        <f>-'[3]App.2-B_Fixed Asset Continuity'!K146</f>
        <v>65785.61</v>
      </c>
      <c r="J21" s="489">
        <f>-'[3]App.2-B_Fixed Asset Continuity'!L146</f>
        <v>13052.47</v>
      </c>
      <c r="K21" s="489">
        <f>'[3]App.2-B_Fixed Asset Continuity'!M156</f>
        <v>0</v>
      </c>
      <c r="L21" s="489">
        <f t="shared" si="0"/>
        <v>78838.08</v>
      </c>
      <c r="M21" s="489">
        <f t="shared" si="1"/>
        <v>261908.77000000002</v>
      </c>
    </row>
    <row r="22" spans="1:13" ht="12.75">
      <c r="A22" s="241">
        <v>1</v>
      </c>
      <c r="B22" s="484">
        <f>+'Trial Balance'!A94</f>
        <v>1850</v>
      </c>
      <c r="C22" s="500" t="str">
        <f>+'Trial Balance'!B94</f>
        <v>Line Transformers</v>
      </c>
      <c r="D22" s="489">
        <f>'[3]App.2-B_Fixed Asset Continuity'!F147</f>
        <v>797580.3400000001</v>
      </c>
      <c r="E22" s="489">
        <f>'[3]App.2-B_Fixed Asset Continuity'!G147</f>
        <v>106911.76</v>
      </c>
      <c r="F22" s="489">
        <f>'[3]App.2-B_Fixed Asset Continuity'!H157</f>
        <v>0</v>
      </c>
      <c r="G22" s="489">
        <f t="shared" si="2"/>
        <v>904492.1000000001</v>
      </c>
      <c r="H22" s="518"/>
      <c r="I22" s="489">
        <f>-'[3]App.2-B_Fixed Asset Continuity'!K147</f>
        <v>163536.6</v>
      </c>
      <c r="J22" s="489">
        <f>-'[3]App.2-B_Fixed Asset Continuity'!L147</f>
        <v>34041.45</v>
      </c>
      <c r="K22" s="489">
        <f>'[3]App.2-B_Fixed Asset Continuity'!M157</f>
        <v>0</v>
      </c>
      <c r="L22" s="489">
        <f t="shared" si="0"/>
        <v>197578.05</v>
      </c>
      <c r="M22" s="489">
        <f t="shared" si="1"/>
        <v>706914.05</v>
      </c>
    </row>
    <row r="23" spans="1:13" ht="12.75">
      <c r="A23" s="241">
        <v>1</v>
      </c>
      <c r="B23" s="484">
        <f>+'Trial Balance'!A95</f>
        <v>1855</v>
      </c>
      <c r="C23" s="500" t="str">
        <f>+'Trial Balance'!B95</f>
        <v>Services</v>
      </c>
      <c r="D23" s="489">
        <f>'[3]App.2-B_Fixed Asset Continuity'!F148</f>
        <v>154097.58</v>
      </c>
      <c r="E23" s="489">
        <f>'[3]App.2-B_Fixed Asset Continuity'!G148</f>
        <v>56989.62</v>
      </c>
      <c r="F23" s="489">
        <f>'[3]App.2-B_Fixed Asset Continuity'!H158</f>
        <v>0</v>
      </c>
      <c r="G23" s="489">
        <f t="shared" si="2"/>
        <v>211087.19999999998</v>
      </c>
      <c r="H23" s="518"/>
      <c r="I23" s="489">
        <f>-'[3]App.2-B_Fixed Asset Continuity'!K148</f>
        <v>18034.940000000002</v>
      </c>
      <c r="J23" s="489">
        <f>-'[3]App.2-B_Fixed Asset Continuity'!L148</f>
        <v>7303.7</v>
      </c>
      <c r="K23" s="489">
        <f>'[3]App.2-B_Fixed Asset Continuity'!M158</f>
        <v>0</v>
      </c>
      <c r="L23" s="489">
        <f t="shared" si="0"/>
        <v>25338.640000000003</v>
      </c>
      <c r="M23" s="489">
        <f t="shared" si="1"/>
        <v>185748.55999999997</v>
      </c>
    </row>
    <row r="24" spans="1:13" ht="12.75">
      <c r="A24" s="241">
        <v>1</v>
      </c>
      <c r="B24" s="484">
        <f>+'Trial Balance'!A96</f>
        <v>1860</v>
      </c>
      <c r="C24" s="500" t="str">
        <f>+'Trial Balance'!B96</f>
        <v>Meters</v>
      </c>
      <c r="D24" s="489">
        <f>'[3]App.2-B_Fixed Asset Continuity'!F149</f>
        <v>359721.62</v>
      </c>
      <c r="E24" s="489">
        <f>'[3]App.2-B_Fixed Asset Continuity'!G149</f>
        <v>49651.82</v>
      </c>
      <c r="F24" s="489">
        <f>'[3]App.2-B_Fixed Asset Continuity'!H159</f>
        <v>0</v>
      </c>
      <c r="G24" s="489">
        <f t="shared" si="2"/>
        <v>409373.44</v>
      </c>
      <c r="H24" s="518"/>
      <c r="I24" s="489">
        <f>-'[3]App.2-B_Fixed Asset Continuity'!K149</f>
        <v>91227.09999999999</v>
      </c>
      <c r="J24" s="489">
        <f>-'[3]App.2-B_Fixed Asset Continuity'!L149</f>
        <v>15381.91</v>
      </c>
      <c r="K24" s="489">
        <f>'[3]App.2-B_Fixed Asset Continuity'!M159</f>
        <v>0</v>
      </c>
      <c r="L24" s="489">
        <f t="shared" si="0"/>
        <v>106609.01</v>
      </c>
      <c r="M24" s="489">
        <f t="shared" si="1"/>
        <v>302764.43</v>
      </c>
    </row>
    <row r="25" spans="1:13" ht="12.75">
      <c r="A25" s="241"/>
      <c r="B25" s="484">
        <f>+'Trial Balance'!A97</f>
        <v>1865</v>
      </c>
      <c r="C25" s="500" t="str">
        <f>+'Trial Balance'!B97</f>
        <v>Other Installations on Customer's Premises</v>
      </c>
      <c r="D25" s="489"/>
      <c r="E25" s="489"/>
      <c r="F25" s="489"/>
      <c r="G25" s="489">
        <f t="shared" si="2"/>
        <v>0</v>
      </c>
      <c r="H25" s="518"/>
      <c r="I25" s="489"/>
      <c r="J25" s="489"/>
      <c r="K25" s="489"/>
      <c r="L25" s="489">
        <f t="shared" si="0"/>
        <v>0</v>
      </c>
      <c r="M25" s="489">
        <f t="shared" si="1"/>
        <v>0</v>
      </c>
    </row>
    <row r="26" spans="1:13" ht="12.75">
      <c r="A26" s="241" t="s">
        <v>203</v>
      </c>
      <c r="B26" s="484">
        <f>+'Trial Balance'!A98</f>
        <v>1905</v>
      </c>
      <c r="C26" s="500" t="str">
        <f>+'Trial Balance'!B98</f>
        <v>Land</v>
      </c>
      <c r="D26" s="489"/>
      <c r="E26" s="489"/>
      <c r="F26" s="489"/>
      <c r="G26" s="489">
        <f t="shared" si="2"/>
        <v>0</v>
      </c>
      <c r="H26" s="518"/>
      <c r="I26" s="489"/>
      <c r="J26" s="489"/>
      <c r="K26" s="489"/>
      <c r="L26" s="489">
        <f t="shared" si="0"/>
        <v>0</v>
      </c>
      <c r="M26" s="489">
        <f t="shared" si="1"/>
        <v>0</v>
      </c>
    </row>
    <row r="27" spans="1:13" ht="12.75">
      <c r="A27" s="241" t="s">
        <v>470</v>
      </c>
      <c r="B27" s="484">
        <f>+'Trial Balance'!A99</f>
        <v>1906</v>
      </c>
      <c r="C27" s="500" t="str">
        <f>+'Trial Balance'!B99</f>
        <v>Land Rights</v>
      </c>
      <c r="D27" s="489"/>
      <c r="E27" s="489"/>
      <c r="F27" s="489"/>
      <c r="G27" s="489">
        <f t="shared" si="2"/>
        <v>0</v>
      </c>
      <c r="H27" s="518"/>
      <c r="I27" s="489"/>
      <c r="J27" s="489"/>
      <c r="K27" s="489"/>
      <c r="L27" s="489">
        <f t="shared" si="0"/>
        <v>0</v>
      </c>
      <c r="M27" s="489">
        <f t="shared" si="1"/>
        <v>0</v>
      </c>
    </row>
    <row r="28" spans="1:13" ht="12.75">
      <c r="A28" s="241">
        <v>1</v>
      </c>
      <c r="B28" s="484">
        <f>+'Trial Balance'!A100</f>
        <v>1908</v>
      </c>
      <c r="C28" s="500" t="str">
        <f>+'Trial Balance'!B100</f>
        <v>Buildings and Fixtures</v>
      </c>
      <c r="D28" s="489"/>
      <c r="E28" s="489"/>
      <c r="F28" s="489"/>
      <c r="G28" s="489">
        <f t="shared" si="2"/>
        <v>0</v>
      </c>
      <c r="H28" s="518"/>
      <c r="I28" s="489"/>
      <c r="J28" s="489"/>
      <c r="K28" s="489"/>
      <c r="L28" s="489">
        <f t="shared" si="0"/>
        <v>0</v>
      </c>
      <c r="M28" s="489">
        <f t="shared" si="1"/>
        <v>0</v>
      </c>
    </row>
    <row r="29" spans="1:13" ht="12.75">
      <c r="A29" s="241"/>
      <c r="B29" s="484">
        <f>+'Trial Balance'!A101</f>
        <v>1910</v>
      </c>
      <c r="C29" s="500" t="str">
        <f>+'Trial Balance'!B101</f>
        <v>Leasehold Improvements</v>
      </c>
      <c r="D29" s="489"/>
      <c r="E29" s="489">
        <f>'[3]App.2-B_Fixed Asset Continuity'!G154</f>
        <v>8796.45</v>
      </c>
      <c r="F29" s="489"/>
      <c r="G29" s="489">
        <f t="shared" si="2"/>
        <v>8796.45</v>
      </c>
      <c r="H29" s="518"/>
      <c r="I29" s="489">
        <f>-'[3]App.2-B_Fixed Asset Continuity'!K154</f>
        <v>0</v>
      </c>
      <c r="J29" s="489">
        <f>-'[3]App.2-B_Fixed Asset Continuity'!L154</f>
        <v>439.82</v>
      </c>
      <c r="K29" s="489"/>
      <c r="L29" s="489">
        <f t="shared" si="0"/>
        <v>439.82</v>
      </c>
      <c r="M29" s="489">
        <f t="shared" si="1"/>
        <v>8356.630000000001</v>
      </c>
    </row>
    <row r="30" spans="1:13" ht="12.75">
      <c r="A30" s="241">
        <v>8</v>
      </c>
      <c r="B30" s="484">
        <f>+'Trial Balance'!A102</f>
        <v>1915</v>
      </c>
      <c r="C30" s="500" t="str">
        <f>+'Trial Balance'!B102</f>
        <v>Office Furniture and Equipment</v>
      </c>
      <c r="D30" s="489"/>
      <c r="E30" s="489"/>
      <c r="F30" s="489"/>
      <c r="G30" s="489">
        <f t="shared" si="2"/>
        <v>0</v>
      </c>
      <c r="H30" s="518"/>
      <c r="I30" s="489"/>
      <c r="J30" s="489"/>
      <c r="K30" s="489"/>
      <c r="L30" s="489">
        <f t="shared" si="0"/>
        <v>0</v>
      </c>
      <c r="M30" s="489">
        <f t="shared" si="1"/>
        <v>0</v>
      </c>
    </row>
    <row r="31" spans="1:13" ht="12.75">
      <c r="A31" s="241">
        <v>45</v>
      </c>
      <c r="B31" s="484">
        <f>+'Trial Balance'!A103</f>
        <v>1920</v>
      </c>
      <c r="C31" s="500" t="str">
        <f>+'Trial Balance'!B103</f>
        <v>Computer Equipment - Hardware</v>
      </c>
      <c r="D31" s="489">
        <f>'[3]App.2-B_Fixed Asset Continuity'!F157+'[3]App.2-B_Fixed Asset Continuity'!F158+'[3]App.2-B_Fixed Asset Continuity'!F159</f>
        <v>99274.62</v>
      </c>
      <c r="E31" s="489">
        <f>'[3]App.2-B_Fixed Asset Continuity'!G157+'[3]App.2-B_Fixed Asset Continuity'!G158+'[3]App.2-B_Fixed Asset Continuity'!G159</f>
        <v>34795.77</v>
      </c>
      <c r="F31" s="489">
        <f>'[3]App.2-B_Fixed Asset Continuity'!H167+'[3]App.2-B_Fixed Asset Continuity'!H168+'[3]App.2-B_Fixed Asset Continuity'!H169</f>
        <v>0</v>
      </c>
      <c r="G31" s="489">
        <f t="shared" si="2"/>
        <v>134070.38999999998</v>
      </c>
      <c r="H31" s="518"/>
      <c r="I31" s="489">
        <f>-'[3]App.2-B_Fixed Asset Continuity'!K157+'[3]App.2-B_Fixed Asset Continuity'!K158+'[3]App.2-B_Fixed Asset Continuity'!K159</f>
        <v>80188.75</v>
      </c>
      <c r="J31" s="489">
        <f>-'[3]App.2-B_Fixed Asset Continuity'!L157+'[3]App.2-B_Fixed Asset Continuity'!L158+'[3]App.2-B_Fixed Asset Continuity'!L159</f>
        <v>23334.5</v>
      </c>
      <c r="K31" s="489">
        <f>'[3]App.2-B_Fixed Asset Continuity'!M167+'[3]App.2-B_Fixed Asset Continuity'!M168+'[3]App.2-B_Fixed Asset Continuity'!M169</f>
        <v>0</v>
      </c>
      <c r="L31" s="489">
        <f t="shared" si="0"/>
        <v>103523.25</v>
      </c>
      <c r="M31" s="489">
        <f t="shared" si="1"/>
        <v>30547.139999999985</v>
      </c>
    </row>
    <row r="32" spans="1:13" ht="12.75">
      <c r="A32" s="241">
        <v>12</v>
      </c>
      <c r="B32" s="484">
        <f>+'Trial Balance'!A104</f>
        <v>1925</v>
      </c>
      <c r="C32" s="500" t="str">
        <f>+'Trial Balance'!B104</f>
        <v>Computer Software</v>
      </c>
      <c r="D32" s="489">
        <f>'[3]App.2-B_Fixed Asset Continuity'!F160</f>
        <v>17424.84</v>
      </c>
      <c r="E32" s="489">
        <f>'[3]App.2-B_Fixed Asset Continuity'!G160</f>
        <v>63785.16</v>
      </c>
      <c r="F32" s="489">
        <f>'[3]App.2-B_Fixed Asset Continuity'!H170</f>
        <v>0</v>
      </c>
      <c r="G32" s="489">
        <f t="shared" si="2"/>
        <v>81210</v>
      </c>
      <c r="H32" s="518"/>
      <c r="I32" s="489">
        <f>-'[3]App.2-B_Fixed Asset Continuity'!K160</f>
        <v>9790.220000000001</v>
      </c>
      <c r="J32" s="489">
        <f>-'[3]App.2-B_Fixed Asset Continuity'!L160</f>
        <v>9863.48</v>
      </c>
      <c r="K32" s="489">
        <f>'[3]App.2-B_Fixed Asset Continuity'!M170</f>
        <v>0</v>
      </c>
      <c r="L32" s="489">
        <f>I32+J32-K32</f>
        <v>19653.7</v>
      </c>
      <c r="M32" s="489">
        <f>G32-L32</f>
        <v>61556.3</v>
      </c>
    </row>
    <row r="33" spans="1:13" ht="12.75">
      <c r="A33" s="241">
        <v>10</v>
      </c>
      <c r="B33" s="484">
        <f>+'Trial Balance'!A105</f>
        <v>1930</v>
      </c>
      <c r="C33" s="500" t="str">
        <f>+'Trial Balance'!B105</f>
        <v>Transportation Equipment</v>
      </c>
      <c r="D33" s="489"/>
      <c r="E33" s="489">
        <f>'[3]App.2-B_Fixed Asset Continuity'!G161</f>
        <v>22126.36</v>
      </c>
      <c r="F33" s="489"/>
      <c r="G33" s="489">
        <f t="shared" si="2"/>
        <v>22126.36</v>
      </c>
      <c r="H33" s="518"/>
      <c r="I33" s="489"/>
      <c r="J33" s="489">
        <f>-'[3]App.2-B_Fixed Asset Continuity'!$L$161</f>
        <v>2765.8</v>
      </c>
      <c r="K33" s="489"/>
      <c r="L33" s="489">
        <f t="shared" si="0"/>
        <v>2765.8</v>
      </c>
      <c r="M33" s="489">
        <f t="shared" si="1"/>
        <v>19360.56</v>
      </c>
    </row>
    <row r="34" spans="1:13" ht="12.75">
      <c r="A34" s="241">
        <v>10</v>
      </c>
      <c r="B34" s="484">
        <f>+'Trial Balance'!A106</f>
        <v>1935</v>
      </c>
      <c r="C34" s="500" t="str">
        <f>+'Trial Balance'!B106</f>
        <v>Stores Equipment</v>
      </c>
      <c r="D34" s="489"/>
      <c r="E34" s="489"/>
      <c r="F34" s="489"/>
      <c r="G34" s="489">
        <f t="shared" si="2"/>
        <v>0</v>
      </c>
      <c r="H34" s="518"/>
      <c r="I34" s="489"/>
      <c r="J34" s="489"/>
      <c r="K34" s="489"/>
      <c r="L34" s="489">
        <f t="shared" si="0"/>
        <v>0</v>
      </c>
      <c r="M34" s="489">
        <f t="shared" si="1"/>
        <v>0</v>
      </c>
    </row>
    <row r="35" spans="1:13" ht="12.75">
      <c r="A35" s="241">
        <v>8</v>
      </c>
      <c r="B35" s="484">
        <f>+'Trial Balance'!A107</f>
        <v>1940</v>
      </c>
      <c r="C35" s="500" t="str">
        <f>+'Trial Balance'!B107</f>
        <v>Tools, Shop and Garage Equipment</v>
      </c>
      <c r="D35" s="489">
        <f>'[3]App.2-B_Fixed Asset Continuity'!F163</f>
        <v>111752.28</v>
      </c>
      <c r="E35" s="489">
        <f>'[3]App.2-B_Fixed Asset Continuity'!G163</f>
        <v>10816.57</v>
      </c>
      <c r="F35" s="489">
        <f>'[3]App.2-B_Fixed Asset Continuity'!H173</f>
        <v>0</v>
      </c>
      <c r="G35" s="489">
        <f t="shared" si="2"/>
        <v>122568.85</v>
      </c>
      <c r="H35" s="518"/>
      <c r="I35" s="489">
        <f>-'[3]App.2-B_Fixed Asset Continuity'!K163</f>
        <v>60182.93</v>
      </c>
      <c r="J35" s="489">
        <f>-'[3]App.2-B_Fixed Asset Continuity'!L163</f>
        <v>11716.06</v>
      </c>
      <c r="K35" s="489">
        <f>'[3]App.2-B_Fixed Asset Continuity'!M173</f>
        <v>0</v>
      </c>
      <c r="L35" s="489">
        <f t="shared" si="0"/>
        <v>71898.99</v>
      </c>
      <c r="M35" s="489">
        <f t="shared" si="1"/>
        <v>50669.86</v>
      </c>
    </row>
    <row r="36" spans="1:13" ht="12.75">
      <c r="A36" s="241"/>
      <c r="B36" s="484">
        <f>+'Trial Balance'!A108</f>
        <v>1945</v>
      </c>
      <c r="C36" s="500" t="str">
        <f>+'Trial Balance'!B108</f>
        <v>Measurement and Testing Equipment</v>
      </c>
      <c r="D36" s="489"/>
      <c r="E36" s="489"/>
      <c r="F36" s="489"/>
      <c r="G36" s="489">
        <f t="shared" si="2"/>
        <v>0</v>
      </c>
      <c r="H36" s="518"/>
      <c r="I36" s="489"/>
      <c r="J36" s="489"/>
      <c r="K36" s="489"/>
      <c r="L36" s="489">
        <f t="shared" si="0"/>
        <v>0</v>
      </c>
      <c r="M36" s="489">
        <f t="shared" si="1"/>
        <v>0</v>
      </c>
    </row>
    <row r="37" spans="1:13" ht="12.75">
      <c r="A37" s="241"/>
      <c r="B37" s="484">
        <f>+'Trial Balance'!A109</f>
        <v>1950</v>
      </c>
      <c r="C37" s="500" t="str">
        <f>+'Trial Balance'!B109</f>
        <v>Power Operated Equipment</v>
      </c>
      <c r="D37" s="489"/>
      <c r="E37" s="489"/>
      <c r="F37" s="489"/>
      <c r="G37" s="489">
        <f t="shared" si="2"/>
        <v>0</v>
      </c>
      <c r="H37" s="518"/>
      <c r="I37" s="489"/>
      <c r="J37" s="489"/>
      <c r="K37" s="489"/>
      <c r="L37" s="489">
        <f t="shared" si="0"/>
        <v>0</v>
      </c>
      <c r="M37" s="489">
        <f t="shared" si="1"/>
        <v>0</v>
      </c>
    </row>
    <row r="38" spans="1:13" ht="12.75">
      <c r="A38" s="241">
        <v>10</v>
      </c>
      <c r="B38" s="484">
        <f>+'Trial Balance'!A110</f>
        <v>1955</v>
      </c>
      <c r="C38" s="500" t="str">
        <f>+'Trial Balance'!B110</f>
        <v>Communication Equipment</v>
      </c>
      <c r="D38" s="489"/>
      <c r="E38" s="489"/>
      <c r="F38" s="489"/>
      <c r="G38" s="489">
        <f t="shared" si="2"/>
        <v>0</v>
      </c>
      <c r="H38" s="518"/>
      <c r="I38" s="489"/>
      <c r="J38" s="489"/>
      <c r="K38" s="489"/>
      <c r="L38" s="489">
        <f t="shared" si="0"/>
        <v>0</v>
      </c>
      <c r="M38" s="489">
        <f t="shared" si="1"/>
        <v>0</v>
      </c>
    </row>
    <row r="39" spans="1:13" ht="12.75">
      <c r="A39" s="241"/>
      <c r="B39" s="484">
        <f>+'Trial Balance'!A111</f>
        <v>1960</v>
      </c>
      <c r="C39" s="500" t="str">
        <f>+'Trial Balance'!B111</f>
        <v>Miscellaneous Equipment</v>
      </c>
      <c r="D39" s="489"/>
      <c r="E39" s="489"/>
      <c r="F39" s="489"/>
      <c r="G39" s="489">
        <f t="shared" si="2"/>
        <v>0</v>
      </c>
      <c r="H39" s="518"/>
      <c r="I39" s="489"/>
      <c r="J39" s="489"/>
      <c r="K39" s="489"/>
      <c r="L39" s="489">
        <f t="shared" si="0"/>
        <v>0</v>
      </c>
      <c r="M39" s="489">
        <f t="shared" si="1"/>
        <v>0</v>
      </c>
    </row>
    <row r="40" spans="1:13" ht="12.75">
      <c r="A40" s="241"/>
      <c r="B40" s="484">
        <f>+'Trial Balance'!A112</f>
        <v>1970</v>
      </c>
      <c r="C40" s="500" t="str">
        <f>+'Trial Balance'!B112</f>
        <v>Load Management Controls - Customer Premises </v>
      </c>
      <c r="D40" s="489"/>
      <c r="E40" s="489"/>
      <c r="F40" s="489"/>
      <c r="G40" s="489">
        <f t="shared" si="2"/>
        <v>0</v>
      </c>
      <c r="H40" s="518"/>
      <c r="I40" s="489"/>
      <c r="J40" s="489"/>
      <c r="K40" s="489"/>
      <c r="L40" s="489">
        <f t="shared" si="0"/>
        <v>0</v>
      </c>
      <c r="M40" s="489">
        <f t="shared" si="1"/>
        <v>0</v>
      </c>
    </row>
    <row r="41" spans="1:13" ht="12.75">
      <c r="A41" s="241"/>
      <c r="B41" s="484">
        <f>+'Trial Balance'!A113</f>
        <v>1975</v>
      </c>
      <c r="C41" s="500" t="str">
        <f>+'Trial Balance'!B113</f>
        <v>Load Management Controls - Utility Premises</v>
      </c>
      <c r="D41" s="489"/>
      <c r="E41" s="489"/>
      <c r="F41" s="489"/>
      <c r="G41" s="489">
        <f t="shared" si="2"/>
        <v>0</v>
      </c>
      <c r="H41" s="518"/>
      <c r="I41" s="489"/>
      <c r="J41" s="489"/>
      <c r="K41" s="489"/>
      <c r="L41" s="489">
        <f t="shared" si="0"/>
        <v>0</v>
      </c>
      <c r="M41" s="489">
        <f t="shared" si="1"/>
        <v>0</v>
      </c>
    </row>
    <row r="42" spans="1:13" ht="12.75">
      <c r="A42" s="241"/>
      <c r="B42" s="484">
        <f>+'Trial Balance'!A114</f>
        <v>1980</v>
      </c>
      <c r="C42" s="500" t="str">
        <f>+'Trial Balance'!B114</f>
        <v>System Supervisory Equipment</v>
      </c>
      <c r="D42" s="489"/>
      <c r="E42" s="489"/>
      <c r="F42" s="489"/>
      <c r="G42" s="489">
        <f t="shared" si="2"/>
        <v>0</v>
      </c>
      <c r="H42" s="518"/>
      <c r="I42" s="489"/>
      <c r="J42" s="489"/>
      <c r="K42" s="489"/>
      <c r="L42" s="489">
        <f t="shared" si="0"/>
        <v>0</v>
      </c>
      <c r="M42" s="489">
        <f t="shared" si="1"/>
        <v>0</v>
      </c>
    </row>
    <row r="43" spans="1:13" ht="12.75">
      <c r="A43" s="241"/>
      <c r="B43" s="484">
        <f>+'Trial Balance'!A115</f>
        <v>1985</v>
      </c>
      <c r="C43" s="500" t="str">
        <f>+'Trial Balance'!B115</f>
        <v>Sentinel Lighting Rentals</v>
      </c>
      <c r="D43" s="489"/>
      <c r="E43" s="489"/>
      <c r="F43" s="489"/>
      <c r="G43" s="489">
        <f t="shared" si="2"/>
        <v>0</v>
      </c>
      <c r="H43" s="518"/>
      <c r="I43" s="489"/>
      <c r="J43" s="489"/>
      <c r="K43" s="489"/>
      <c r="L43" s="489">
        <f t="shared" si="0"/>
        <v>0</v>
      </c>
      <c r="M43" s="489">
        <f t="shared" si="1"/>
        <v>0</v>
      </c>
    </row>
    <row r="44" spans="1:13" ht="12.75">
      <c r="A44" s="241"/>
      <c r="B44" s="484">
        <f>+'Trial Balance'!A116</f>
        <v>1990</v>
      </c>
      <c r="C44" s="500" t="str">
        <f>+'Trial Balance'!B116</f>
        <v>Other Tangible Property</v>
      </c>
      <c r="D44" s="489"/>
      <c r="E44" s="489"/>
      <c r="F44" s="489"/>
      <c r="G44" s="489">
        <f t="shared" si="2"/>
        <v>0</v>
      </c>
      <c r="H44" s="518"/>
      <c r="I44" s="489"/>
      <c r="J44" s="489"/>
      <c r="K44" s="489"/>
      <c r="L44" s="489">
        <f t="shared" si="0"/>
        <v>0</v>
      </c>
      <c r="M44" s="489">
        <f t="shared" si="1"/>
        <v>0</v>
      </c>
    </row>
    <row r="45" spans="1:13" ht="12.75">
      <c r="A45" s="241">
        <v>1</v>
      </c>
      <c r="B45" s="484">
        <f>+'Trial Balance'!A117</f>
        <v>1995</v>
      </c>
      <c r="C45" s="500" t="str">
        <f>+'Trial Balance'!B117</f>
        <v>Contributions and Grants</v>
      </c>
      <c r="D45" s="489">
        <f>'[3]App.2-B_Fixed Asset Continuity'!F172</f>
        <v>-258721.66</v>
      </c>
      <c r="E45" s="489">
        <f>'[3]App.2-B_Fixed Asset Continuity'!G172</f>
        <v>-102481.93</v>
      </c>
      <c r="F45" s="489">
        <f>'[3]App.2-B_Fixed Asset Continuity'!H182</f>
        <v>0</v>
      </c>
      <c r="G45" s="489">
        <f t="shared" si="2"/>
        <v>-361203.58999999997</v>
      </c>
      <c r="H45" s="518"/>
      <c r="I45" s="489">
        <f>-'[3]App.2-B_Fixed Asset Continuity'!K172</f>
        <v>-38709.16</v>
      </c>
      <c r="J45" s="489">
        <f>-'[3]App.2-B_Fixed Asset Continuity'!L172</f>
        <v>-12398.51</v>
      </c>
      <c r="K45" s="489">
        <f>'[3]App.2-B_Fixed Asset Continuity'!M182</f>
        <v>0</v>
      </c>
      <c r="L45" s="489">
        <f t="shared" si="0"/>
        <v>-51107.670000000006</v>
      </c>
      <c r="M45" s="489">
        <f t="shared" si="1"/>
        <v>-310095.92</v>
      </c>
    </row>
    <row r="46" spans="1:13" ht="12.75">
      <c r="A46" s="241"/>
      <c r="B46" s="484">
        <v>2005</v>
      </c>
      <c r="C46" s="501" t="s">
        <v>801</v>
      </c>
      <c r="D46" s="489">
        <v>0</v>
      </c>
      <c r="E46" s="489"/>
      <c r="F46" s="489"/>
      <c r="G46" s="489">
        <f t="shared" si="2"/>
        <v>0</v>
      </c>
      <c r="H46" s="518"/>
      <c r="I46" s="489"/>
      <c r="J46" s="489"/>
      <c r="K46" s="489"/>
      <c r="L46" s="489">
        <f>I46+J46-K46</f>
        <v>0</v>
      </c>
      <c r="M46" s="489">
        <f t="shared" si="1"/>
        <v>0</v>
      </c>
    </row>
    <row r="47" spans="1:13" ht="12.75">
      <c r="A47" s="241"/>
      <c r="B47" s="492"/>
      <c r="C47" s="493" t="s">
        <v>217</v>
      </c>
      <c r="D47" s="494">
        <f>SUM(D10:D46)</f>
        <v>4639530.04</v>
      </c>
      <c r="E47" s="494">
        <f>SUM(E10:E46)</f>
        <v>576549.1699999999</v>
      </c>
      <c r="F47" s="494">
        <f>SUM(F10:F46)</f>
        <v>0</v>
      </c>
      <c r="G47" s="494">
        <f>SUM(G10:G46)</f>
        <v>5216079.210000001</v>
      </c>
      <c r="H47" s="518"/>
      <c r="I47" s="494">
        <f>SUM(I10:I46)</f>
        <v>1138603.6199999999</v>
      </c>
      <c r="J47" s="494">
        <f>SUM(J10:J46)</f>
        <v>228995.99</v>
      </c>
      <c r="K47" s="494">
        <f>SUM(K10:K46)</f>
        <v>0</v>
      </c>
      <c r="L47" s="494">
        <f>SUM(L10:L46)</f>
        <v>1367599.6099999999</v>
      </c>
      <c r="M47" s="494">
        <f>SUM(M10:M46)</f>
        <v>3848479.6</v>
      </c>
    </row>
    <row r="48" spans="1:13" ht="12.75">
      <c r="A48" s="241"/>
      <c r="B48" s="492"/>
      <c r="C48" s="485"/>
      <c r="D48" s="489"/>
      <c r="E48" s="489"/>
      <c r="F48" s="489"/>
      <c r="G48" s="489"/>
      <c r="H48" s="518"/>
      <c r="I48" s="489"/>
      <c r="J48" s="489"/>
      <c r="K48" s="489"/>
      <c r="L48" s="489"/>
      <c r="M48" s="489"/>
    </row>
    <row r="49" spans="1:13" ht="12.75">
      <c r="A49" s="241" t="s">
        <v>204</v>
      </c>
      <c r="B49" s="492"/>
      <c r="C49" s="485" t="s">
        <v>251</v>
      </c>
      <c r="D49" s="489">
        <v>51600.8</v>
      </c>
      <c r="E49" s="489">
        <v>-44537.04</v>
      </c>
      <c r="F49" s="489"/>
      <c r="G49" s="489">
        <f>D49+E49-F49</f>
        <v>7063.760000000002</v>
      </c>
      <c r="H49" s="518"/>
      <c r="I49" s="489">
        <v>0</v>
      </c>
      <c r="J49" s="489"/>
      <c r="K49" s="489"/>
      <c r="L49" s="489">
        <f>I49+J49-K49</f>
        <v>0</v>
      </c>
      <c r="M49" s="489">
        <f>G49-L49</f>
        <v>7063.760000000002</v>
      </c>
    </row>
    <row r="50" spans="1:13" ht="12.75">
      <c r="A50" s="241"/>
      <c r="B50" s="492"/>
      <c r="C50" s="493" t="s">
        <v>218</v>
      </c>
      <c r="D50" s="494">
        <f>SUM(D47:D49)</f>
        <v>4691130.84</v>
      </c>
      <c r="E50" s="494">
        <f>SUM(E47:E49)</f>
        <v>532012.1299999999</v>
      </c>
      <c r="F50" s="494">
        <f>SUM(F47:F49)</f>
        <v>0</v>
      </c>
      <c r="G50" s="494">
        <f>SUM(G47:G49)</f>
        <v>5223142.970000001</v>
      </c>
      <c r="H50" s="518"/>
      <c r="I50" s="494">
        <f>SUM(I47:I49)</f>
        <v>1138603.6199999999</v>
      </c>
      <c r="J50" s="494">
        <f>SUM(J47:J49)</f>
        <v>228995.99</v>
      </c>
      <c r="K50" s="494">
        <f>SUM(K47:K49)</f>
        <v>0</v>
      </c>
      <c r="L50" s="494">
        <f>SUM(L47:L49)</f>
        <v>1367599.6099999999</v>
      </c>
      <c r="M50" s="494">
        <f>SUM(M47:M49)</f>
        <v>3855543.36</v>
      </c>
    </row>
    <row r="51" spans="1:13" ht="12.75">
      <c r="A51" s="221"/>
      <c r="B51" s="477"/>
      <c r="C51" s="495"/>
      <c r="D51" s="440"/>
      <c r="E51" s="440"/>
      <c r="F51" s="440"/>
      <c r="G51" s="440"/>
      <c r="H51" s="401"/>
      <c r="I51" s="401"/>
      <c r="J51" s="401"/>
      <c r="K51" s="401"/>
      <c r="L51" s="401"/>
      <c r="M51" s="401"/>
    </row>
    <row r="52" spans="1:13" ht="12.75">
      <c r="A52" s="221"/>
      <c r="B52" s="477"/>
      <c r="C52" s="495"/>
      <c r="D52" s="440"/>
      <c r="E52" s="440"/>
      <c r="F52" s="440"/>
      <c r="G52" s="440"/>
      <c r="H52" s="516" t="s">
        <v>252</v>
      </c>
      <c r="I52" s="516"/>
      <c r="J52" s="516"/>
      <c r="K52" s="401"/>
      <c r="L52" s="18"/>
      <c r="M52" s="401"/>
    </row>
    <row r="53" spans="1:13" ht="12.75">
      <c r="A53" s="502">
        <v>10</v>
      </c>
      <c r="B53" s="484">
        <f>B34</f>
        <v>1935</v>
      </c>
      <c r="C53" s="485" t="s">
        <v>253</v>
      </c>
      <c r="D53" s="440"/>
      <c r="E53" s="440"/>
      <c r="F53" s="440"/>
      <c r="G53" s="440"/>
      <c r="H53" s="516" t="s">
        <v>253</v>
      </c>
      <c r="I53" s="516"/>
      <c r="J53" s="498"/>
      <c r="K53" s="401"/>
      <c r="L53" s="18"/>
      <c r="M53" s="401"/>
    </row>
    <row r="54" spans="1:13" ht="12.75">
      <c r="A54" s="502">
        <v>10</v>
      </c>
      <c r="B54" s="484">
        <v>1955</v>
      </c>
      <c r="C54" s="485" t="s">
        <v>620</v>
      </c>
      <c r="D54" s="440"/>
      <c r="E54" s="440"/>
      <c r="F54" s="440"/>
      <c r="G54" s="440"/>
      <c r="H54" s="516" t="s">
        <v>777</v>
      </c>
      <c r="I54" s="516"/>
      <c r="J54" s="498"/>
      <c r="K54" s="401"/>
      <c r="L54" s="18"/>
      <c r="M54" s="401"/>
    </row>
    <row r="55" spans="1:13" ht="13.5" thickBot="1">
      <c r="A55" s="477"/>
      <c r="B55" s="477"/>
      <c r="C55" s="495"/>
      <c r="D55" s="440"/>
      <c r="E55" s="440"/>
      <c r="F55" s="440"/>
      <c r="G55" s="440"/>
      <c r="H55" s="516" t="s">
        <v>254</v>
      </c>
      <c r="I55" s="516"/>
      <c r="J55" s="499">
        <f>J50-J53-J54</f>
        <v>228995.99</v>
      </c>
      <c r="K55" s="401"/>
      <c r="L55" s="18"/>
      <c r="M55" s="401"/>
    </row>
    <row r="56" spans="1:13" ht="13.5" thickTop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4:13" ht="12.75">
      <c r="D60" s="216"/>
      <c r="E60" s="216"/>
      <c r="F60" s="216"/>
      <c r="G60" s="216"/>
      <c r="H60" s="212"/>
      <c r="I60" s="212"/>
      <c r="J60" s="212"/>
      <c r="K60" s="212"/>
      <c r="L60" s="212"/>
      <c r="M60" s="212"/>
    </row>
    <row r="61" spans="4:13" ht="12.75">
      <c r="D61" s="216"/>
      <c r="E61" s="216"/>
      <c r="F61" s="216"/>
      <c r="G61" s="216"/>
      <c r="H61" s="212"/>
      <c r="I61" s="212"/>
      <c r="J61" s="212"/>
      <c r="K61" s="212"/>
      <c r="L61" s="212"/>
      <c r="M61" s="212"/>
    </row>
    <row r="62" spans="3:13" ht="12.75">
      <c r="C62" s="210"/>
      <c r="D62" s="211"/>
      <c r="E62" s="211"/>
      <c r="F62" s="211"/>
      <c r="G62" s="211"/>
      <c r="H62" s="212"/>
      <c r="I62" s="213"/>
      <c r="J62" s="213"/>
      <c r="K62" s="213"/>
      <c r="L62" s="213"/>
      <c r="M62" s="213"/>
    </row>
    <row r="63" spans="3:13" ht="12.75">
      <c r="C63" s="210"/>
      <c r="D63" s="211"/>
      <c r="E63" s="211"/>
      <c r="F63" s="211"/>
      <c r="G63" s="211"/>
      <c r="H63" s="212"/>
      <c r="I63" s="213"/>
      <c r="J63" s="213"/>
      <c r="K63" s="213"/>
      <c r="L63" s="213"/>
      <c r="M63" s="213"/>
    </row>
    <row r="64" spans="3:13" ht="12.75">
      <c r="C64" s="210"/>
      <c r="D64" s="211"/>
      <c r="E64" s="211"/>
      <c r="F64" s="211"/>
      <c r="G64" s="211"/>
      <c r="H64" s="212"/>
      <c r="I64" s="213"/>
      <c r="J64" s="213"/>
      <c r="K64" s="213"/>
      <c r="L64" s="213"/>
      <c r="M64" s="213"/>
    </row>
    <row r="65" spans="3:13" ht="12.75">
      <c r="C65" s="210"/>
      <c r="D65" s="211"/>
      <c r="E65" s="211"/>
      <c r="F65" s="211"/>
      <c r="G65" s="211"/>
      <c r="H65" s="212"/>
      <c r="I65" s="213"/>
      <c r="J65" s="213"/>
      <c r="K65" s="213"/>
      <c r="L65" s="213"/>
      <c r="M65" s="213"/>
    </row>
  </sheetData>
  <sheetProtection/>
  <mergeCells count="26">
    <mergeCell ref="D6:G6"/>
    <mergeCell ref="M8:M9"/>
    <mergeCell ref="H52:J52"/>
    <mergeCell ref="D7:G7"/>
    <mergeCell ref="A1:M1"/>
    <mergeCell ref="A2:M2"/>
    <mergeCell ref="A3:C3"/>
    <mergeCell ref="A4:C4"/>
    <mergeCell ref="A5:C5"/>
    <mergeCell ref="A8:A9"/>
    <mergeCell ref="B8:B9"/>
    <mergeCell ref="C8:C9"/>
    <mergeCell ref="D8:D9"/>
    <mergeCell ref="I8:I9"/>
    <mergeCell ref="E8:E9"/>
    <mergeCell ref="F8:F9"/>
    <mergeCell ref="G8:G9"/>
    <mergeCell ref="H8:H50"/>
    <mergeCell ref="H54:I54"/>
    <mergeCell ref="H55:I55"/>
    <mergeCell ref="J8:J9"/>
    <mergeCell ref="K8:K9"/>
    <mergeCell ref="I6:L6"/>
    <mergeCell ref="L8:L9"/>
    <mergeCell ref="H53:I53"/>
    <mergeCell ref="I7:L7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68" r:id="rId3"/>
  <headerFooter alignWithMargins="0">
    <oddFooter>&amp;L&amp;A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zoomScale="90" zoomScaleNormal="90" zoomScalePageLayoutView="0" workbookViewId="0" topLeftCell="A19">
      <selection activeCell="Q54" sqref="Q54:Y64"/>
    </sheetView>
  </sheetViews>
  <sheetFormatPr defaultColWidth="9.140625" defaultRowHeight="12.75"/>
  <cols>
    <col min="1" max="1" width="0.9921875" style="0" customWidth="1"/>
    <col min="2" max="2" width="1.28515625" style="0" customWidth="1"/>
    <col min="3" max="3" width="15.8515625" style="0" customWidth="1"/>
    <col min="4" max="4" width="32.7109375" style="0" customWidth="1"/>
    <col min="5" max="5" width="10.140625" style="0" customWidth="1"/>
    <col min="6" max="6" width="10.8515625" style="0" customWidth="1"/>
    <col min="7" max="7" width="7.140625" style="0" customWidth="1"/>
    <col min="8" max="8" width="11.421875" style="0" customWidth="1"/>
    <col min="9" max="9" width="10.28125" style="0" customWidth="1"/>
    <col min="10" max="10" width="8.7109375" style="0" customWidth="1"/>
    <col min="11" max="11" width="3.00390625" style="0" customWidth="1"/>
    <col min="12" max="12" width="9.8515625" style="0" customWidth="1"/>
    <col min="13" max="13" width="10.140625" style="0" customWidth="1"/>
    <col min="14" max="14" width="0.9921875" style="0" customWidth="1"/>
    <col min="15" max="15" width="6.57421875" style="0" customWidth="1"/>
    <col min="16" max="16" width="1.421875" style="0" customWidth="1"/>
    <col min="17" max="17" width="0.71875" style="0" customWidth="1"/>
    <col min="18" max="18" width="24.8515625" style="0" bestFit="1" customWidth="1"/>
    <col min="19" max="19" width="11.140625" style="0" customWidth="1"/>
    <col min="20" max="20" width="16.7109375" style="0" customWidth="1"/>
    <col min="21" max="21" width="8.28125" style="0" customWidth="1"/>
    <col min="22" max="22" width="6.8515625" style="0" customWidth="1"/>
    <col min="24" max="24" width="7.57421875" style="0" customWidth="1"/>
    <col min="25" max="25" width="0.9921875" style="0" customWidth="1"/>
  </cols>
  <sheetData>
    <row r="1" spans="1:25" ht="13.5" thickBot="1">
      <c r="A1" s="519" t="str">
        <f>'Trial Balance'!A1:F1</f>
        <v>Rideau St. Lawrence Distribution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R1" s="597" t="s">
        <v>911</v>
      </c>
      <c r="S1" s="597"/>
      <c r="T1" s="597"/>
      <c r="U1" s="597"/>
      <c r="V1" s="597"/>
      <c r="W1" s="597"/>
      <c r="X1" s="597"/>
      <c r="Y1" s="37"/>
    </row>
    <row r="2" spans="1:25" ht="15.75">
      <c r="A2" s="519" t="str">
        <f>'Trial Balance'!A2:F2</f>
        <v> License Number ED-2003-0003, File Number EB-2011-0274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Q2" s="35"/>
      <c r="R2" s="598" t="s">
        <v>797</v>
      </c>
      <c r="S2" s="598"/>
      <c r="T2" s="598"/>
      <c r="U2" s="598"/>
      <c r="V2" s="598"/>
      <c r="W2" s="598"/>
      <c r="X2" s="598"/>
      <c r="Y2" s="37"/>
    </row>
    <row r="3" spans="1:25" ht="20.25">
      <c r="A3" s="413"/>
      <c r="B3" s="604" t="s">
        <v>926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413"/>
      <c r="P3" s="16"/>
      <c r="Q3" s="218"/>
      <c r="R3" s="76" t="s">
        <v>174</v>
      </c>
      <c r="S3" s="76" t="s">
        <v>176</v>
      </c>
      <c r="T3" s="76" t="s">
        <v>436</v>
      </c>
      <c r="U3" s="593" t="s">
        <v>164</v>
      </c>
      <c r="V3" s="594"/>
      <c r="W3" s="595" t="s">
        <v>163</v>
      </c>
      <c r="X3" s="595"/>
      <c r="Y3" s="220"/>
    </row>
    <row r="4" spans="2:25" ht="35.25" customHeight="1" thickBot="1">
      <c r="B4" s="599" t="s">
        <v>213</v>
      </c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Q4" s="38"/>
      <c r="R4" s="48" t="s">
        <v>424</v>
      </c>
      <c r="S4" s="235">
        <f>S11*T4</f>
        <v>2571516.8895535</v>
      </c>
      <c r="T4" s="61">
        <f>'Return on Capital'!D8</f>
        <v>0.493</v>
      </c>
      <c r="U4" s="589">
        <f>M34</f>
        <v>0.0499</v>
      </c>
      <c r="V4" s="589"/>
      <c r="W4" s="582">
        <f>S4*U4</f>
        <v>128318.69278871965</v>
      </c>
      <c r="X4" s="582"/>
      <c r="Y4" s="47"/>
    </row>
    <row r="5" spans="2:25" ht="18" customHeight="1">
      <c r="B5" s="35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37"/>
      <c r="Q5" s="38"/>
      <c r="R5" s="48" t="s">
        <v>425</v>
      </c>
      <c r="S5" s="235">
        <f>S11*T5</f>
        <v>208642.34397999998</v>
      </c>
      <c r="T5" s="61">
        <f>'Return on Capital'!D9</f>
        <v>0.04</v>
      </c>
      <c r="U5" s="591">
        <f>'Return on Capital'!E9</f>
        <v>0.0447</v>
      </c>
      <c r="V5" s="591"/>
      <c r="W5" s="582">
        <f>S5*U5</f>
        <v>9326.312775905999</v>
      </c>
      <c r="X5" s="582"/>
      <c r="Y5" s="47"/>
    </row>
    <row r="6" spans="2:25" ht="21.75" customHeight="1">
      <c r="B6" s="38"/>
      <c r="C6" s="568" t="s">
        <v>429</v>
      </c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47"/>
      <c r="Q6" s="38"/>
      <c r="R6" s="57" t="s">
        <v>504</v>
      </c>
      <c r="S6" s="236">
        <f>S4+S5</f>
        <v>2780159.2335334998</v>
      </c>
      <c r="T6" s="60">
        <f>T4+T5</f>
        <v>0.533</v>
      </c>
      <c r="U6" s="585"/>
      <c r="V6" s="585"/>
      <c r="W6" s="584">
        <f>SUM(W4:X5)</f>
        <v>137645.00556462564</v>
      </c>
      <c r="X6" s="584"/>
      <c r="Y6" s="47"/>
    </row>
    <row r="7" spans="2:25" s="16" customFormat="1" ht="33" customHeight="1">
      <c r="B7" s="218"/>
      <c r="C7" s="76" t="s">
        <v>174</v>
      </c>
      <c r="D7" s="76" t="s">
        <v>430</v>
      </c>
      <c r="E7" s="219" t="s">
        <v>431</v>
      </c>
      <c r="F7" s="593" t="s">
        <v>432</v>
      </c>
      <c r="G7" s="603"/>
      <c r="H7" s="76" t="s">
        <v>433</v>
      </c>
      <c r="I7" s="76" t="s">
        <v>434</v>
      </c>
      <c r="J7" s="595" t="s">
        <v>165</v>
      </c>
      <c r="K7" s="595"/>
      <c r="L7" s="219" t="s">
        <v>166</v>
      </c>
      <c r="M7" s="76" t="s">
        <v>435</v>
      </c>
      <c r="N7" s="220"/>
      <c r="P7"/>
      <c r="Q7" s="38"/>
      <c r="R7" s="48"/>
      <c r="S7" s="221"/>
      <c r="T7" s="61"/>
      <c r="U7" s="586"/>
      <c r="V7" s="586"/>
      <c r="W7" s="582"/>
      <c r="X7" s="582"/>
      <c r="Y7" s="47"/>
    </row>
    <row r="8" spans="2:25" ht="12.75">
      <c r="B8" s="38"/>
      <c r="C8" s="398" t="s">
        <v>916</v>
      </c>
      <c r="D8" s="398" t="s">
        <v>915</v>
      </c>
      <c r="E8" s="421" t="s">
        <v>878</v>
      </c>
      <c r="F8" s="455" t="s">
        <v>917</v>
      </c>
      <c r="G8" s="82">
        <v>2001</v>
      </c>
      <c r="H8" s="460">
        <v>1570256</v>
      </c>
      <c r="I8" s="461" t="s">
        <v>915</v>
      </c>
      <c r="J8" s="462">
        <v>0.0499</v>
      </c>
      <c r="K8" s="419"/>
      <c r="L8" s="82">
        <v>2008</v>
      </c>
      <c r="M8" s="275">
        <f>H8*J8</f>
        <v>78355.7744</v>
      </c>
      <c r="N8" s="47"/>
      <c r="Q8" s="38"/>
      <c r="R8" s="48" t="s">
        <v>423</v>
      </c>
      <c r="S8" s="235">
        <f>S11*T8</f>
        <v>2435899.3659665</v>
      </c>
      <c r="T8" s="61">
        <f>'Return on Capital'!D10</f>
        <v>0.467</v>
      </c>
      <c r="U8" s="587">
        <f>'Return on Capital'!E10</f>
        <v>0.0857</v>
      </c>
      <c r="V8" s="587"/>
      <c r="W8" s="582">
        <f>S8*U8</f>
        <v>208756.57566332901</v>
      </c>
      <c r="X8" s="582"/>
      <c r="Y8" s="47"/>
    </row>
    <row r="9" spans="2:25" ht="12.75">
      <c r="B9" s="38"/>
      <c r="C9" s="398" t="s">
        <v>920</v>
      </c>
      <c r="D9" s="398" t="s">
        <v>912</v>
      </c>
      <c r="E9" s="198"/>
      <c r="F9" s="455" t="s">
        <v>919</v>
      </c>
      <c r="G9" s="82">
        <v>2009</v>
      </c>
      <c r="H9" s="460">
        <v>245000</v>
      </c>
      <c r="I9" s="461">
        <v>8</v>
      </c>
      <c r="J9" s="462">
        <v>0.03</v>
      </c>
      <c r="K9" s="198"/>
      <c r="L9" s="82">
        <v>2009</v>
      </c>
      <c r="M9" s="275">
        <f aca="true" t="shared" si="0" ref="M9:M16">H9*J9</f>
        <v>7350</v>
      </c>
      <c r="N9" s="47"/>
      <c r="Q9" s="38"/>
      <c r="R9" s="57" t="s">
        <v>437</v>
      </c>
      <c r="S9" s="58">
        <f>+S8</f>
        <v>2435899.3659665</v>
      </c>
      <c r="T9" s="60">
        <f>+T8</f>
        <v>0.467</v>
      </c>
      <c r="U9" s="585"/>
      <c r="V9" s="585"/>
      <c r="W9" s="584">
        <f>W8</f>
        <v>208756.57566332901</v>
      </c>
      <c r="X9" s="584"/>
      <c r="Y9" s="47"/>
    </row>
    <row r="10" spans="2:25" ht="12.75">
      <c r="B10" s="38"/>
      <c r="C10" s="198" t="s">
        <v>873</v>
      </c>
      <c r="D10" s="398" t="s">
        <v>912</v>
      </c>
      <c r="E10" s="198"/>
      <c r="F10" s="421" t="s">
        <v>921</v>
      </c>
      <c r="G10" s="82">
        <v>2009</v>
      </c>
      <c r="H10" s="460">
        <v>833402.77</v>
      </c>
      <c r="I10" s="461" t="s">
        <v>918</v>
      </c>
      <c r="J10" s="462">
        <v>0.03</v>
      </c>
      <c r="K10" s="198"/>
      <c r="L10" s="82">
        <v>2009</v>
      </c>
      <c r="M10" s="275">
        <f t="shared" si="0"/>
        <v>25002.0831</v>
      </c>
      <c r="N10" s="47"/>
      <c r="Q10" s="38"/>
      <c r="R10" s="48"/>
      <c r="S10" s="221"/>
      <c r="T10" s="48"/>
      <c r="U10" s="581"/>
      <c r="V10" s="581"/>
      <c r="W10" s="582"/>
      <c r="X10" s="582"/>
      <c r="Y10" s="47"/>
    </row>
    <row r="11" spans="2:25" ht="12.75">
      <c r="B11" s="38"/>
      <c r="C11" s="398" t="s">
        <v>916</v>
      </c>
      <c r="D11" s="398" t="s">
        <v>922</v>
      </c>
      <c r="E11" s="421" t="s">
        <v>878</v>
      </c>
      <c r="F11" s="455" t="s">
        <v>917</v>
      </c>
      <c r="G11" s="82">
        <v>2001</v>
      </c>
      <c r="H11" s="460">
        <v>225000</v>
      </c>
      <c r="I11" s="461" t="s">
        <v>918</v>
      </c>
      <c r="J11" s="462">
        <v>0.0499</v>
      </c>
      <c r="K11" s="198"/>
      <c r="L11" s="82">
        <v>2009</v>
      </c>
      <c r="M11" s="275">
        <f t="shared" si="0"/>
        <v>11227.5</v>
      </c>
      <c r="N11" s="47"/>
      <c r="Q11" s="38"/>
      <c r="R11" s="57" t="s">
        <v>179</v>
      </c>
      <c r="S11" s="236">
        <f>'Return on Capital'!E38</f>
        <v>5216058.5995</v>
      </c>
      <c r="T11" s="60">
        <f>T6+T9</f>
        <v>1</v>
      </c>
      <c r="U11" s="583">
        <f>W11/S11</f>
        <v>0.0664106</v>
      </c>
      <c r="V11" s="583"/>
      <c r="W11" s="584">
        <f>W6+W9</f>
        <v>346401.58122795465</v>
      </c>
      <c r="X11" s="584"/>
      <c r="Y11" s="47"/>
    </row>
    <row r="12" spans="2:25" ht="13.5" thickBot="1">
      <c r="B12" s="38"/>
      <c r="C12" s="398" t="s">
        <v>916</v>
      </c>
      <c r="D12" s="398" t="s">
        <v>923</v>
      </c>
      <c r="E12" s="421" t="s">
        <v>878</v>
      </c>
      <c r="F12" s="455" t="s">
        <v>917</v>
      </c>
      <c r="G12" s="82">
        <v>2001</v>
      </c>
      <c r="H12" s="460">
        <v>938352.49</v>
      </c>
      <c r="I12" s="461" t="s">
        <v>918</v>
      </c>
      <c r="J12" s="462">
        <v>0.0499</v>
      </c>
      <c r="K12" s="398"/>
      <c r="L12" s="82">
        <v>2009</v>
      </c>
      <c r="M12" s="275">
        <f t="shared" si="0"/>
        <v>46823.789251</v>
      </c>
      <c r="N12" s="47"/>
      <c r="Q12" s="41"/>
      <c r="R12" s="580"/>
      <c r="S12" s="580"/>
      <c r="T12" s="580"/>
      <c r="U12" s="580"/>
      <c r="V12" s="580"/>
      <c r="W12" s="580"/>
      <c r="X12" s="580"/>
      <c r="Y12" s="43"/>
    </row>
    <row r="13" spans="2:14" ht="13.5" thickBot="1">
      <c r="B13" s="38"/>
      <c r="C13" s="398" t="s">
        <v>913</v>
      </c>
      <c r="D13" s="398" t="s">
        <v>912</v>
      </c>
      <c r="E13" s="198"/>
      <c r="F13" s="455" t="s">
        <v>917</v>
      </c>
      <c r="G13" s="82">
        <v>2001</v>
      </c>
      <c r="H13" s="460">
        <v>188469.89</v>
      </c>
      <c r="I13" s="461">
        <v>10</v>
      </c>
      <c r="J13" s="462">
        <v>0.0499</v>
      </c>
      <c r="K13" s="198"/>
      <c r="L13" s="82">
        <v>2009</v>
      </c>
      <c r="M13" s="275">
        <f t="shared" si="0"/>
        <v>9404.647511000001</v>
      </c>
      <c r="N13" s="47"/>
    </row>
    <row r="14" spans="2:25" ht="12.75">
      <c r="B14" s="38"/>
      <c r="C14" s="398" t="s">
        <v>920</v>
      </c>
      <c r="D14" s="398" t="s">
        <v>912</v>
      </c>
      <c r="E14" s="398"/>
      <c r="F14" s="455" t="s">
        <v>919</v>
      </c>
      <c r="G14" s="82">
        <v>2009</v>
      </c>
      <c r="H14" s="463">
        <f>(245000+214375.04)/2</f>
        <v>229687.52000000002</v>
      </c>
      <c r="I14" s="461">
        <v>8</v>
      </c>
      <c r="J14" s="462">
        <v>0.03</v>
      </c>
      <c r="K14" s="398"/>
      <c r="L14" s="421">
        <v>2010</v>
      </c>
      <c r="M14" s="275">
        <f t="shared" si="0"/>
        <v>6890.6256</v>
      </c>
      <c r="N14" s="47"/>
      <c r="Q14" s="35"/>
      <c r="R14" s="592"/>
      <c r="S14" s="592"/>
      <c r="T14" s="592"/>
      <c r="U14" s="592"/>
      <c r="V14" s="592"/>
      <c r="W14" s="592"/>
      <c r="X14" s="592"/>
      <c r="Y14" s="37"/>
    </row>
    <row r="15" spans="2:25" ht="15.75">
      <c r="B15" s="38"/>
      <c r="C15" s="398" t="s">
        <v>873</v>
      </c>
      <c r="D15" s="398" t="s">
        <v>912</v>
      </c>
      <c r="E15" s="398"/>
      <c r="F15" s="421" t="s">
        <v>921</v>
      </c>
      <c r="G15" s="421">
        <v>2010</v>
      </c>
      <c r="H15" s="463">
        <f>(791732.59+833402.77)/2</f>
        <v>812567.6799999999</v>
      </c>
      <c r="I15" s="461">
        <v>10</v>
      </c>
      <c r="J15" s="462">
        <v>0.03</v>
      </c>
      <c r="K15" s="398"/>
      <c r="L15" s="421">
        <v>2010</v>
      </c>
      <c r="M15" s="275">
        <f t="shared" si="0"/>
        <v>24377.030399999996</v>
      </c>
      <c r="N15" s="47"/>
      <c r="O15" s="176"/>
      <c r="Q15" s="38"/>
      <c r="R15" s="568" t="s">
        <v>798</v>
      </c>
      <c r="S15" s="568"/>
      <c r="T15" s="568"/>
      <c r="U15" s="568"/>
      <c r="V15" s="568"/>
      <c r="W15" s="568"/>
      <c r="X15" s="568"/>
      <c r="Y15" s="47"/>
    </row>
    <row r="16" spans="2:25" ht="15" customHeight="1">
      <c r="B16" s="38"/>
      <c r="C16" s="398" t="s">
        <v>916</v>
      </c>
      <c r="D16" s="398" t="s">
        <v>922</v>
      </c>
      <c r="E16" s="421" t="s">
        <v>878</v>
      </c>
      <c r="F16" s="455" t="s">
        <v>917</v>
      </c>
      <c r="G16" s="82">
        <v>2001</v>
      </c>
      <c r="H16" s="460">
        <v>225000</v>
      </c>
      <c r="I16" s="461" t="s">
        <v>918</v>
      </c>
      <c r="J16" s="462">
        <v>0.0499</v>
      </c>
      <c r="K16" s="198"/>
      <c r="L16" s="421">
        <v>2010</v>
      </c>
      <c r="M16" s="275">
        <f t="shared" si="0"/>
        <v>11227.5</v>
      </c>
      <c r="N16" s="47"/>
      <c r="P16" s="16"/>
      <c r="Q16" s="218"/>
      <c r="R16" s="76" t="s">
        <v>174</v>
      </c>
      <c r="S16" s="76" t="s">
        <v>176</v>
      </c>
      <c r="T16" s="76" t="s">
        <v>436</v>
      </c>
      <c r="U16" s="593" t="s">
        <v>164</v>
      </c>
      <c r="V16" s="594"/>
      <c r="W16" s="595" t="s">
        <v>163</v>
      </c>
      <c r="X16" s="595"/>
      <c r="Y16" s="220"/>
    </row>
    <row r="17" spans="2:25" ht="13.5" thickBot="1">
      <c r="B17" s="38"/>
      <c r="C17" s="398" t="s">
        <v>916</v>
      </c>
      <c r="D17" s="398" t="s">
        <v>923</v>
      </c>
      <c r="E17" s="421" t="s">
        <v>878</v>
      </c>
      <c r="F17" s="455" t="s">
        <v>917</v>
      </c>
      <c r="G17" s="82">
        <v>2001</v>
      </c>
      <c r="H17" s="463">
        <v>938352.49</v>
      </c>
      <c r="I17" s="461" t="s">
        <v>918</v>
      </c>
      <c r="J17" s="462">
        <v>0.0499</v>
      </c>
      <c r="K17" s="398"/>
      <c r="L17" s="421">
        <v>2010</v>
      </c>
      <c r="M17" s="275">
        <f>H17*J17</f>
        <v>46823.789251</v>
      </c>
      <c r="N17" s="47"/>
      <c r="Q17" s="38"/>
      <c r="R17" s="48" t="s">
        <v>424</v>
      </c>
      <c r="S17" s="235">
        <f>S25*T17</f>
        <v>2937707.1207145</v>
      </c>
      <c r="T17" s="61">
        <f>'Return on Capital'!J8</f>
        <v>0.527</v>
      </c>
      <c r="U17" s="589">
        <v>0.0499</v>
      </c>
      <c r="V17" s="589"/>
      <c r="W17" s="590">
        <f>S17*U17</f>
        <v>146591.58532365356</v>
      </c>
      <c r="X17" s="590"/>
      <c r="Y17" s="47"/>
    </row>
    <row r="18" spans="2:25" ht="12.75">
      <c r="B18" s="38"/>
      <c r="C18" s="398" t="s">
        <v>913</v>
      </c>
      <c r="D18" s="398" t="s">
        <v>912</v>
      </c>
      <c r="E18" s="198"/>
      <c r="F18" s="455" t="s">
        <v>917</v>
      </c>
      <c r="G18" s="82">
        <v>2001</v>
      </c>
      <c r="H18" s="460">
        <v>70939.84</v>
      </c>
      <c r="I18" s="464">
        <v>10</v>
      </c>
      <c r="J18" s="462">
        <v>0.0499</v>
      </c>
      <c r="K18" s="198"/>
      <c r="L18" s="421">
        <v>2010</v>
      </c>
      <c r="M18" s="275">
        <f>H18*J18</f>
        <v>3539.8980159999996</v>
      </c>
      <c r="N18" s="47"/>
      <c r="Q18" s="38"/>
      <c r="R18" s="48" t="s">
        <v>425</v>
      </c>
      <c r="S18" s="235">
        <f>S25*T18</f>
        <v>222975.87254</v>
      </c>
      <c r="T18" s="61">
        <v>0.04</v>
      </c>
      <c r="U18" s="591">
        <f>'Return on Capital'!K9</f>
        <v>0.0447</v>
      </c>
      <c r="V18" s="591"/>
      <c r="W18" s="582">
        <f>S18*U18</f>
        <v>9967.021502538</v>
      </c>
      <c r="X18" s="582"/>
      <c r="Y18" s="454"/>
    </row>
    <row r="19" spans="2:25" ht="12.75">
      <c r="B19" s="38"/>
      <c r="C19" s="398" t="s">
        <v>920</v>
      </c>
      <c r="D19" s="398" t="s">
        <v>912</v>
      </c>
      <c r="E19" s="258"/>
      <c r="F19" s="455" t="s">
        <v>919</v>
      </c>
      <c r="G19" s="82">
        <v>2009</v>
      </c>
      <c r="H19" s="463">
        <v>199062.56</v>
      </c>
      <c r="I19" s="461">
        <v>8</v>
      </c>
      <c r="J19" s="462">
        <v>0.03</v>
      </c>
      <c r="K19" s="419"/>
      <c r="L19" s="259">
        <v>2011</v>
      </c>
      <c r="M19" s="275">
        <f>H19*J19</f>
        <v>5971.8768</v>
      </c>
      <c r="N19" s="47"/>
      <c r="Q19" s="38"/>
      <c r="R19" s="48"/>
      <c r="S19" s="235"/>
      <c r="T19" s="61"/>
      <c r="U19" s="452"/>
      <c r="V19" s="452"/>
      <c r="W19" s="451"/>
      <c r="X19" s="451"/>
      <c r="Y19" s="459"/>
    </row>
    <row r="20" spans="2:25" ht="12.75">
      <c r="B20" s="38"/>
      <c r="C20" s="398" t="s">
        <v>873</v>
      </c>
      <c r="D20" s="398" t="s">
        <v>912</v>
      </c>
      <c r="E20" s="198"/>
      <c r="F20" s="421" t="s">
        <v>921</v>
      </c>
      <c r="G20" s="82">
        <v>2010</v>
      </c>
      <c r="H20" s="460">
        <f>'[11]Meters'!$F$55</f>
        <v>932128.9824999996</v>
      </c>
      <c r="I20" s="464">
        <v>10</v>
      </c>
      <c r="J20" s="462">
        <v>0.03</v>
      </c>
      <c r="K20" s="198"/>
      <c r="L20" s="82">
        <v>2011</v>
      </c>
      <c r="M20" s="275">
        <f aca="true" t="shared" si="1" ref="M20:M28">H20*J20</f>
        <v>27963.869474999985</v>
      </c>
      <c r="N20" s="47"/>
      <c r="Q20" s="38"/>
      <c r="R20" s="57" t="s">
        <v>504</v>
      </c>
      <c r="S20" s="236">
        <f>S17+S18</f>
        <v>3160682.9932545</v>
      </c>
      <c r="T20" s="60">
        <f>T17+T18</f>
        <v>0.5670000000000001</v>
      </c>
      <c r="U20" s="585"/>
      <c r="V20" s="585"/>
      <c r="W20" s="584">
        <f>SUM(W17:X18)</f>
        <v>156558.60682619156</v>
      </c>
      <c r="X20" s="584"/>
      <c r="Y20" s="47"/>
    </row>
    <row r="21" spans="2:25" ht="12.75">
      <c r="B21" s="38"/>
      <c r="C21" s="398" t="s">
        <v>916</v>
      </c>
      <c r="D21" s="398" t="s">
        <v>922</v>
      </c>
      <c r="E21" s="421" t="s">
        <v>878</v>
      </c>
      <c r="F21" s="455" t="s">
        <v>917</v>
      </c>
      <c r="G21" s="82">
        <v>2001</v>
      </c>
      <c r="H21" s="460">
        <v>225000</v>
      </c>
      <c r="I21" s="461" t="s">
        <v>918</v>
      </c>
      <c r="J21" s="462">
        <v>0.0499</v>
      </c>
      <c r="K21" s="419"/>
      <c r="L21" s="82">
        <v>2011</v>
      </c>
      <c r="M21" s="275">
        <f t="shared" si="1"/>
        <v>11227.5</v>
      </c>
      <c r="N21" s="47"/>
      <c r="Q21" s="38"/>
      <c r="R21" s="48"/>
      <c r="S21" s="221"/>
      <c r="T21" s="61"/>
      <c r="U21" s="586"/>
      <c r="V21" s="586"/>
      <c r="W21" s="582"/>
      <c r="X21" s="582"/>
      <c r="Y21" s="47"/>
    </row>
    <row r="22" spans="2:25" ht="12.75">
      <c r="B22" s="38"/>
      <c r="C22" s="398" t="s">
        <v>916</v>
      </c>
      <c r="D22" s="398" t="s">
        <v>923</v>
      </c>
      <c r="E22" s="421" t="s">
        <v>878</v>
      </c>
      <c r="F22" s="455" t="s">
        <v>917</v>
      </c>
      <c r="G22" s="82">
        <v>2001</v>
      </c>
      <c r="H22" s="463">
        <v>938352.49</v>
      </c>
      <c r="I22" s="461" t="s">
        <v>918</v>
      </c>
      <c r="J22" s="462">
        <v>0.0499</v>
      </c>
      <c r="K22" s="419"/>
      <c r="L22" s="82">
        <v>2011</v>
      </c>
      <c r="M22" s="275">
        <f t="shared" si="1"/>
        <v>46823.789251</v>
      </c>
      <c r="N22" s="47"/>
      <c r="Q22" s="38"/>
      <c r="R22" s="48" t="s">
        <v>423</v>
      </c>
      <c r="S22" s="235">
        <f>S25*T22</f>
        <v>2413713.8202455</v>
      </c>
      <c r="T22" s="61">
        <f>'Return on Capital'!J10</f>
        <v>0.433</v>
      </c>
      <c r="U22" s="587">
        <f>'Return on Capital'!K10</f>
        <v>0.0857</v>
      </c>
      <c r="V22" s="587"/>
      <c r="W22" s="582">
        <f>S22*U22</f>
        <v>206855.27439503936</v>
      </c>
      <c r="X22" s="582"/>
      <c r="Y22" s="47"/>
    </row>
    <row r="23" spans="2:25" ht="12.75">
      <c r="B23" s="38"/>
      <c r="C23" s="398" t="s">
        <v>914</v>
      </c>
      <c r="D23" s="398" t="s">
        <v>912</v>
      </c>
      <c r="E23" s="258"/>
      <c r="F23" s="456" t="s">
        <v>924</v>
      </c>
      <c r="G23" s="82">
        <v>2011</v>
      </c>
      <c r="H23" s="465">
        <f>(282556.35+273726.91)/2</f>
        <v>278141.63</v>
      </c>
      <c r="I23" s="464">
        <v>8</v>
      </c>
      <c r="J23" s="462">
        <v>0.038</v>
      </c>
      <c r="K23" s="419"/>
      <c r="L23" s="259">
        <v>2011</v>
      </c>
      <c r="M23" s="275">
        <f t="shared" si="1"/>
        <v>10569.38194</v>
      </c>
      <c r="N23" s="47"/>
      <c r="Q23" s="38"/>
      <c r="R23" s="57" t="s">
        <v>437</v>
      </c>
      <c r="S23" s="58">
        <f>+S22</f>
        <v>2413713.8202455</v>
      </c>
      <c r="T23" s="60">
        <f>+T22</f>
        <v>0.433</v>
      </c>
      <c r="U23" s="585"/>
      <c r="V23" s="585"/>
      <c r="W23" s="584">
        <f>W22</f>
        <v>206855.27439503936</v>
      </c>
      <c r="X23" s="584"/>
      <c r="Y23" s="47"/>
    </row>
    <row r="24" spans="2:25" ht="12.75">
      <c r="B24" s="38"/>
      <c r="C24" s="398" t="s">
        <v>920</v>
      </c>
      <c r="D24" s="398" t="s">
        <v>912</v>
      </c>
      <c r="E24" s="258"/>
      <c r="F24" s="455" t="s">
        <v>919</v>
      </c>
      <c r="G24" s="82">
        <v>2009</v>
      </c>
      <c r="H24" s="465">
        <f>(183750.08+153125)/2</f>
        <v>168437.53999999998</v>
      </c>
      <c r="I24" s="464">
        <v>8</v>
      </c>
      <c r="J24" s="462">
        <v>0.03</v>
      </c>
      <c r="K24" s="419"/>
      <c r="L24" s="259">
        <v>2012</v>
      </c>
      <c r="M24" s="275">
        <f t="shared" si="1"/>
        <v>5053.126199999999</v>
      </c>
      <c r="N24" s="47"/>
      <c r="Q24" s="38"/>
      <c r="R24" s="48"/>
      <c r="S24" s="221"/>
      <c r="T24" s="48"/>
      <c r="U24" s="581"/>
      <c r="V24" s="581"/>
      <c r="W24" s="582"/>
      <c r="X24" s="582"/>
      <c r="Y24" s="47"/>
    </row>
    <row r="25" spans="2:25" ht="12.75">
      <c r="B25" s="38"/>
      <c r="C25" s="398" t="s">
        <v>873</v>
      </c>
      <c r="D25" s="398" t="s">
        <v>912</v>
      </c>
      <c r="E25" s="258"/>
      <c r="F25" s="421" t="s">
        <v>921</v>
      </c>
      <c r="G25" s="82">
        <v>2010</v>
      </c>
      <c r="H25" s="465">
        <f>'[11]Meters'!$F$70</f>
        <v>877841.14</v>
      </c>
      <c r="I25" s="464">
        <v>10</v>
      </c>
      <c r="J25" s="462">
        <v>0.03</v>
      </c>
      <c r="K25" s="419"/>
      <c r="L25" s="259">
        <v>2012</v>
      </c>
      <c r="M25" s="275">
        <f t="shared" si="1"/>
        <v>26335.2342</v>
      </c>
      <c r="N25" s="47"/>
      <c r="Q25" s="38"/>
      <c r="R25" s="57" t="s">
        <v>179</v>
      </c>
      <c r="S25" s="58">
        <f>'Return on Capital'!K38</f>
        <v>5574396.8135</v>
      </c>
      <c r="T25" s="60">
        <f>T20+T23</f>
        <v>1</v>
      </c>
      <c r="U25" s="583">
        <f>W25/S25</f>
        <v>0.06519340000000001</v>
      </c>
      <c r="V25" s="583"/>
      <c r="W25" s="584">
        <f>W20+W23</f>
        <v>363413.88122123096</v>
      </c>
      <c r="X25" s="584"/>
      <c r="Y25" s="47"/>
    </row>
    <row r="26" spans="2:25" ht="13.5" thickBot="1">
      <c r="B26" s="38"/>
      <c r="C26" s="398" t="s">
        <v>916</v>
      </c>
      <c r="D26" s="398" t="s">
        <v>922</v>
      </c>
      <c r="E26" s="421" t="s">
        <v>878</v>
      </c>
      <c r="F26" s="455" t="s">
        <v>917</v>
      </c>
      <c r="G26" s="82">
        <v>2001</v>
      </c>
      <c r="H26" s="460">
        <v>225000</v>
      </c>
      <c r="I26" s="461" t="s">
        <v>918</v>
      </c>
      <c r="J26" s="462">
        <v>0.0441</v>
      </c>
      <c r="K26" s="419"/>
      <c r="L26" s="259">
        <v>2012</v>
      </c>
      <c r="M26" s="275">
        <f t="shared" si="1"/>
        <v>9922.5</v>
      </c>
      <c r="N26" s="47"/>
      <c r="Q26" s="41"/>
      <c r="R26" s="580"/>
      <c r="S26" s="580"/>
      <c r="T26" s="580"/>
      <c r="U26" s="580"/>
      <c r="V26" s="580"/>
      <c r="W26" s="580"/>
      <c r="X26" s="580"/>
      <c r="Y26" s="43"/>
    </row>
    <row r="27" spans="2:14" ht="13.5" thickBot="1">
      <c r="B27" s="38"/>
      <c r="C27" s="398" t="s">
        <v>916</v>
      </c>
      <c r="D27" s="398" t="s">
        <v>923</v>
      </c>
      <c r="E27" s="421" t="s">
        <v>878</v>
      </c>
      <c r="F27" s="455" t="s">
        <v>917</v>
      </c>
      <c r="G27" s="82">
        <v>2001</v>
      </c>
      <c r="H27" s="463">
        <v>938352.49</v>
      </c>
      <c r="I27" s="461" t="s">
        <v>918</v>
      </c>
      <c r="J27" s="462">
        <v>0.0441</v>
      </c>
      <c r="K27" s="419"/>
      <c r="L27" s="82">
        <v>2012</v>
      </c>
      <c r="M27" s="275">
        <f t="shared" si="1"/>
        <v>41381.344809</v>
      </c>
      <c r="N27" s="47"/>
    </row>
    <row r="28" spans="2:25" ht="12.75">
      <c r="B28" s="38"/>
      <c r="C28" s="398" t="s">
        <v>873</v>
      </c>
      <c r="D28" s="398" t="s">
        <v>912</v>
      </c>
      <c r="E28" s="258"/>
      <c r="F28" s="455" t="s">
        <v>917</v>
      </c>
      <c r="G28" s="82">
        <v>2001</v>
      </c>
      <c r="H28" s="422">
        <v>100000</v>
      </c>
      <c r="I28" s="421">
        <v>10</v>
      </c>
      <c r="J28" s="419">
        <v>0.0387</v>
      </c>
      <c r="K28" s="419"/>
      <c r="L28" s="82">
        <v>2012</v>
      </c>
      <c r="M28" s="275">
        <f t="shared" si="1"/>
        <v>3870</v>
      </c>
      <c r="N28" s="47"/>
      <c r="Q28" s="35"/>
      <c r="R28" s="592"/>
      <c r="S28" s="592"/>
      <c r="T28" s="592"/>
      <c r="U28" s="592"/>
      <c r="V28" s="592"/>
      <c r="W28" s="592"/>
      <c r="X28" s="592"/>
      <c r="Y28" s="37"/>
    </row>
    <row r="29" spans="2:25" ht="15.75">
      <c r="B29" s="38"/>
      <c r="C29" s="398" t="s">
        <v>914</v>
      </c>
      <c r="D29" s="398" t="s">
        <v>912</v>
      </c>
      <c r="E29" s="258"/>
      <c r="F29" s="456" t="s">
        <v>924</v>
      </c>
      <c r="G29" s="82">
        <v>2011</v>
      </c>
      <c r="H29" s="266">
        <v>256069</v>
      </c>
      <c r="I29" s="82">
        <v>8</v>
      </c>
      <c r="J29" s="419">
        <v>0.038</v>
      </c>
      <c r="K29" s="419"/>
      <c r="L29" s="259">
        <v>2012</v>
      </c>
      <c r="M29" s="275">
        <f>H29*J29</f>
        <v>9730.622</v>
      </c>
      <c r="N29" s="47"/>
      <c r="Q29" s="38"/>
      <c r="R29" s="568" t="s">
        <v>799</v>
      </c>
      <c r="S29" s="568"/>
      <c r="T29" s="568"/>
      <c r="U29" s="568"/>
      <c r="V29" s="568"/>
      <c r="W29" s="568"/>
      <c r="X29" s="568"/>
      <c r="Y29" s="47"/>
    </row>
    <row r="30" spans="2:25" ht="17.25" customHeight="1">
      <c r="B30" s="38"/>
      <c r="C30" s="398" t="s">
        <v>877</v>
      </c>
      <c r="D30" s="398" t="s">
        <v>877</v>
      </c>
      <c r="E30" s="258"/>
      <c r="F30" s="601" t="s">
        <v>877</v>
      </c>
      <c r="G30" s="602"/>
      <c r="H30" s="422" t="s">
        <v>877</v>
      </c>
      <c r="I30" s="421" t="s">
        <v>877</v>
      </c>
      <c r="J30" s="457" t="s">
        <v>877</v>
      </c>
      <c r="K30" s="419"/>
      <c r="L30" s="421" t="s">
        <v>877</v>
      </c>
      <c r="M30" s="458" t="s">
        <v>877</v>
      </c>
      <c r="N30" s="47"/>
      <c r="Q30" s="218"/>
      <c r="R30" s="76" t="s">
        <v>174</v>
      </c>
      <c r="S30" s="76" t="s">
        <v>176</v>
      </c>
      <c r="T30" s="76" t="s">
        <v>436</v>
      </c>
      <c r="U30" s="593" t="s">
        <v>164</v>
      </c>
      <c r="V30" s="594"/>
      <c r="W30" s="595" t="s">
        <v>163</v>
      </c>
      <c r="X30" s="595"/>
      <c r="Y30" s="220"/>
    </row>
    <row r="31" spans="2:25" ht="15" customHeight="1" thickBot="1">
      <c r="B31" s="38"/>
      <c r="C31" s="605"/>
      <c r="D31" s="605"/>
      <c r="E31" s="605"/>
      <c r="F31" s="605"/>
      <c r="G31" s="605"/>
      <c r="H31" s="605"/>
      <c r="I31" s="605"/>
      <c r="J31" s="605"/>
      <c r="K31" s="605"/>
      <c r="L31" s="605"/>
      <c r="M31" s="605"/>
      <c r="N31" s="47"/>
      <c r="Q31" s="38"/>
      <c r="R31" s="48" t="s">
        <v>424</v>
      </c>
      <c r="S31" s="235">
        <f>S38*T31</f>
        <v>3500455.6413866677</v>
      </c>
      <c r="T31" s="61">
        <f>'Return on Capital'!P8</f>
        <v>0.56</v>
      </c>
      <c r="U31" s="589">
        <f>'Return on Capital'!Q8</f>
        <v>0.0499</v>
      </c>
      <c r="V31" s="589"/>
      <c r="W31" s="590">
        <f>S31*U31</f>
        <v>174672.7365051947</v>
      </c>
      <c r="X31" s="590"/>
      <c r="Y31" s="47"/>
    </row>
    <row r="32" spans="2:25" ht="13.5" thickBot="1">
      <c r="B32" s="38"/>
      <c r="C32" s="600" t="s">
        <v>792</v>
      </c>
      <c r="D32" s="600"/>
      <c r="E32" s="600"/>
      <c r="F32" s="600"/>
      <c r="G32" s="600"/>
      <c r="H32" s="242">
        <f>SUMIF($L$8:$L$29,2008,$H$8:$H$30)</f>
        <v>1570256</v>
      </c>
      <c r="I32" s="596" t="s">
        <v>264</v>
      </c>
      <c r="J32" s="596"/>
      <c r="K32" s="596"/>
      <c r="L32" s="596"/>
      <c r="M32" s="242">
        <f>SUMIF($L$8:$L$29,2008,$M$8:$M$30)</f>
        <v>78355.7744</v>
      </c>
      <c r="N32" s="47"/>
      <c r="Q32" s="38"/>
      <c r="R32" s="48" t="s">
        <v>425</v>
      </c>
      <c r="S32" s="235">
        <f>S38*T32</f>
        <v>250032.5458133334</v>
      </c>
      <c r="T32" s="61">
        <v>0.04</v>
      </c>
      <c r="U32" s="591">
        <f>'Return on Capital'!Q9</f>
        <v>0.0447</v>
      </c>
      <c r="V32" s="591"/>
      <c r="W32" s="582">
        <f>S32*U32</f>
        <v>11176.454797856002</v>
      </c>
      <c r="X32" s="582"/>
      <c r="Y32" s="47"/>
    </row>
    <row r="33" spans="2:25" ht="13.5" thickBot="1">
      <c r="B33" s="38"/>
      <c r="C33" s="588"/>
      <c r="D33" s="588"/>
      <c r="E33" s="588"/>
      <c r="F33" s="588"/>
      <c r="G33" s="588"/>
      <c r="H33" s="588"/>
      <c r="I33" s="588"/>
      <c r="J33" s="588"/>
      <c r="K33" s="588"/>
      <c r="L33" s="588"/>
      <c r="M33" s="588"/>
      <c r="N33" s="47"/>
      <c r="Q33" s="38"/>
      <c r="R33" s="57" t="s">
        <v>504</v>
      </c>
      <c r="S33" s="236">
        <f>S31+S32</f>
        <v>3750488.187200001</v>
      </c>
      <c r="T33" s="60">
        <f>T31+T32</f>
        <v>0.6000000000000001</v>
      </c>
      <c r="U33" s="585"/>
      <c r="V33" s="585"/>
      <c r="W33" s="584">
        <f>SUM(W31:X32)</f>
        <v>185849.19130305073</v>
      </c>
      <c r="X33" s="584"/>
      <c r="Y33" s="47"/>
    </row>
    <row r="34" spans="2:25" ht="13.5" thickBot="1">
      <c r="B34" s="38"/>
      <c r="C34" s="552"/>
      <c r="D34" s="552"/>
      <c r="E34" s="552"/>
      <c r="F34" s="552"/>
      <c r="G34" s="552"/>
      <c r="H34" s="552"/>
      <c r="I34" s="596" t="s">
        <v>257</v>
      </c>
      <c r="J34" s="596"/>
      <c r="K34" s="596"/>
      <c r="L34" s="596"/>
      <c r="M34" s="201">
        <f>M32/H32</f>
        <v>0.0499</v>
      </c>
      <c r="N34" s="47"/>
      <c r="Q34" s="38"/>
      <c r="R34" s="48"/>
      <c r="S34" s="221"/>
      <c r="T34" s="61"/>
      <c r="U34" s="586"/>
      <c r="V34" s="586"/>
      <c r="W34" s="582"/>
      <c r="X34" s="582"/>
      <c r="Y34" s="47"/>
    </row>
    <row r="35" spans="2:25" ht="15.75" customHeight="1" thickBot="1">
      <c r="B35" s="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47"/>
      <c r="Q35" s="38"/>
      <c r="R35" s="48" t="s">
        <v>423</v>
      </c>
      <c r="S35" s="235">
        <f>S38*T35</f>
        <v>2500325.458133334</v>
      </c>
      <c r="T35" s="61">
        <f>'Return on Capital'!P10</f>
        <v>0.4</v>
      </c>
      <c r="U35" s="587">
        <f>'Return on Capital'!Q10</f>
        <v>0.0857</v>
      </c>
      <c r="V35" s="587"/>
      <c r="W35" s="582">
        <f>S35*U35</f>
        <v>214277.8917620267</v>
      </c>
      <c r="X35" s="582"/>
      <c r="Y35" s="47"/>
    </row>
    <row r="36" spans="2:25" ht="15.75" customHeight="1" thickBot="1">
      <c r="B36" s="38"/>
      <c r="C36" s="600" t="s">
        <v>793</v>
      </c>
      <c r="D36" s="600"/>
      <c r="E36" s="600"/>
      <c r="F36" s="600"/>
      <c r="G36" s="600"/>
      <c r="H36" s="242">
        <f>SUMIF($L$8:$L$29,2009,$H$8:$H$30)</f>
        <v>2430225.15</v>
      </c>
      <c r="I36" s="596" t="s">
        <v>161</v>
      </c>
      <c r="J36" s="596"/>
      <c r="K36" s="596"/>
      <c r="L36" s="596"/>
      <c r="M36" s="242">
        <f>SUMIF($L$8:$L$29,2009,$M$8:$M$30)</f>
        <v>99808.019862</v>
      </c>
      <c r="N36" s="47"/>
      <c r="Q36" s="38"/>
      <c r="R36" s="57" t="s">
        <v>437</v>
      </c>
      <c r="S36" s="58">
        <f>+S35</f>
        <v>2500325.458133334</v>
      </c>
      <c r="T36" s="60">
        <f>+T35</f>
        <v>0.4</v>
      </c>
      <c r="U36" s="585"/>
      <c r="V36" s="585"/>
      <c r="W36" s="584">
        <f>W35</f>
        <v>214277.8917620267</v>
      </c>
      <c r="X36" s="584"/>
      <c r="Y36" s="47"/>
    </row>
    <row r="37" spans="2:25" ht="13.5" thickBot="1">
      <c r="B37" s="38"/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47"/>
      <c r="Q37" s="38"/>
      <c r="R37" s="48"/>
      <c r="S37" s="221"/>
      <c r="T37" s="48"/>
      <c r="U37" s="581"/>
      <c r="V37" s="581"/>
      <c r="W37" s="582"/>
      <c r="X37" s="582"/>
      <c r="Y37" s="47"/>
    </row>
    <row r="38" spans="2:25" ht="13.5" thickBot="1">
      <c r="B38" s="38"/>
      <c r="C38" s="552"/>
      <c r="D38" s="552"/>
      <c r="E38" s="552"/>
      <c r="F38" s="552"/>
      <c r="G38" s="552"/>
      <c r="H38" s="552"/>
      <c r="I38" s="596" t="s">
        <v>162</v>
      </c>
      <c r="J38" s="596"/>
      <c r="K38" s="596"/>
      <c r="L38" s="596"/>
      <c r="M38" s="201">
        <f>M36/H36</f>
        <v>0.04106945394010098</v>
      </c>
      <c r="N38" s="47"/>
      <c r="Q38" s="38"/>
      <c r="R38" s="57" t="s">
        <v>179</v>
      </c>
      <c r="S38" s="58">
        <f>'Return on Capital'!Q38</f>
        <v>6250813.645333335</v>
      </c>
      <c r="T38" s="60">
        <f>T33+T36</f>
        <v>1</v>
      </c>
      <c r="U38" s="583">
        <f>W38/S38</f>
        <v>0.064012</v>
      </c>
      <c r="V38" s="583"/>
      <c r="W38" s="584">
        <f>W33+W36</f>
        <v>400127.08306507743</v>
      </c>
      <c r="X38" s="584"/>
      <c r="Y38" s="47"/>
    </row>
    <row r="39" spans="2:25" ht="9" customHeight="1" thickBot="1">
      <c r="B39" s="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47"/>
      <c r="Q39" s="41"/>
      <c r="R39" s="580"/>
      <c r="S39" s="580"/>
      <c r="T39" s="580"/>
      <c r="U39" s="580"/>
      <c r="V39" s="580"/>
      <c r="W39" s="580"/>
      <c r="X39" s="580"/>
      <c r="Y39" s="43"/>
    </row>
    <row r="40" spans="2:14" ht="13.5" thickBot="1">
      <c r="B40" s="38"/>
      <c r="C40" s="600" t="s">
        <v>794</v>
      </c>
      <c r="D40" s="600"/>
      <c r="E40" s="600"/>
      <c r="F40" s="600"/>
      <c r="G40" s="600"/>
      <c r="H40" s="242">
        <f>SUMIF($L$8:$L$29,2010,$H$8:$H$30)</f>
        <v>2276547.53</v>
      </c>
      <c r="I40" s="596" t="s">
        <v>795</v>
      </c>
      <c r="J40" s="596"/>
      <c r="K40" s="596"/>
      <c r="L40" s="596"/>
      <c r="M40" s="242">
        <f>SUMIF($L$8:$L$29,2010,$M$8:$M$30)</f>
        <v>92858.843267</v>
      </c>
      <c r="N40" s="47"/>
    </row>
    <row r="41" spans="2:25" ht="13.5" thickBot="1">
      <c r="B41" s="38"/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47"/>
      <c r="Q41" s="35"/>
      <c r="R41" s="592"/>
      <c r="S41" s="592"/>
      <c r="T41" s="592"/>
      <c r="U41" s="592"/>
      <c r="V41" s="592"/>
      <c r="W41" s="592"/>
      <c r="X41" s="592"/>
      <c r="Y41" s="37"/>
    </row>
    <row r="42" spans="2:25" ht="16.5" thickBot="1">
      <c r="B42" s="38"/>
      <c r="C42" s="552"/>
      <c r="D42" s="552"/>
      <c r="E42" s="552"/>
      <c r="F42" s="552"/>
      <c r="G42" s="552"/>
      <c r="H42" s="552"/>
      <c r="I42" s="596" t="s">
        <v>796</v>
      </c>
      <c r="J42" s="596"/>
      <c r="K42" s="596"/>
      <c r="L42" s="596"/>
      <c r="M42" s="201">
        <f>M40/H40</f>
        <v>0.040789327718099525</v>
      </c>
      <c r="N42" s="47"/>
      <c r="Q42" s="38"/>
      <c r="R42" s="568" t="s">
        <v>812</v>
      </c>
      <c r="S42" s="568"/>
      <c r="T42" s="568"/>
      <c r="U42" s="568"/>
      <c r="V42" s="568"/>
      <c r="W42" s="568"/>
      <c r="X42" s="568"/>
      <c r="Y42" s="47"/>
    </row>
    <row r="43" spans="2:25" ht="19.5" customHeight="1" thickBot="1">
      <c r="B43" s="38"/>
      <c r="C43" s="48"/>
      <c r="D43" s="48"/>
      <c r="E43" s="48"/>
      <c r="F43" s="48"/>
      <c r="G43" s="48"/>
      <c r="H43" s="48"/>
      <c r="I43" s="320"/>
      <c r="J43" s="320"/>
      <c r="K43" s="320"/>
      <c r="L43" s="320"/>
      <c r="N43" s="47"/>
      <c r="Q43" s="218"/>
      <c r="R43" s="76" t="s">
        <v>174</v>
      </c>
      <c r="S43" s="76" t="s">
        <v>176</v>
      </c>
      <c r="T43" s="76" t="s">
        <v>436</v>
      </c>
      <c r="U43" s="593" t="s">
        <v>164</v>
      </c>
      <c r="V43" s="594"/>
      <c r="W43" s="595" t="s">
        <v>163</v>
      </c>
      <c r="X43" s="595"/>
      <c r="Y43" s="220"/>
    </row>
    <row r="44" spans="2:25" ht="18" customHeight="1" thickBot="1">
      <c r="B44" s="38"/>
      <c r="C44" s="600" t="s">
        <v>811</v>
      </c>
      <c r="D44" s="600"/>
      <c r="E44" s="600"/>
      <c r="F44" s="600"/>
      <c r="G44" s="600"/>
      <c r="H44" s="242">
        <f>SUMIF($L$8:$L$29,2011,$H$8:$H$30)</f>
        <v>2572685.6624999996</v>
      </c>
      <c r="I44" s="596" t="s">
        <v>809</v>
      </c>
      <c r="J44" s="596"/>
      <c r="K44" s="596"/>
      <c r="L44" s="596"/>
      <c r="M44" s="242">
        <f>SUMIF($L$8:$L$29,2011,$M$8:$M$30)</f>
        <v>102556.41746599998</v>
      </c>
      <c r="N44" s="47"/>
      <c r="Q44" s="38"/>
      <c r="R44" s="48" t="s">
        <v>424</v>
      </c>
      <c r="S44" s="235">
        <f>S51*T44</f>
        <v>3918884.6314606727</v>
      </c>
      <c r="T44" s="61">
        <f>'Return on Capital'!V8</f>
        <v>0.56</v>
      </c>
      <c r="U44" s="589">
        <f>'Return on Capital'!W8</f>
        <v>0.0499</v>
      </c>
      <c r="V44" s="589"/>
      <c r="W44" s="590">
        <f>S44*U44</f>
        <v>195552.34310988756</v>
      </c>
      <c r="X44" s="590"/>
      <c r="Y44" s="47"/>
    </row>
    <row r="45" spans="2:25" ht="15.75" customHeight="1" thickBot="1">
      <c r="B45" s="3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47"/>
      <c r="Q45" s="38"/>
      <c r="R45" s="48" t="s">
        <v>425</v>
      </c>
      <c r="S45" s="235">
        <f>S51*T45</f>
        <v>279920.33081861946</v>
      </c>
      <c r="T45" s="61">
        <v>0.04</v>
      </c>
      <c r="U45" s="591">
        <f>'Return on Capital'!W9</f>
        <v>0.0447</v>
      </c>
      <c r="V45" s="591"/>
      <c r="W45" s="582">
        <f>S45*U45</f>
        <v>12512.43878759229</v>
      </c>
      <c r="X45" s="582"/>
      <c r="Y45" s="47"/>
    </row>
    <row r="46" spans="2:25" ht="13.5" thickBot="1">
      <c r="B46" s="38"/>
      <c r="C46" s="552"/>
      <c r="D46" s="552"/>
      <c r="E46" s="552"/>
      <c r="F46" s="552"/>
      <c r="G46" s="552"/>
      <c r="H46" s="552"/>
      <c r="I46" s="596" t="s">
        <v>810</v>
      </c>
      <c r="J46" s="596"/>
      <c r="K46" s="596"/>
      <c r="L46" s="596"/>
      <c r="M46" s="201">
        <f>M44/H44</f>
        <v>0.03986356318647226</v>
      </c>
      <c r="N46" s="47"/>
      <c r="Q46" s="38"/>
      <c r="R46" s="57" t="s">
        <v>504</v>
      </c>
      <c r="S46" s="236">
        <f>S44+S45</f>
        <v>4198804.962279292</v>
      </c>
      <c r="T46" s="60">
        <f>T44+T45</f>
        <v>0.6000000000000001</v>
      </c>
      <c r="U46" s="585"/>
      <c r="V46" s="585"/>
      <c r="W46" s="584">
        <f>SUM(W44:X45)</f>
        <v>208064.78189747984</v>
      </c>
      <c r="X46" s="584"/>
      <c r="Y46" s="47"/>
    </row>
    <row r="47" spans="2:25" ht="13.5" thickBot="1">
      <c r="B47" s="38"/>
      <c r="C47" s="48"/>
      <c r="D47" s="48"/>
      <c r="E47" s="48"/>
      <c r="F47" s="48"/>
      <c r="G47" s="48"/>
      <c r="H47" s="48"/>
      <c r="I47" s="320"/>
      <c r="J47" s="320"/>
      <c r="K47" s="320"/>
      <c r="L47" s="320"/>
      <c r="M47" s="386"/>
      <c r="N47" s="47"/>
      <c r="Q47" s="38"/>
      <c r="R47" s="48"/>
      <c r="S47" s="221"/>
      <c r="T47" s="61"/>
      <c r="U47" s="586"/>
      <c r="V47" s="586"/>
      <c r="W47" s="582"/>
      <c r="X47" s="582"/>
      <c r="Y47" s="47"/>
    </row>
    <row r="48" spans="2:25" ht="13.5" thickBot="1">
      <c r="B48" s="38"/>
      <c r="C48" s="600" t="s">
        <v>827</v>
      </c>
      <c r="D48" s="600"/>
      <c r="E48" s="600"/>
      <c r="F48" s="600"/>
      <c r="G48" s="600"/>
      <c r="H48" s="242">
        <f>SUMIF($L$8:$L$30,2012,$H$8:$H$30)</f>
        <v>2565700.17</v>
      </c>
      <c r="I48" s="596" t="s">
        <v>862</v>
      </c>
      <c r="J48" s="596"/>
      <c r="K48" s="596"/>
      <c r="L48" s="596"/>
      <c r="M48" s="242">
        <f>SUMIF($L$8:$L$30,2012,$M$8:$M$30)</f>
        <v>96292.82720900001</v>
      </c>
      <c r="N48" s="47"/>
      <c r="Q48" s="38"/>
      <c r="R48" s="48" t="s">
        <v>423</v>
      </c>
      <c r="S48" s="235">
        <f>S51*T48</f>
        <v>2799203.308186195</v>
      </c>
      <c r="T48" s="61">
        <f>'Return on Capital'!V10</f>
        <v>0.4</v>
      </c>
      <c r="U48" s="587">
        <f>'Return on Capital'!W10</f>
        <v>0.0857</v>
      </c>
      <c r="V48" s="587"/>
      <c r="W48" s="582">
        <f>S48*U48</f>
        <v>239891.7235115569</v>
      </c>
      <c r="X48" s="582"/>
      <c r="Y48" s="47"/>
    </row>
    <row r="49" spans="2:25" ht="13.5" thickBot="1">
      <c r="B49" s="38"/>
      <c r="C49" s="588"/>
      <c r="D49" s="588"/>
      <c r="E49" s="588"/>
      <c r="F49" s="588"/>
      <c r="G49" s="588"/>
      <c r="H49" s="588"/>
      <c r="I49" s="588"/>
      <c r="J49" s="588"/>
      <c r="K49" s="588"/>
      <c r="L49" s="588"/>
      <c r="M49" s="588"/>
      <c r="N49" s="47"/>
      <c r="Q49" s="38"/>
      <c r="R49" s="57" t="s">
        <v>437</v>
      </c>
      <c r="S49" s="58">
        <f>+S48</f>
        <v>2799203.308186195</v>
      </c>
      <c r="T49" s="60">
        <f>+T48</f>
        <v>0.4</v>
      </c>
      <c r="U49" s="585"/>
      <c r="V49" s="585"/>
      <c r="W49" s="584">
        <f>W48</f>
        <v>239891.7235115569</v>
      </c>
      <c r="X49" s="584"/>
      <c r="Y49" s="47"/>
    </row>
    <row r="50" spans="2:25" ht="13.5" thickBot="1">
      <c r="B50" s="38"/>
      <c r="C50" s="552"/>
      <c r="D50" s="552"/>
      <c r="E50" s="552"/>
      <c r="F50" s="552"/>
      <c r="G50" s="552"/>
      <c r="H50" s="552"/>
      <c r="I50" s="596" t="s">
        <v>863</v>
      </c>
      <c r="J50" s="596"/>
      <c r="K50" s="596"/>
      <c r="L50" s="596"/>
      <c r="M50" s="201">
        <f>M48/H48</f>
        <v>0.037530818423339</v>
      </c>
      <c r="N50" s="47"/>
      <c r="Q50" s="38"/>
      <c r="R50" s="48"/>
      <c r="S50" s="221"/>
      <c r="T50" s="48"/>
      <c r="U50" s="581"/>
      <c r="V50" s="581"/>
      <c r="W50" s="582"/>
      <c r="X50" s="582"/>
      <c r="Y50" s="47"/>
    </row>
    <row r="51" spans="2:28" ht="15.75" customHeight="1" thickBot="1">
      <c r="B51" s="41"/>
      <c r="C51" s="606"/>
      <c r="D51" s="606"/>
      <c r="E51" s="606"/>
      <c r="F51" s="606"/>
      <c r="G51" s="606"/>
      <c r="H51" s="606"/>
      <c r="I51" s="606"/>
      <c r="J51" s="606"/>
      <c r="K51" s="606"/>
      <c r="L51" s="606"/>
      <c r="M51" s="606"/>
      <c r="N51" s="43"/>
      <c r="Q51" s="38"/>
      <c r="R51" s="57" t="s">
        <v>179</v>
      </c>
      <c r="S51" s="58">
        <f>'Return on Capital'!W38</f>
        <v>6998008.270465487</v>
      </c>
      <c r="T51" s="60">
        <f>T46+T49</f>
        <v>1</v>
      </c>
      <c r="U51" s="583">
        <f>W51/S51</f>
        <v>0.064012</v>
      </c>
      <c r="V51" s="583"/>
      <c r="W51" s="584">
        <f>W46+W49</f>
        <v>447956.50540903676</v>
      </c>
      <c r="X51" s="584"/>
      <c r="Y51" s="47"/>
      <c r="AB51" s="18"/>
    </row>
    <row r="52" spans="2:25" ht="13.5" thickBot="1">
      <c r="B52" s="592"/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Q52" s="41"/>
      <c r="R52" s="580"/>
      <c r="S52" s="580"/>
      <c r="T52" s="580"/>
      <c r="U52" s="580"/>
      <c r="V52" s="580"/>
      <c r="W52" s="580"/>
      <c r="X52" s="580"/>
      <c r="Y52" s="43"/>
    </row>
    <row r="53" spans="2:25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Q53" s="38"/>
      <c r="R53" s="48"/>
      <c r="S53" s="48"/>
      <c r="T53" s="320" t="s">
        <v>925</v>
      </c>
      <c r="U53" s="48"/>
      <c r="V53" s="48"/>
      <c r="W53" s="48"/>
      <c r="X53" s="48"/>
      <c r="Y53" s="47"/>
    </row>
    <row r="54" spans="16:25" s="16" customFormat="1" ht="18.75" customHeight="1">
      <c r="P54"/>
      <c r="Q54" s="38"/>
      <c r="R54" s="568" t="s">
        <v>864</v>
      </c>
      <c r="S54" s="568"/>
      <c r="T54" s="568"/>
      <c r="U54" s="568"/>
      <c r="V54" s="568"/>
      <c r="W54" s="568"/>
      <c r="X54" s="568"/>
      <c r="Y54" s="47"/>
    </row>
    <row r="55" spans="17:25" ht="17.25" customHeight="1">
      <c r="Q55" s="218"/>
      <c r="R55" s="76" t="s">
        <v>174</v>
      </c>
      <c r="S55" s="76" t="s">
        <v>176</v>
      </c>
      <c r="T55" s="76" t="s">
        <v>436</v>
      </c>
      <c r="U55" s="593" t="s">
        <v>164</v>
      </c>
      <c r="V55" s="594"/>
      <c r="W55" s="595" t="s">
        <v>163</v>
      </c>
      <c r="X55" s="595"/>
      <c r="Y55" s="220"/>
    </row>
    <row r="56" spans="17:25" ht="15" customHeight="1">
      <c r="Q56" s="38"/>
      <c r="R56" s="48" t="s">
        <v>424</v>
      </c>
      <c r="S56" s="235">
        <f>S63*T56</f>
        <v>3971768.409262363</v>
      </c>
      <c r="T56" s="61">
        <f>'Return on Capital'!AC8</f>
        <v>0.56</v>
      </c>
      <c r="U56" s="589">
        <f>'Return on Capital'!AD8</f>
        <v>0.037530818423339</v>
      </c>
      <c r="V56" s="589"/>
      <c r="W56" s="590">
        <f>S56*U56</f>
        <v>149063.71898757975</v>
      </c>
      <c r="X56" s="590"/>
      <c r="Y56" s="47"/>
    </row>
    <row r="57" spans="17:25" ht="15" customHeight="1">
      <c r="Q57" s="38"/>
      <c r="R57" s="48" t="s">
        <v>425</v>
      </c>
      <c r="S57" s="235">
        <f>S63*T57</f>
        <v>283697.7435187402</v>
      </c>
      <c r="T57" s="61">
        <f>'Return on Capital'!AC9</f>
        <v>0.04</v>
      </c>
      <c r="U57" s="591">
        <f>'Return on Capital'!AD9</f>
        <v>0.0208</v>
      </c>
      <c r="V57" s="591"/>
      <c r="W57" s="582">
        <f>S57*U57</f>
        <v>5900.913065189795</v>
      </c>
      <c r="X57" s="582"/>
      <c r="Y57" s="47"/>
    </row>
    <row r="58" spans="17:25" ht="15" customHeight="1">
      <c r="Q58" s="38"/>
      <c r="R58" s="57" t="s">
        <v>504</v>
      </c>
      <c r="S58" s="236">
        <f>S56+S57</f>
        <v>4255466.152781103</v>
      </c>
      <c r="T58" s="60">
        <f>T56+T57</f>
        <v>0.6000000000000001</v>
      </c>
      <c r="U58" s="585"/>
      <c r="V58" s="585"/>
      <c r="W58" s="584">
        <f>SUM(W56:X57)</f>
        <v>154964.63205276954</v>
      </c>
      <c r="X58" s="584"/>
      <c r="Y58" s="47"/>
    </row>
    <row r="59" spans="17:25" ht="12" customHeight="1">
      <c r="Q59" s="38"/>
      <c r="R59" s="48"/>
      <c r="S59" s="221"/>
      <c r="T59" s="61"/>
      <c r="U59" s="586"/>
      <c r="V59" s="586"/>
      <c r="W59" s="582"/>
      <c r="X59" s="582"/>
      <c r="Y59" s="47"/>
    </row>
    <row r="60" spans="17:25" ht="12.75">
      <c r="Q60" s="38"/>
      <c r="R60" s="48" t="s">
        <v>423</v>
      </c>
      <c r="S60" s="235">
        <f>S63*T60</f>
        <v>2836977.4351874017</v>
      </c>
      <c r="T60" s="61">
        <f>'Return on Capital'!AC10</f>
        <v>0.4</v>
      </c>
      <c r="U60" s="587">
        <f>'Return on Capital'!AD10</f>
        <v>0.0912</v>
      </c>
      <c r="V60" s="587"/>
      <c r="W60" s="582">
        <f>S60*U60</f>
        <v>258732.34208909105</v>
      </c>
      <c r="X60" s="582"/>
      <c r="Y60" s="47"/>
    </row>
    <row r="61" spans="17:25" ht="12.75">
      <c r="Q61" s="38"/>
      <c r="R61" s="57" t="s">
        <v>437</v>
      </c>
      <c r="S61" s="58">
        <f>+S60</f>
        <v>2836977.4351874017</v>
      </c>
      <c r="T61" s="60">
        <f>+T60</f>
        <v>0.4</v>
      </c>
      <c r="U61" s="585"/>
      <c r="V61" s="585"/>
      <c r="W61" s="584">
        <f>W60</f>
        <v>258732.34208909105</v>
      </c>
      <c r="X61" s="584"/>
      <c r="Y61" s="47"/>
    </row>
    <row r="62" spans="17:25" ht="12.75">
      <c r="Q62" s="38"/>
      <c r="R62" s="48"/>
      <c r="S62" s="221"/>
      <c r="T62" s="48"/>
      <c r="U62" s="581"/>
      <c r="V62" s="581"/>
      <c r="W62" s="582"/>
      <c r="X62" s="582"/>
      <c r="Y62" s="47"/>
    </row>
    <row r="63" spans="17:25" ht="14.25" customHeight="1">
      <c r="Q63" s="38"/>
      <c r="R63" s="57" t="s">
        <v>179</v>
      </c>
      <c r="S63" s="58">
        <f>'Return on Capital'!AD38</f>
        <v>7092443.587968504</v>
      </c>
      <c r="T63" s="60">
        <f>T58+T61</f>
        <v>1</v>
      </c>
      <c r="U63" s="583">
        <f>W63/S63</f>
        <v>0.05832925831706985</v>
      </c>
      <c r="V63" s="583"/>
      <c r="W63" s="584">
        <f>W58+W61</f>
        <v>413696.9741418606</v>
      </c>
      <c r="X63" s="584"/>
      <c r="Y63" s="47"/>
    </row>
    <row r="64" spans="17:25" ht="13.5" thickBot="1">
      <c r="Q64" s="41"/>
      <c r="R64" s="580"/>
      <c r="S64" s="580"/>
      <c r="T64" s="580"/>
      <c r="U64" s="580"/>
      <c r="V64" s="580"/>
      <c r="W64" s="580"/>
      <c r="X64" s="580"/>
      <c r="Y64" s="43"/>
    </row>
    <row r="65" ht="6.75" customHeight="1"/>
    <row r="66" ht="26.25" customHeight="1"/>
    <row r="67" s="16" customFormat="1" ht="26.25" customHeight="1"/>
    <row r="76" ht="7.5" customHeight="1"/>
  </sheetData>
  <sheetProtection/>
  <mergeCells count="141">
    <mergeCell ref="R64:X64"/>
    <mergeCell ref="U62:V62"/>
    <mergeCell ref="W62:X62"/>
    <mergeCell ref="U63:V63"/>
    <mergeCell ref="W63:X63"/>
    <mergeCell ref="U60:V60"/>
    <mergeCell ref="W60:X60"/>
    <mergeCell ref="U61:V61"/>
    <mergeCell ref="W61:X61"/>
    <mergeCell ref="U58:V58"/>
    <mergeCell ref="W58:X58"/>
    <mergeCell ref="U59:V59"/>
    <mergeCell ref="W59:X59"/>
    <mergeCell ref="U56:V56"/>
    <mergeCell ref="W56:X56"/>
    <mergeCell ref="U57:V57"/>
    <mergeCell ref="W57:X57"/>
    <mergeCell ref="R54:X54"/>
    <mergeCell ref="U55:V55"/>
    <mergeCell ref="W55:X55"/>
    <mergeCell ref="C48:G48"/>
    <mergeCell ref="I48:L48"/>
    <mergeCell ref="C49:M49"/>
    <mergeCell ref="C50:H50"/>
    <mergeCell ref="I50:L50"/>
    <mergeCell ref="B52:N52"/>
    <mergeCell ref="C51:M51"/>
    <mergeCell ref="R26:X26"/>
    <mergeCell ref="U24:V24"/>
    <mergeCell ref="W24:X24"/>
    <mergeCell ref="U25:V25"/>
    <mergeCell ref="W25:X25"/>
    <mergeCell ref="C40:G40"/>
    <mergeCell ref="C36:G36"/>
    <mergeCell ref="I36:L36"/>
    <mergeCell ref="C38:H38"/>
    <mergeCell ref="I38:L38"/>
    <mergeCell ref="I46:L46"/>
    <mergeCell ref="C34:H34"/>
    <mergeCell ref="I34:L34"/>
    <mergeCell ref="C42:H42"/>
    <mergeCell ref="I42:L42"/>
    <mergeCell ref="C44:G44"/>
    <mergeCell ref="I44:L44"/>
    <mergeCell ref="U16:V16"/>
    <mergeCell ref="W16:X16"/>
    <mergeCell ref="U10:V10"/>
    <mergeCell ref="W10:X10"/>
    <mergeCell ref="U11:V11"/>
    <mergeCell ref="W11:X11"/>
    <mergeCell ref="U22:V22"/>
    <mergeCell ref="W22:X22"/>
    <mergeCell ref="U23:V23"/>
    <mergeCell ref="W23:X23"/>
    <mergeCell ref="U20:V20"/>
    <mergeCell ref="W20:X20"/>
    <mergeCell ref="U21:V21"/>
    <mergeCell ref="W21:X21"/>
    <mergeCell ref="U17:V17"/>
    <mergeCell ref="W17:X17"/>
    <mergeCell ref="U18:V18"/>
    <mergeCell ref="W18:X18"/>
    <mergeCell ref="W6:X6"/>
    <mergeCell ref="U7:V7"/>
    <mergeCell ref="W7:X7"/>
    <mergeCell ref="W4:X4"/>
    <mergeCell ref="U5:V5"/>
    <mergeCell ref="W5:X5"/>
    <mergeCell ref="R12:X12"/>
    <mergeCell ref="R14:X14"/>
    <mergeCell ref="R15:X15"/>
    <mergeCell ref="R1:X1"/>
    <mergeCell ref="R2:X2"/>
    <mergeCell ref="U3:V3"/>
    <mergeCell ref="W3:X3"/>
    <mergeCell ref="R29:X29"/>
    <mergeCell ref="B4:N4"/>
    <mergeCell ref="C5:M5"/>
    <mergeCell ref="C6:M6"/>
    <mergeCell ref="C33:M33"/>
    <mergeCell ref="U4:V4"/>
    <mergeCell ref="C32:G32"/>
    <mergeCell ref="A1:N1"/>
    <mergeCell ref="A2:N2"/>
    <mergeCell ref="F30:G30"/>
    <mergeCell ref="J7:K7"/>
    <mergeCell ref="F7:G7"/>
    <mergeCell ref="B3:M3"/>
    <mergeCell ref="I32:L32"/>
    <mergeCell ref="C31:M31"/>
    <mergeCell ref="U8:V8"/>
    <mergeCell ref="W8:X8"/>
    <mergeCell ref="U9:V9"/>
    <mergeCell ref="W9:X9"/>
    <mergeCell ref="U6:V6"/>
    <mergeCell ref="U37:V37"/>
    <mergeCell ref="I40:L40"/>
    <mergeCell ref="C41:M41"/>
    <mergeCell ref="R28:X28"/>
    <mergeCell ref="U30:V30"/>
    <mergeCell ref="W30:X30"/>
    <mergeCell ref="W33:X33"/>
    <mergeCell ref="R39:X39"/>
    <mergeCell ref="C37:M37"/>
    <mergeCell ref="C45:M45"/>
    <mergeCell ref="U36:V36"/>
    <mergeCell ref="W36:X36"/>
    <mergeCell ref="C46:H46"/>
    <mergeCell ref="U31:V31"/>
    <mergeCell ref="W31:X31"/>
    <mergeCell ref="U32:V32"/>
    <mergeCell ref="W32:X32"/>
    <mergeCell ref="U33:V33"/>
    <mergeCell ref="W37:X37"/>
    <mergeCell ref="R41:X41"/>
    <mergeCell ref="U34:V34"/>
    <mergeCell ref="W34:X34"/>
    <mergeCell ref="U35:V35"/>
    <mergeCell ref="W35:X35"/>
    <mergeCell ref="U38:V38"/>
    <mergeCell ref="W38:X38"/>
    <mergeCell ref="R42:X42"/>
    <mergeCell ref="U43:V43"/>
    <mergeCell ref="U44:V44"/>
    <mergeCell ref="W44:X44"/>
    <mergeCell ref="U45:V45"/>
    <mergeCell ref="W45:X45"/>
    <mergeCell ref="W43:X43"/>
    <mergeCell ref="R52:X52"/>
    <mergeCell ref="U50:V50"/>
    <mergeCell ref="W50:X50"/>
    <mergeCell ref="U51:V51"/>
    <mergeCell ref="W51:X51"/>
    <mergeCell ref="U46:V46"/>
    <mergeCell ref="W46:X46"/>
    <mergeCell ref="U47:V47"/>
    <mergeCell ref="W47:X47"/>
    <mergeCell ref="U48:V48"/>
    <mergeCell ref="U49:V49"/>
    <mergeCell ref="W49:X49"/>
    <mergeCell ref="W48:X48"/>
  </mergeCells>
  <printOptions/>
  <pageMargins left="0.15748031496062992" right="0.35433070866141736" top="0.3937007874015748" bottom="0" header="0" footer="0"/>
  <pageSetup fitToHeight="1" fitToWidth="1" horizontalDpi="355" verticalDpi="355" orientation="landscape" scale="59" r:id="rId1"/>
  <headerFooter alignWithMargins="0">
    <oddFooter>&amp;L&amp;A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6.140625" style="0" customWidth="1"/>
    <col min="2" max="2" width="24.140625" style="0" customWidth="1"/>
    <col min="3" max="3" width="25.28125" style="0" customWidth="1"/>
    <col min="4" max="4" width="12.8515625" style="0" bestFit="1" customWidth="1"/>
  </cols>
  <sheetData>
    <row r="1" spans="1:3" ht="12.75">
      <c r="A1" s="519" t="str">
        <f>'Trial Balance'!A1:F1</f>
        <v>Rideau St. Lawrence Distribution Inc.</v>
      </c>
      <c r="B1" s="519"/>
      <c r="C1" s="519"/>
    </row>
    <row r="2" spans="1:3" ht="12.75">
      <c r="A2" s="519" t="str">
        <f>'Trial Balance'!A2:F2</f>
        <v> License Number ED-2003-0003, File Number EB-2011-0274</v>
      </c>
      <c r="B2" s="519"/>
      <c r="C2" s="519"/>
    </row>
    <row r="3" spans="1:3" ht="32.25" customHeight="1">
      <c r="A3" s="607" t="s">
        <v>220</v>
      </c>
      <c r="B3" s="607"/>
      <c r="C3" s="607"/>
    </row>
    <row r="4" spans="1:3" ht="12.75">
      <c r="A4" s="608" t="s">
        <v>443</v>
      </c>
      <c r="B4" s="68">
        <v>2011</v>
      </c>
      <c r="C4" s="68">
        <v>2012</v>
      </c>
    </row>
    <row r="5" spans="1:3" ht="12.75">
      <c r="A5" s="609"/>
      <c r="B5" s="70" t="s">
        <v>441</v>
      </c>
      <c r="C5" s="69" t="s">
        <v>442</v>
      </c>
    </row>
    <row r="7" spans="1:3" ht="12.75">
      <c r="A7" s="53" t="s">
        <v>444</v>
      </c>
      <c r="B7" s="71">
        <v>15000000</v>
      </c>
      <c r="C7" s="71">
        <v>15000000</v>
      </c>
    </row>
    <row r="8" spans="1:3" ht="12.75">
      <c r="A8" s="53"/>
      <c r="B8" s="20"/>
      <c r="C8" s="67"/>
    </row>
    <row r="9" spans="1:3" ht="12.75">
      <c r="A9" s="53" t="s">
        <v>438</v>
      </c>
      <c r="B9" s="73">
        <v>0.11</v>
      </c>
      <c r="C9" s="73">
        <v>0.11</v>
      </c>
    </row>
    <row r="10" spans="1:3" ht="12.75">
      <c r="A10" s="53"/>
      <c r="B10" s="59"/>
      <c r="C10" s="59"/>
    </row>
    <row r="11" spans="1:3" ht="12.75">
      <c r="A11" s="53" t="s">
        <v>439</v>
      </c>
      <c r="B11" s="73">
        <v>0.045</v>
      </c>
      <c r="C11" s="73">
        <v>0.045</v>
      </c>
    </row>
    <row r="12" ht="12.75">
      <c r="A12" s="53"/>
    </row>
    <row r="13" spans="1:3" ht="12.75">
      <c r="A13" s="53" t="s">
        <v>440</v>
      </c>
      <c r="B13" s="72">
        <f>+B9+B11</f>
        <v>0.155</v>
      </c>
      <c r="C13" s="72">
        <f>+C9+C11</f>
        <v>0.155</v>
      </c>
    </row>
    <row r="14" ht="12.75">
      <c r="A14" s="53"/>
    </row>
    <row r="15" spans="1:5" ht="12.75">
      <c r="A15" s="53" t="s">
        <v>446</v>
      </c>
      <c r="B15" s="74">
        <v>0</v>
      </c>
      <c r="C15" s="74">
        <v>0</v>
      </c>
      <c r="D15" s="281"/>
      <c r="E15" s="282"/>
    </row>
    <row r="16" spans="1:2" ht="12.75">
      <c r="A16" s="53"/>
      <c r="B16" s="34"/>
    </row>
    <row r="17" spans="1:3" ht="12.75">
      <c r="A17" s="53" t="s">
        <v>447</v>
      </c>
      <c r="B17" s="72"/>
      <c r="C17" s="72"/>
    </row>
    <row r="18" ht="12.75">
      <c r="A18" s="53"/>
    </row>
    <row r="19" spans="1:3" ht="12.75">
      <c r="A19" s="53" t="s">
        <v>448</v>
      </c>
      <c r="B19" s="71"/>
      <c r="C19" s="71"/>
    </row>
    <row r="21" spans="2:4" ht="12.75">
      <c r="B21" s="264"/>
      <c r="C21" s="264"/>
      <c r="D21" s="264"/>
    </row>
    <row r="22" spans="2:4" ht="12.75">
      <c r="B22" s="264"/>
      <c r="C22" s="264"/>
      <c r="D22" s="264"/>
    </row>
    <row r="23" spans="1:4" ht="12.75">
      <c r="A23" s="176" t="s">
        <v>867</v>
      </c>
      <c r="B23" s="264"/>
      <c r="C23" s="264"/>
      <c r="D23" s="264"/>
    </row>
    <row r="24" spans="2:4" ht="12.75">
      <c r="B24" s="277"/>
      <c r="C24" s="277"/>
      <c r="D24" s="277"/>
    </row>
    <row r="25" ht="12.75">
      <c r="B25" s="278"/>
    </row>
    <row r="27" ht="12.75">
      <c r="B27" s="264"/>
    </row>
    <row r="28" ht="12.75">
      <c r="B28" s="179"/>
    </row>
    <row r="32" ht="12.75">
      <c r="B32" s="277"/>
    </row>
    <row r="33" ht="12.75">
      <c r="B33" s="277"/>
    </row>
  </sheetData>
  <sheetProtection/>
  <mergeCells count="4">
    <mergeCell ref="A3:C3"/>
    <mergeCell ref="A4:A5"/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landscape" r:id="rId3"/>
  <headerFooter alignWithMargins="0">
    <oddFooter>&amp;L&amp;A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8" sqref="J18"/>
    </sheetView>
  </sheetViews>
  <sheetFormatPr defaultColWidth="9.140625" defaultRowHeight="12.75"/>
  <cols>
    <col min="1" max="1" width="1.57421875" style="0" customWidth="1"/>
    <col min="2" max="2" width="6.00390625" style="0" customWidth="1"/>
    <col min="3" max="3" width="49.421875" style="0" customWidth="1"/>
    <col min="4" max="4" width="12.57421875" style="0" customWidth="1"/>
    <col min="5" max="5" width="0.13671875" style="0" customWidth="1"/>
    <col min="6" max="6" width="11.421875" style="0" hidden="1" customWidth="1"/>
    <col min="7" max="7" width="13.421875" style="0" customWidth="1"/>
    <col min="8" max="8" width="10.00390625" style="0" bestFit="1" customWidth="1"/>
    <col min="9" max="9" width="11.7109375" style="0" bestFit="1" customWidth="1"/>
    <col min="10" max="10" width="12.140625" style="0" customWidth="1"/>
    <col min="11" max="11" width="13.421875" style="0" customWidth="1"/>
    <col min="12" max="12" width="11.28125" style="0" customWidth="1"/>
    <col min="14" max="14" width="9.28125" style="0" customWidth="1"/>
    <col min="15" max="15" width="10.57421875" style="0" customWidth="1"/>
  </cols>
  <sheetData>
    <row r="1" spans="1:15" ht="12.75">
      <c r="A1" s="519" t="str">
        <f>'Trial Balance'!A1:F1</f>
        <v>Rideau St. Lawrence Distribution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15" ht="12.75">
      <c r="A2" s="519" t="str">
        <f>'Trial Balance'!A2:F2</f>
        <v> License Number ED-2003-0003, File Number EB-2011-0274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</row>
    <row r="3" ht="6.75" customHeight="1"/>
    <row r="4" spans="2:15" ht="26.25" customHeight="1">
      <c r="B4" s="568" t="s">
        <v>813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</row>
    <row r="5" spans="2:15" s="16" customFormat="1" ht="68.25" customHeight="1">
      <c r="B5" s="76" t="s">
        <v>449</v>
      </c>
      <c r="C5" s="76" t="s">
        <v>450</v>
      </c>
      <c r="D5" s="76" t="s">
        <v>451</v>
      </c>
      <c r="E5" s="76" t="s">
        <v>452</v>
      </c>
      <c r="F5" s="76" t="s">
        <v>453</v>
      </c>
      <c r="G5" s="76" t="s">
        <v>454</v>
      </c>
      <c r="H5" s="76" t="s">
        <v>474</v>
      </c>
      <c r="I5" s="76" t="s">
        <v>475</v>
      </c>
      <c r="J5" s="76" t="s">
        <v>476</v>
      </c>
      <c r="K5" s="76" t="s">
        <v>477</v>
      </c>
      <c r="L5" s="76" t="s">
        <v>478</v>
      </c>
      <c r="M5" s="76" t="s">
        <v>479</v>
      </c>
      <c r="N5" s="76" t="s">
        <v>480</v>
      </c>
      <c r="O5" s="76" t="s">
        <v>481</v>
      </c>
    </row>
    <row r="6" spans="2:15" ht="12.75">
      <c r="B6" s="77">
        <v>1</v>
      </c>
      <c r="C6" s="78" t="s">
        <v>455</v>
      </c>
      <c r="D6" s="81">
        <v>4209675</v>
      </c>
      <c r="E6" s="82"/>
      <c r="F6" s="82"/>
      <c r="G6" s="56">
        <f>D6-E6-F6</f>
        <v>4209675</v>
      </c>
      <c r="H6" s="397">
        <f>SUMIF('FA Continuity MIFRS 2011'!A:A,B6,'FA Continuity MIFRS 2011'!E:E)</f>
        <v>0</v>
      </c>
      <c r="I6" s="397">
        <f>SUMIF('FA Continuity MIFRS 2011'!A:A,B6,'FA Continuity MIFRS 2011'!F:F)</f>
        <v>0</v>
      </c>
      <c r="J6" s="358">
        <f>G6+H6-I6</f>
        <v>4209675</v>
      </c>
      <c r="K6" s="358">
        <f>H6*0.5</f>
        <v>0</v>
      </c>
      <c r="L6" s="358">
        <f>J6-K6</f>
        <v>4209675</v>
      </c>
      <c r="M6" s="415">
        <v>0.04</v>
      </c>
      <c r="N6" s="358">
        <f>L6*M6</f>
        <v>168387</v>
      </c>
      <c r="O6" s="358">
        <f>J6-N6</f>
        <v>4041288</v>
      </c>
    </row>
    <row r="7" spans="2:15" ht="12.75">
      <c r="B7" s="77">
        <v>2</v>
      </c>
      <c r="C7" s="78" t="s">
        <v>456</v>
      </c>
      <c r="D7" s="81"/>
      <c r="E7" s="82"/>
      <c r="F7" s="82"/>
      <c r="G7" s="56">
        <f aca="true" t="shared" si="0" ref="G7:G23">D7-E7-F7</f>
        <v>0</v>
      </c>
      <c r="H7" s="397">
        <f>SUMIF('FA Continuity MIFRS 2011'!A:A,B7,'FA Continuity MIFRS 2011'!E:E)</f>
        <v>0</v>
      </c>
      <c r="I7" s="397">
        <f>SUMIF('FA Continuity MIFRS 2011'!A:A,B7,'FA Continuity MIFRS 2011'!F:F)</f>
        <v>0</v>
      </c>
      <c r="J7" s="358">
        <f aca="true" t="shared" si="1" ref="J7:J23">G7+H7-I7</f>
        <v>0</v>
      </c>
      <c r="K7" s="358">
        <f>H7*0.5</f>
        <v>0</v>
      </c>
      <c r="L7" s="358">
        <f aca="true" t="shared" si="2" ref="L7:L23">J7-K7</f>
        <v>0</v>
      </c>
      <c r="M7" s="415">
        <v>0.06</v>
      </c>
      <c r="N7" s="358">
        <f aca="true" t="shared" si="3" ref="N7:N23">L7*M7</f>
        <v>0</v>
      </c>
      <c r="O7" s="358">
        <f aca="true" t="shared" si="4" ref="O7:O23">J7-N7</f>
        <v>0</v>
      </c>
    </row>
    <row r="8" spans="2:15" ht="12.75">
      <c r="B8" s="77">
        <v>6</v>
      </c>
      <c r="C8" s="78" t="s">
        <v>269</v>
      </c>
      <c r="D8" s="81"/>
      <c r="E8" s="82"/>
      <c r="F8" s="82"/>
      <c r="G8" s="56">
        <f t="shared" si="0"/>
        <v>0</v>
      </c>
      <c r="H8" s="397">
        <f>SUMIF('FA Continuity MIFRS 2011'!A:A,B8,'FA Continuity MIFRS 2011'!E:E)</f>
        <v>0</v>
      </c>
      <c r="I8" s="397">
        <f>SUMIF('FA Continuity MIFRS 2011'!A:A,B8,'FA Continuity MIFRS 2011'!F:F)</f>
        <v>0</v>
      </c>
      <c r="J8" s="358">
        <f>G8+H8-I8</f>
        <v>0</v>
      </c>
      <c r="K8" s="358">
        <f>H8*0.5</f>
        <v>0</v>
      </c>
      <c r="L8" s="358">
        <f>J8-K8</f>
        <v>0</v>
      </c>
      <c r="M8" s="415">
        <v>0.1</v>
      </c>
      <c r="N8" s="358">
        <f>L8*M8</f>
        <v>0</v>
      </c>
      <c r="O8" s="358">
        <f>J8-N8</f>
        <v>0</v>
      </c>
    </row>
    <row r="9" spans="2:15" ht="12.75">
      <c r="B9" s="77">
        <v>8</v>
      </c>
      <c r="C9" s="78" t="s">
        <v>457</v>
      </c>
      <c r="D9" s="81">
        <v>36486</v>
      </c>
      <c r="E9" s="82"/>
      <c r="F9" s="82"/>
      <c r="G9" s="56">
        <f t="shared" si="0"/>
        <v>36486</v>
      </c>
      <c r="H9" s="397">
        <f>SUMIF('FA Continuity MIFRS 2011'!A:A,B9,'FA Continuity MIFRS 2011'!E:E)</f>
        <v>5000</v>
      </c>
      <c r="I9" s="397">
        <f>SUMIF('FA Continuity MIFRS 2011'!A:A,B9,'FA Continuity MIFRS 2011'!F:F)</f>
        <v>0</v>
      </c>
      <c r="J9" s="358">
        <f>G9+H9-I9</f>
        <v>41486</v>
      </c>
      <c r="K9" s="358">
        <f>H9*0.5</f>
        <v>2500</v>
      </c>
      <c r="L9" s="358">
        <f t="shared" si="2"/>
        <v>38986</v>
      </c>
      <c r="M9" s="415">
        <v>0.2</v>
      </c>
      <c r="N9" s="358">
        <f t="shared" si="3"/>
        <v>7797.200000000001</v>
      </c>
      <c r="O9" s="358">
        <f t="shared" si="4"/>
        <v>33688.8</v>
      </c>
    </row>
    <row r="10" spans="2:15" ht="12.75">
      <c r="B10" s="77">
        <v>10</v>
      </c>
      <c r="C10" s="78" t="s">
        <v>458</v>
      </c>
      <c r="D10" s="81">
        <v>210496</v>
      </c>
      <c r="E10" s="82"/>
      <c r="F10" s="82"/>
      <c r="G10" s="56">
        <f t="shared" si="0"/>
        <v>210496</v>
      </c>
      <c r="H10" s="397">
        <f>SUMIF('FA Continuity MIFRS 2011'!A:A,B10,'FA Continuity MIFRS 2011'!E:E)</f>
        <v>310000</v>
      </c>
      <c r="I10" s="397">
        <f>SUMIF('FA Continuity MIFRS 2011'!A:A,B10,'FA Continuity MIFRS 2011'!F:F)</f>
        <v>0</v>
      </c>
      <c r="J10" s="358">
        <f t="shared" si="1"/>
        <v>520496</v>
      </c>
      <c r="K10" s="358">
        <f>H10*0.5</f>
        <v>155000</v>
      </c>
      <c r="L10" s="358">
        <f t="shared" si="2"/>
        <v>365496</v>
      </c>
      <c r="M10" s="415">
        <v>0.3</v>
      </c>
      <c r="N10" s="358">
        <f t="shared" si="3"/>
        <v>109648.8</v>
      </c>
      <c r="O10" s="358">
        <f t="shared" si="4"/>
        <v>410847.2</v>
      </c>
    </row>
    <row r="11" spans="2:15" ht="12.75">
      <c r="B11" s="77">
        <v>10.1</v>
      </c>
      <c r="C11" s="78" t="s">
        <v>459</v>
      </c>
      <c r="D11" s="82"/>
      <c r="E11" s="82"/>
      <c r="F11" s="82"/>
      <c r="G11" s="56">
        <f t="shared" si="0"/>
        <v>0</v>
      </c>
      <c r="H11" s="397">
        <f>SUMIF('FA Continuity MIFRS 2011'!A:A,B11,'FA Continuity MIFRS 2011'!E:E)</f>
        <v>0</v>
      </c>
      <c r="I11" s="397">
        <f>SUMIF('FA Continuity MIFRS 2011'!A:A,B11,'FA Continuity MIFRS 2011'!F:F)</f>
        <v>0</v>
      </c>
      <c r="J11" s="358">
        <f t="shared" si="1"/>
        <v>0</v>
      </c>
      <c r="K11" s="358">
        <f aca="true" t="shared" si="5" ref="K11:K22">H11*0.5</f>
        <v>0</v>
      </c>
      <c r="L11" s="358">
        <f t="shared" si="2"/>
        <v>0</v>
      </c>
      <c r="M11" s="415">
        <v>0.3</v>
      </c>
      <c r="N11" s="358">
        <f t="shared" si="3"/>
        <v>0</v>
      </c>
      <c r="O11" s="358">
        <f t="shared" si="4"/>
        <v>0</v>
      </c>
    </row>
    <row r="12" spans="2:15" ht="12.75">
      <c r="B12" s="77">
        <v>12</v>
      </c>
      <c r="C12" s="78" t="s">
        <v>505</v>
      </c>
      <c r="D12" s="81">
        <v>5553</v>
      </c>
      <c r="E12" s="82"/>
      <c r="F12" s="82"/>
      <c r="G12" s="56">
        <f t="shared" si="0"/>
        <v>5553</v>
      </c>
      <c r="H12" s="397">
        <f>SUMIF('FA Continuity MIFRS 2011'!A:A,B12,'FA Continuity MIFRS 2011'!E:E)</f>
        <v>10000</v>
      </c>
      <c r="I12" s="397">
        <f>SUMIF('FA Continuity MIFRS 2011'!A:A,B12,'FA Continuity MIFRS 2011'!F:F)</f>
        <v>0</v>
      </c>
      <c r="J12" s="358">
        <f t="shared" si="1"/>
        <v>15553</v>
      </c>
      <c r="K12" s="358">
        <f t="shared" si="5"/>
        <v>5000</v>
      </c>
      <c r="L12" s="358">
        <f t="shared" si="2"/>
        <v>10553</v>
      </c>
      <c r="M12" s="415">
        <v>1</v>
      </c>
      <c r="N12" s="358">
        <f t="shared" si="3"/>
        <v>10553</v>
      </c>
      <c r="O12" s="358">
        <f t="shared" si="4"/>
        <v>5000</v>
      </c>
    </row>
    <row r="13" spans="2:15" s="18" customFormat="1" ht="12.75">
      <c r="B13" s="356">
        <v>3</v>
      </c>
      <c r="C13" s="357"/>
      <c r="D13" s="81"/>
      <c r="E13" s="82"/>
      <c r="F13" s="82"/>
      <c r="G13" s="83">
        <f t="shared" si="0"/>
        <v>0</v>
      </c>
      <c r="H13" s="397">
        <f>SUMIF('FA Continuity MIFRS 2011'!A:A,B13,'FA Continuity MIFRS 2011'!E:E)</f>
        <v>0</v>
      </c>
      <c r="I13" s="397">
        <f>SUMIF('FA Continuity MIFRS 2011'!A:A,B13,'FA Continuity MIFRS 2011'!F:F)</f>
        <v>0</v>
      </c>
      <c r="J13" s="359">
        <f t="shared" si="1"/>
        <v>0</v>
      </c>
      <c r="K13" s="359">
        <f t="shared" si="5"/>
        <v>0</v>
      </c>
      <c r="L13" s="359">
        <f t="shared" si="2"/>
        <v>0</v>
      </c>
      <c r="M13" s="416">
        <v>0.05</v>
      </c>
      <c r="N13" s="359">
        <f t="shared" si="3"/>
        <v>0</v>
      </c>
      <c r="O13" s="359">
        <f t="shared" si="4"/>
        <v>0</v>
      </c>
    </row>
    <row r="14" spans="2:15" ht="12.75">
      <c r="B14" s="77">
        <v>52</v>
      </c>
      <c r="C14" s="78"/>
      <c r="D14" s="81"/>
      <c r="E14" s="82"/>
      <c r="F14" s="82"/>
      <c r="G14" s="56">
        <f t="shared" si="0"/>
        <v>0</v>
      </c>
      <c r="H14" s="397">
        <f>SUMIF('FA Continuity MIFRS 2011'!A:A,B14,'FA Continuity MIFRS 2011'!E:E)</f>
        <v>0</v>
      </c>
      <c r="I14" s="397">
        <f>SUMIF('FA Continuity MIFRS 2011'!A:A,B14,'FA Continuity MIFRS 2011'!F:F)</f>
        <v>0</v>
      </c>
      <c r="J14" s="358">
        <f t="shared" si="1"/>
        <v>0</v>
      </c>
      <c r="K14" s="358">
        <f t="shared" si="5"/>
        <v>0</v>
      </c>
      <c r="L14" s="358">
        <f t="shared" si="2"/>
        <v>0</v>
      </c>
      <c r="M14" s="416"/>
      <c r="N14" s="359">
        <f t="shared" si="3"/>
        <v>0</v>
      </c>
      <c r="O14" s="358">
        <f t="shared" si="4"/>
        <v>0</v>
      </c>
    </row>
    <row r="15" spans="2:15" ht="12.75">
      <c r="B15" s="77" t="s">
        <v>460</v>
      </c>
      <c r="C15" s="78" t="s">
        <v>461</v>
      </c>
      <c r="D15" s="82"/>
      <c r="E15" s="82"/>
      <c r="F15" s="82"/>
      <c r="G15" s="56">
        <f t="shared" si="0"/>
        <v>0</v>
      </c>
      <c r="H15" s="397">
        <f>SUMIF('FA Continuity MIFRS 2011'!A:A,B15,'FA Continuity MIFRS 2011'!E:E)</f>
        <v>0</v>
      </c>
      <c r="I15" s="397">
        <f>SUMIF('FA Continuity MIFRS 2011'!A:A,B15,'FA Continuity MIFRS 2011'!F:F)</f>
        <v>0</v>
      </c>
      <c r="J15" s="358">
        <f t="shared" si="1"/>
        <v>0</v>
      </c>
      <c r="K15" s="358">
        <f t="shared" si="5"/>
        <v>0</v>
      </c>
      <c r="L15" s="358">
        <f t="shared" si="2"/>
        <v>0</v>
      </c>
      <c r="M15" s="415"/>
      <c r="N15" s="359">
        <f t="shared" si="3"/>
        <v>0</v>
      </c>
      <c r="O15" s="358">
        <f t="shared" si="4"/>
        <v>0</v>
      </c>
    </row>
    <row r="16" spans="2:15" ht="12.75">
      <c r="B16" s="77" t="s">
        <v>462</v>
      </c>
      <c r="C16" s="78" t="s">
        <v>463</v>
      </c>
      <c r="D16" s="82"/>
      <c r="E16" s="82"/>
      <c r="F16" s="82"/>
      <c r="G16" s="56">
        <f t="shared" si="0"/>
        <v>0</v>
      </c>
      <c r="H16" s="397">
        <f>SUMIF('FA Continuity MIFRS 2011'!A:A,B16,'FA Continuity MIFRS 2011'!E:E)</f>
        <v>0</v>
      </c>
      <c r="I16" s="397">
        <f>SUMIF('FA Continuity MIFRS 2011'!A:A,B16,'FA Continuity MIFRS 2011'!F:F)</f>
        <v>0</v>
      </c>
      <c r="J16" s="358">
        <f t="shared" si="1"/>
        <v>0</v>
      </c>
      <c r="K16" s="358">
        <f t="shared" si="5"/>
        <v>0</v>
      </c>
      <c r="L16" s="358">
        <f t="shared" si="2"/>
        <v>0</v>
      </c>
      <c r="M16" s="415"/>
      <c r="N16" s="359">
        <f t="shared" si="3"/>
        <v>0</v>
      </c>
      <c r="O16" s="358">
        <f t="shared" si="4"/>
        <v>0</v>
      </c>
    </row>
    <row r="17" spans="2:15" ht="12.75">
      <c r="B17" s="77">
        <v>14</v>
      </c>
      <c r="C17" s="78" t="s">
        <v>464</v>
      </c>
      <c r="D17" s="82">
        <v>3519</v>
      </c>
      <c r="E17" s="82"/>
      <c r="F17" s="82"/>
      <c r="G17" s="56">
        <f t="shared" si="0"/>
        <v>3519</v>
      </c>
      <c r="H17" s="397">
        <f>SUMIF('FA Continuity MIFRS 2011'!A:A,B17,'FA Continuity MIFRS 2011'!E:E)</f>
        <v>0</v>
      </c>
      <c r="I17" s="397">
        <f>SUMIF('FA Continuity MIFRS 2011'!A:A,B17,'FA Continuity MIFRS 2011'!F:F)</f>
        <v>0</v>
      </c>
      <c r="J17" s="358">
        <f t="shared" si="1"/>
        <v>3519</v>
      </c>
      <c r="K17" s="358">
        <f t="shared" si="5"/>
        <v>0</v>
      </c>
      <c r="L17" s="358">
        <f t="shared" si="2"/>
        <v>3519</v>
      </c>
      <c r="M17" s="415"/>
      <c r="N17" s="359">
        <f t="shared" si="3"/>
        <v>0</v>
      </c>
      <c r="O17" s="358">
        <f t="shared" si="4"/>
        <v>3519</v>
      </c>
    </row>
    <row r="18" spans="2:15" ht="25.5">
      <c r="B18" s="77">
        <v>17</v>
      </c>
      <c r="C18" s="78" t="s">
        <v>465</v>
      </c>
      <c r="D18" s="81"/>
      <c r="E18" s="82"/>
      <c r="F18" s="82"/>
      <c r="G18" s="56">
        <f t="shared" si="0"/>
        <v>0</v>
      </c>
      <c r="H18" s="397">
        <f>SUMIF('FA Continuity MIFRS 2011'!A:A,B18,'FA Continuity MIFRS 2011'!E:E)</f>
        <v>0</v>
      </c>
      <c r="I18" s="397">
        <f>SUMIF('FA Continuity MIFRS 2011'!A:A,B18,'FA Continuity MIFRS 2011'!F:F)</f>
        <v>0</v>
      </c>
      <c r="J18" s="358">
        <f t="shared" si="1"/>
        <v>0</v>
      </c>
      <c r="K18" s="358">
        <f t="shared" si="5"/>
        <v>0</v>
      </c>
      <c r="L18" s="358">
        <f t="shared" si="2"/>
        <v>0</v>
      </c>
      <c r="M18" s="415">
        <v>0.08</v>
      </c>
      <c r="N18" s="358">
        <f t="shared" si="3"/>
        <v>0</v>
      </c>
      <c r="O18" s="358">
        <f t="shared" si="4"/>
        <v>0</v>
      </c>
    </row>
    <row r="19" spans="2:15" ht="25.5">
      <c r="B19" s="77">
        <v>43.1</v>
      </c>
      <c r="C19" s="78" t="s">
        <v>466</v>
      </c>
      <c r="D19" s="82"/>
      <c r="E19" s="82"/>
      <c r="F19" s="82"/>
      <c r="G19" s="56">
        <f t="shared" si="0"/>
        <v>0</v>
      </c>
      <c r="H19" s="397">
        <f>SUMIF('FA Continuity MIFRS 2011'!A:A,B19,'FA Continuity MIFRS 2011'!E:E)</f>
        <v>0</v>
      </c>
      <c r="I19" s="397">
        <f>SUMIF('FA Continuity MIFRS 2011'!A:A,B19,'FA Continuity MIFRS 2011'!F:F)</f>
        <v>0</v>
      </c>
      <c r="J19" s="358">
        <f t="shared" si="1"/>
        <v>0</v>
      </c>
      <c r="K19" s="358">
        <f t="shared" si="5"/>
        <v>0</v>
      </c>
      <c r="L19" s="358">
        <f t="shared" si="2"/>
        <v>0</v>
      </c>
      <c r="M19" s="415">
        <v>0.3</v>
      </c>
      <c r="N19" s="358">
        <f t="shared" si="3"/>
        <v>0</v>
      </c>
      <c r="O19" s="358">
        <f t="shared" si="4"/>
        <v>0</v>
      </c>
    </row>
    <row r="20" spans="2:15" ht="25.5">
      <c r="B20" s="77">
        <v>45</v>
      </c>
      <c r="C20" s="78" t="s">
        <v>271</v>
      </c>
      <c r="D20" s="81">
        <v>869</v>
      </c>
      <c r="E20" s="82"/>
      <c r="F20" s="82"/>
      <c r="G20" s="56">
        <f t="shared" si="0"/>
        <v>869</v>
      </c>
      <c r="H20" s="397">
        <f>SUMIF('FA Continuity MIFRS 2011'!A:A,B20,'FA Continuity MIFRS 2011'!E:E)</f>
        <v>0</v>
      </c>
      <c r="I20" s="397">
        <f>SUMIF('FA Continuity MIFRS 2011'!A:A,B20,'FA Continuity MIFRS 2011'!F:F)</f>
        <v>0</v>
      </c>
      <c r="J20" s="358">
        <f t="shared" si="1"/>
        <v>869</v>
      </c>
      <c r="K20" s="358">
        <f t="shared" si="5"/>
        <v>0</v>
      </c>
      <c r="L20" s="358">
        <f t="shared" si="2"/>
        <v>869</v>
      </c>
      <c r="M20" s="415">
        <v>0.45</v>
      </c>
      <c r="N20" s="358">
        <f t="shared" si="3"/>
        <v>391.05</v>
      </c>
      <c r="O20" s="358">
        <f t="shared" si="4"/>
        <v>477.95</v>
      </c>
    </row>
    <row r="21" spans="2:15" ht="25.5">
      <c r="B21" s="77">
        <v>50</v>
      </c>
      <c r="C21" s="78" t="s">
        <v>270</v>
      </c>
      <c r="D21" s="81"/>
      <c r="E21" s="82"/>
      <c r="F21" s="82"/>
      <c r="G21" s="56">
        <f t="shared" si="0"/>
        <v>0</v>
      </c>
      <c r="H21" s="397">
        <f>SUMIF('FA Continuity MIFRS 2011'!A:A,B21,'FA Continuity MIFRS 2011'!E:E)</f>
        <v>0</v>
      </c>
      <c r="I21" s="397">
        <f>SUMIF('FA Continuity MIFRS 2011'!A:A,B21,'FA Continuity MIFRS 2011'!F:F)</f>
        <v>0</v>
      </c>
      <c r="J21" s="358">
        <f t="shared" si="1"/>
        <v>0</v>
      </c>
      <c r="K21" s="358">
        <f t="shared" si="5"/>
        <v>0</v>
      </c>
      <c r="L21" s="358">
        <f t="shared" si="2"/>
        <v>0</v>
      </c>
      <c r="M21" s="415">
        <v>0.55</v>
      </c>
      <c r="N21" s="358">
        <f t="shared" si="3"/>
        <v>0</v>
      </c>
      <c r="O21" s="358">
        <f t="shared" si="4"/>
        <v>0</v>
      </c>
    </row>
    <row r="22" spans="2:15" ht="25.5">
      <c r="B22" s="77">
        <v>46</v>
      </c>
      <c r="C22" s="78" t="s">
        <v>467</v>
      </c>
      <c r="D22" s="82">
        <v>1140</v>
      </c>
      <c r="E22" s="82"/>
      <c r="F22" s="82"/>
      <c r="G22" s="56">
        <f t="shared" si="0"/>
        <v>1140</v>
      </c>
      <c r="H22" s="397">
        <f>SUMIF('FA Continuity MIFRS 2011'!A:A,B22,'FA Continuity MIFRS 2011'!E:E)</f>
        <v>0</v>
      </c>
      <c r="I22" s="397">
        <f>SUMIF('FA Continuity MIFRS 2011'!A:A,B22,'FA Continuity MIFRS 2011'!F:F)</f>
        <v>0</v>
      </c>
      <c r="J22" s="358">
        <f t="shared" si="1"/>
        <v>1140</v>
      </c>
      <c r="K22" s="358">
        <f t="shared" si="5"/>
        <v>0</v>
      </c>
      <c r="L22" s="358">
        <f t="shared" si="2"/>
        <v>1140</v>
      </c>
      <c r="M22" s="415">
        <v>0.3</v>
      </c>
      <c r="N22" s="358">
        <f t="shared" si="3"/>
        <v>342</v>
      </c>
      <c r="O22" s="358">
        <f t="shared" si="4"/>
        <v>798</v>
      </c>
    </row>
    <row r="23" spans="2:15" ht="12.75">
      <c r="B23" s="77">
        <v>47</v>
      </c>
      <c r="C23" s="78" t="s">
        <v>468</v>
      </c>
      <c r="D23" s="81">
        <v>1053824</v>
      </c>
      <c r="E23" s="82"/>
      <c r="F23" s="82"/>
      <c r="G23" s="56">
        <f t="shared" si="0"/>
        <v>1053824</v>
      </c>
      <c r="H23" s="397">
        <f>SUMIF('FA Continuity MIFRS 2011'!A:A,B23,'FA Continuity MIFRS 2011'!E:E)</f>
        <v>391310.73</v>
      </c>
      <c r="I23" s="397">
        <f>SUMIF('FA Continuity MIFRS 2011'!A:A,B23,'FA Continuity MIFRS 2011'!F:F)</f>
        <v>295771.51000000007</v>
      </c>
      <c r="J23" s="358">
        <f t="shared" si="1"/>
        <v>1149363.22</v>
      </c>
      <c r="K23" s="358">
        <f>(H23-I23)*0.5</f>
        <v>47769.60999999996</v>
      </c>
      <c r="L23" s="358">
        <f t="shared" si="2"/>
        <v>1101593.61</v>
      </c>
      <c r="M23" s="415">
        <v>0.08</v>
      </c>
      <c r="N23" s="359">
        <f t="shared" si="3"/>
        <v>88127.4888</v>
      </c>
      <c r="O23" s="358">
        <f t="shared" si="4"/>
        <v>1061235.7312</v>
      </c>
    </row>
    <row r="24" spans="2:15" ht="12.75">
      <c r="B24" s="77"/>
      <c r="C24" s="79" t="s">
        <v>469</v>
      </c>
      <c r="D24" s="228">
        <f aca="true" t="shared" si="6" ref="D24:L24">SUM(D6:D23)</f>
        <v>5521562</v>
      </c>
      <c r="E24" s="228">
        <f t="shared" si="6"/>
        <v>0</v>
      </c>
      <c r="F24" s="228">
        <f t="shared" si="6"/>
        <v>0</v>
      </c>
      <c r="G24" s="228">
        <f t="shared" si="6"/>
        <v>5521562</v>
      </c>
      <c r="H24" s="324">
        <f t="shared" si="6"/>
        <v>716310.73</v>
      </c>
      <c r="I24" s="324">
        <f t="shared" si="6"/>
        <v>295771.51000000007</v>
      </c>
      <c r="J24" s="324">
        <f t="shared" si="6"/>
        <v>5942101.22</v>
      </c>
      <c r="K24" s="324">
        <f t="shared" si="6"/>
        <v>210269.60999999996</v>
      </c>
      <c r="L24" s="324">
        <f t="shared" si="6"/>
        <v>5731831.61</v>
      </c>
      <c r="M24" s="417"/>
      <c r="N24" s="324">
        <f>SUM(N6:N23)</f>
        <v>385246.5388</v>
      </c>
      <c r="O24" s="324">
        <f>SUM(O6:O23)</f>
        <v>5556854.6812</v>
      </c>
    </row>
    <row r="25" spans="2:9" ht="12.75">
      <c r="B25" s="24"/>
      <c r="C25" s="75"/>
      <c r="D25" s="20"/>
      <c r="E25" s="20"/>
      <c r="F25" s="20"/>
      <c r="G25" s="20"/>
      <c r="H25" s="273"/>
      <c r="I25" s="273"/>
    </row>
    <row r="26" spans="2:7" ht="12.75">
      <c r="B26" s="77" t="s">
        <v>470</v>
      </c>
      <c r="C26" s="78" t="s">
        <v>471</v>
      </c>
      <c r="D26" s="81"/>
      <c r="E26" s="82">
        <v>0</v>
      </c>
      <c r="F26" s="82">
        <v>0</v>
      </c>
      <c r="G26" s="56">
        <f>D26-E26-F26</f>
        <v>0</v>
      </c>
    </row>
    <row r="27" spans="2:9" ht="12.75">
      <c r="B27" s="77" t="s">
        <v>470</v>
      </c>
      <c r="C27" s="78" t="s">
        <v>514</v>
      </c>
      <c r="D27" s="82"/>
      <c r="E27" s="82">
        <v>0</v>
      </c>
      <c r="F27" s="82">
        <v>0</v>
      </c>
      <c r="G27" s="56">
        <f>D27-E27-F27</f>
        <v>0</v>
      </c>
      <c r="I27" s="273"/>
    </row>
    <row r="28" spans="2:7" ht="12.75">
      <c r="B28" s="77" t="s">
        <v>470</v>
      </c>
      <c r="C28" s="78" t="s">
        <v>472</v>
      </c>
      <c r="D28" s="82"/>
      <c r="E28" s="82">
        <v>0</v>
      </c>
      <c r="F28" s="82">
        <v>0</v>
      </c>
      <c r="G28" s="56">
        <f>D28-E28-F28</f>
        <v>0</v>
      </c>
    </row>
    <row r="29" spans="2:7" ht="12.75">
      <c r="B29" s="77"/>
      <c r="C29" s="79" t="s">
        <v>473</v>
      </c>
      <c r="D29" s="228">
        <f>SUM(D26:D28)</f>
        <v>0</v>
      </c>
      <c r="E29" s="228">
        <f>SUM(E26:E28)</f>
        <v>0</v>
      </c>
      <c r="F29" s="228">
        <f>SUM(F26:F28)</f>
        <v>0</v>
      </c>
      <c r="G29" s="228">
        <f>SUM(G26:G28)</f>
        <v>0</v>
      </c>
    </row>
    <row r="30" ht="13.5" thickBot="1"/>
    <row r="31" spans="1:9" ht="12.75">
      <c r="A31" s="616"/>
      <c r="B31" s="592"/>
      <c r="C31" s="592"/>
      <c r="D31" s="592"/>
      <c r="E31" s="592"/>
      <c r="F31" s="592"/>
      <c r="G31" s="592"/>
      <c r="H31" s="592"/>
      <c r="I31" s="617"/>
    </row>
    <row r="32" spans="1:9" ht="24" customHeight="1">
      <c r="A32" s="38"/>
      <c r="B32" s="567" t="s">
        <v>366</v>
      </c>
      <c r="C32" s="567"/>
      <c r="D32" s="567"/>
      <c r="E32" s="567"/>
      <c r="F32" s="567"/>
      <c r="G32" s="567"/>
      <c r="H32" s="567"/>
      <c r="I32" s="47"/>
    </row>
    <row r="33" spans="1:9" ht="15.75">
      <c r="A33" s="38"/>
      <c r="B33" s="612" t="s">
        <v>314</v>
      </c>
      <c r="C33" s="612"/>
      <c r="D33" s="612"/>
      <c r="E33" s="49"/>
      <c r="F33" s="49"/>
      <c r="G33" s="49"/>
      <c r="H33" s="360"/>
      <c r="I33" s="47"/>
    </row>
    <row r="34" spans="1:9" ht="15.75">
      <c r="A34" s="38"/>
      <c r="B34" s="612"/>
      <c r="C34" s="612"/>
      <c r="D34" s="612"/>
      <c r="E34" s="49"/>
      <c r="F34" s="276"/>
      <c r="G34" s="49"/>
      <c r="H34" s="55"/>
      <c r="I34" s="47"/>
    </row>
    <row r="35" spans="1:9" ht="12.75">
      <c r="A35" s="38"/>
      <c r="B35" s="614" t="s">
        <v>486</v>
      </c>
      <c r="C35" s="614"/>
      <c r="D35" s="614"/>
      <c r="E35" s="48"/>
      <c r="F35" s="48"/>
      <c r="G35" s="48"/>
      <c r="I35" s="47"/>
    </row>
    <row r="36" spans="1:9" ht="12.75">
      <c r="A36" s="38"/>
      <c r="B36" s="612" t="s">
        <v>363</v>
      </c>
      <c r="C36" s="612"/>
      <c r="D36" s="612"/>
      <c r="E36" s="84">
        <v>0</v>
      </c>
      <c r="F36" s="48"/>
      <c r="G36" s="48"/>
      <c r="H36" s="48"/>
      <c r="I36" s="47"/>
    </row>
    <row r="37" spans="1:9" ht="12.75">
      <c r="A37" s="38"/>
      <c r="B37" s="612"/>
      <c r="C37" s="612"/>
      <c r="D37" s="612"/>
      <c r="E37" s="48"/>
      <c r="F37" s="48"/>
      <c r="G37" s="48"/>
      <c r="H37" s="48"/>
      <c r="I37" s="47"/>
    </row>
    <row r="38" spans="1:9" ht="12.75">
      <c r="A38" s="38"/>
      <c r="B38" s="612" t="s">
        <v>315</v>
      </c>
      <c r="C38" s="612"/>
      <c r="D38" s="612"/>
      <c r="E38" s="84">
        <v>0</v>
      </c>
      <c r="F38" s="48"/>
      <c r="G38" s="48"/>
      <c r="H38" s="48"/>
      <c r="I38" s="47"/>
    </row>
    <row r="39" spans="1:9" ht="12.75">
      <c r="A39" s="38"/>
      <c r="B39" s="612"/>
      <c r="C39" s="612"/>
      <c r="D39" s="612"/>
      <c r="E39" s="48"/>
      <c r="F39" s="48"/>
      <c r="G39" s="48"/>
      <c r="H39" s="48"/>
      <c r="I39" s="47"/>
    </row>
    <row r="40" spans="1:9" ht="12.75">
      <c r="A40" s="38"/>
      <c r="B40" s="612" t="s">
        <v>316</v>
      </c>
      <c r="C40" s="612"/>
      <c r="D40" s="612"/>
      <c r="E40" s="84">
        <f>E36+E38</f>
        <v>0</v>
      </c>
      <c r="F40" s="48" t="s">
        <v>317</v>
      </c>
      <c r="G40" s="48">
        <f>E40*0.75</f>
        <v>0</v>
      </c>
      <c r="H40" s="48"/>
      <c r="I40" s="47"/>
    </row>
    <row r="41" spans="1:9" ht="12.75">
      <c r="A41" s="38"/>
      <c r="B41" s="612"/>
      <c r="C41" s="612"/>
      <c r="D41" s="612"/>
      <c r="E41" s="48"/>
      <c r="F41" s="48"/>
      <c r="G41" s="48"/>
      <c r="H41" s="48"/>
      <c r="I41" s="47"/>
    </row>
    <row r="42" spans="1:9" ht="12.75" customHeight="1">
      <c r="A42" s="38"/>
      <c r="B42" s="615" t="s">
        <v>365</v>
      </c>
      <c r="C42" s="615"/>
      <c r="D42" s="615"/>
      <c r="H42" s="48"/>
      <c r="I42" s="47"/>
    </row>
    <row r="43" spans="1:9" ht="12.75">
      <c r="A43" s="38"/>
      <c r="B43" s="615"/>
      <c r="C43" s="615"/>
      <c r="D43" s="615"/>
      <c r="E43" s="84">
        <v>0</v>
      </c>
      <c r="F43" s="48" t="s">
        <v>318</v>
      </c>
      <c r="G43" s="48">
        <f>E43*0.5</f>
        <v>0</v>
      </c>
      <c r="H43" s="48"/>
      <c r="I43" s="47"/>
    </row>
    <row r="44" spans="1:9" ht="12.75">
      <c r="A44" s="38"/>
      <c r="B44" s="612"/>
      <c r="C44" s="612"/>
      <c r="D44" s="612"/>
      <c r="E44" s="48"/>
      <c r="F44" s="48"/>
      <c r="G44" s="57">
        <f>G40+G43</f>
        <v>0</v>
      </c>
      <c r="H44" s="85">
        <f>G44+H33</f>
        <v>0</v>
      </c>
      <c r="I44" s="47"/>
    </row>
    <row r="45" spans="1:9" ht="12.75">
      <c r="A45" s="38"/>
      <c r="B45" s="52"/>
      <c r="C45" s="52"/>
      <c r="D45" s="52"/>
      <c r="E45" s="48"/>
      <c r="F45" s="48"/>
      <c r="G45" s="48"/>
      <c r="H45" s="48"/>
      <c r="I45" s="47"/>
    </row>
    <row r="46" spans="1:9" ht="12.75">
      <c r="A46" s="38"/>
      <c r="B46" s="612" t="s">
        <v>319</v>
      </c>
      <c r="C46" s="612"/>
      <c r="D46" s="612"/>
      <c r="E46" s="84">
        <v>0</v>
      </c>
      <c r="F46" s="48"/>
      <c r="G46" s="48"/>
      <c r="H46" s="10">
        <f>E46</f>
        <v>0</v>
      </c>
      <c r="I46" s="47"/>
    </row>
    <row r="47" spans="1:9" ht="12.75">
      <c r="A47" s="38"/>
      <c r="B47" s="612"/>
      <c r="C47" s="612"/>
      <c r="D47" s="612"/>
      <c r="E47" s="48"/>
      <c r="F47" s="48"/>
      <c r="G47" s="48"/>
      <c r="H47" s="48"/>
      <c r="I47" s="47"/>
    </row>
    <row r="48" spans="1:9" ht="12.75">
      <c r="A48" s="38"/>
      <c r="B48" s="613" t="s">
        <v>316</v>
      </c>
      <c r="C48" s="613"/>
      <c r="D48" s="613" t="s">
        <v>316</v>
      </c>
      <c r="E48" s="48"/>
      <c r="F48" s="48"/>
      <c r="G48" s="48"/>
      <c r="H48" s="85">
        <f>H44+H46</f>
        <v>0</v>
      </c>
      <c r="I48" s="47"/>
    </row>
    <row r="49" spans="1:9" ht="12.75">
      <c r="A49" s="38"/>
      <c r="B49" s="612"/>
      <c r="C49" s="612"/>
      <c r="D49" s="612"/>
      <c r="E49" s="48"/>
      <c r="F49" s="48"/>
      <c r="G49" s="48"/>
      <c r="H49" s="48"/>
      <c r="I49" s="47"/>
    </row>
    <row r="50" spans="1:9" ht="12.75">
      <c r="A50" s="38"/>
      <c r="B50" s="614" t="s">
        <v>292</v>
      </c>
      <c r="C50" s="614"/>
      <c r="D50" s="614"/>
      <c r="E50" s="48"/>
      <c r="F50" s="48"/>
      <c r="G50" s="48"/>
      <c r="H50" s="48"/>
      <c r="I50" s="47"/>
    </row>
    <row r="51" spans="1:9" ht="12.75">
      <c r="A51" s="38"/>
      <c r="B51" s="612"/>
      <c r="C51" s="612"/>
      <c r="D51" s="612"/>
      <c r="E51" s="48"/>
      <c r="F51" s="48"/>
      <c r="G51" s="48"/>
      <c r="H51" s="48"/>
      <c r="I51" s="47"/>
    </row>
    <row r="52" spans="1:9" ht="12.75">
      <c r="A52" s="38"/>
      <c r="B52" s="615" t="s">
        <v>367</v>
      </c>
      <c r="C52" s="615"/>
      <c r="D52" s="615"/>
      <c r="E52" s="48"/>
      <c r="F52" s="48"/>
      <c r="G52" s="48"/>
      <c r="H52" s="48"/>
      <c r="I52" s="47"/>
    </row>
    <row r="53" spans="1:9" ht="12.75">
      <c r="A53" s="38"/>
      <c r="B53" s="615"/>
      <c r="C53" s="615"/>
      <c r="D53" s="615"/>
      <c r="E53" s="48"/>
      <c r="F53" s="48"/>
      <c r="G53" s="48"/>
      <c r="H53" s="48"/>
      <c r="I53" s="47"/>
    </row>
    <row r="54" spans="1:9" ht="12.75">
      <c r="A54" s="38"/>
      <c r="B54" s="612"/>
      <c r="C54" s="612"/>
      <c r="D54" s="612"/>
      <c r="E54" s="48"/>
      <c r="F54" s="48"/>
      <c r="G54" s="48"/>
      <c r="H54" s="48"/>
      <c r="I54" s="47"/>
    </row>
    <row r="55" spans="1:9" ht="12.75">
      <c r="A55" s="38"/>
      <c r="B55" s="612" t="s">
        <v>315</v>
      </c>
      <c r="C55" s="612"/>
      <c r="D55" s="612"/>
      <c r="E55" s="84">
        <v>0</v>
      </c>
      <c r="F55" s="48"/>
      <c r="G55" s="48"/>
      <c r="H55" s="48"/>
      <c r="I55" s="47"/>
    </row>
    <row r="56" spans="1:9" ht="12.75">
      <c r="A56" s="38"/>
      <c r="B56" s="612"/>
      <c r="C56" s="612"/>
      <c r="D56" s="612"/>
      <c r="E56" s="48"/>
      <c r="F56" s="48"/>
      <c r="G56" s="48"/>
      <c r="H56" s="48"/>
      <c r="I56" s="47"/>
    </row>
    <row r="57" spans="1:9" ht="12.75">
      <c r="A57" s="38"/>
      <c r="B57" s="613" t="s">
        <v>316</v>
      </c>
      <c r="C57" s="613"/>
      <c r="D57" s="613" t="s">
        <v>316</v>
      </c>
      <c r="E57" s="84">
        <f>E55</f>
        <v>0</v>
      </c>
      <c r="F57" s="48" t="s">
        <v>317</v>
      </c>
      <c r="G57" s="48">
        <f>E57*0.75</f>
        <v>0</v>
      </c>
      <c r="H57" s="85">
        <f>H48+G57</f>
        <v>0</v>
      </c>
      <c r="I57" s="47"/>
    </row>
    <row r="58" spans="1:9" ht="12.75">
      <c r="A58" s="38"/>
      <c r="B58" s="612"/>
      <c r="C58" s="612"/>
      <c r="D58" s="612"/>
      <c r="E58" s="48"/>
      <c r="F58" s="48"/>
      <c r="G58" s="48"/>
      <c r="H58" s="48"/>
      <c r="I58" s="47"/>
    </row>
    <row r="59" spans="1:9" ht="12.75">
      <c r="A59" s="38"/>
      <c r="B59" s="612"/>
      <c r="C59" s="612"/>
      <c r="D59" s="612"/>
      <c r="E59" s="48"/>
      <c r="F59" s="48"/>
      <c r="G59" s="48"/>
      <c r="H59" s="48"/>
      <c r="I59" s="47"/>
    </row>
    <row r="60" spans="1:9" ht="12.75">
      <c r="A60" s="38"/>
      <c r="B60" s="612"/>
      <c r="C60" s="612"/>
      <c r="D60" s="612"/>
      <c r="E60" s="48"/>
      <c r="F60" s="48"/>
      <c r="G60" s="48"/>
      <c r="H60" s="48"/>
      <c r="I60" s="47"/>
    </row>
    <row r="61" spans="1:9" ht="12.75">
      <c r="A61" s="38"/>
      <c r="B61" s="612" t="s">
        <v>320</v>
      </c>
      <c r="C61" s="612"/>
      <c r="D61" s="612"/>
      <c r="E61" s="48"/>
      <c r="F61" s="48"/>
      <c r="G61" s="48"/>
      <c r="H61" s="55">
        <f>H57</f>
        <v>0</v>
      </c>
      <c r="I61" s="47"/>
    </row>
    <row r="62" spans="1:9" ht="12.75">
      <c r="A62" s="38"/>
      <c r="B62" s="612"/>
      <c r="C62" s="612"/>
      <c r="D62" s="612"/>
      <c r="E62" s="48"/>
      <c r="F62" s="48"/>
      <c r="G62" s="48"/>
      <c r="H62" s="48"/>
      <c r="I62" s="47"/>
    </row>
    <row r="63" spans="1:9" ht="12.75">
      <c r="A63" s="38"/>
      <c r="B63" s="612" t="s">
        <v>321</v>
      </c>
      <c r="C63" s="612"/>
      <c r="D63" s="612"/>
      <c r="E63" s="86">
        <v>0.07</v>
      </c>
      <c r="F63" s="48"/>
      <c r="G63" s="48"/>
      <c r="H63" s="55">
        <f>H61*E63</f>
        <v>0</v>
      </c>
      <c r="I63" s="47"/>
    </row>
    <row r="64" spans="1:9" ht="12.75">
      <c r="A64" s="38"/>
      <c r="B64" s="507"/>
      <c r="C64" s="507"/>
      <c r="D64" s="507"/>
      <c r="E64" s="48"/>
      <c r="F64" s="55"/>
      <c r="G64" s="48"/>
      <c r="H64" s="55"/>
      <c r="I64" s="47"/>
    </row>
    <row r="65" spans="1:9" ht="13.5" thickBot="1">
      <c r="A65" s="38"/>
      <c r="B65" s="612" t="s">
        <v>362</v>
      </c>
      <c r="C65" s="612"/>
      <c r="D65" s="612"/>
      <c r="E65" s="48"/>
      <c r="F65" s="48"/>
      <c r="G65" s="48"/>
      <c r="H65" s="157">
        <f>H61-H63</f>
        <v>0</v>
      </c>
      <c r="I65" s="47"/>
    </row>
    <row r="66" spans="1:9" ht="14.25" thickBot="1" thickTop="1">
      <c r="A66" s="610"/>
      <c r="B66" s="606"/>
      <c r="C66" s="606"/>
      <c r="D66" s="606"/>
      <c r="E66" s="606"/>
      <c r="F66" s="606"/>
      <c r="G66" s="606"/>
      <c r="H66" s="606"/>
      <c r="I66" s="611"/>
    </row>
  </sheetData>
  <sheetProtection/>
  <mergeCells count="36">
    <mergeCell ref="B37:D37"/>
    <mergeCell ref="B38:D38"/>
    <mergeCell ref="B39:D39"/>
    <mergeCell ref="B40:D40"/>
    <mergeCell ref="B47:D47"/>
    <mergeCell ref="B42:D43"/>
    <mergeCell ref="B55:D55"/>
    <mergeCell ref="B56:D56"/>
    <mergeCell ref="B41:D41"/>
    <mergeCell ref="B48:D48"/>
    <mergeCell ref="B49:D49"/>
    <mergeCell ref="A1:O1"/>
    <mergeCell ref="A2:O2"/>
    <mergeCell ref="B4:O4"/>
    <mergeCell ref="B36:D36"/>
    <mergeCell ref="B33:D33"/>
    <mergeCell ref="B35:D35"/>
    <mergeCell ref="A31:I31"/>
    <mergeCell ref="B32:H32"/>
    <mergeCell ref="B34:D34"/>
    <mergeCell ref="A66:I66"/>
    <mergeCell ref="B44:D44"/>
    <mergeCell ref="B61:D61"/>
    <mergeCell ref="B62:D62"/>
    <mergeCell ref="B63:D63"/>
    <mergeCell ref="B57:D57"/>
    <mergeCell ref="B58:D58"/>
    <mergeCell ref="B59:D59"/>
    <mergeCell ref="B60:D60"/>
    <mergeCell ref="B54:D54"/>
    <mergeCell ref="B51:D51"/>
    <mergeCell ref="B46:D46"/>
    <mergeCell ref="B50:D50"/>
    <mergeCell ref="B65:D65"/>
    <mergeCell ref="B52:D53"/>
    <mergeCell ref="B64:D64"/>
  </mergeCells>
  <printOptions/>
  <pageMargins left="0.15748031496062992" right="0.5511811023622047" top="0.7874015748031497" bottom="0.3937007874015748" header="0.31496062992125984" footer="0.11811023622047245"/>
  <pageSetup fitToHeight="1" fitToWidth="1" horizontalDpi="355" verticalDpi="355" orientation="landscape" scale="54" r:id="rId3"/>
  <headerFooter alignWithMargins="0">
    <oddFooter>&amp;L&amp;A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selection activeCell="B5" sqref="B5:O24"/>
    </sheetView>
  </sheetViews>
  <sheetFormatPr defaultColWidth="9.140625" defaultRowHeight="12.75"/>
  <cols>
    <col min="1" max="1" width="1.57421875" style="0" customWidth="1"/>
    <col min="2" max="2" width="5.421875" style="0" customWidth="1"/>
    <col min="3" max="3" width="45.57421875" style="0" customWidth="1"/>
    <col min="4" max="4" width="10.28125" style="0" customWidth="1"/>
    <col min="5" max="5" width="13.00390625" style="0" hidden="1" customWidth="1"/>
    <col min="6" max="6" width="14.421875" style="0" hidden="1" customWidth="1"/>
    <col min="7" max="7" width="11.421875" style="0" customWidth="1"/>
    <col min="8" max="8" width="10.00390625" style="0" bestFit="1" customWidth="1"/>
    <col min="9" max="9" width="7.140625" style="0" customWidth="1"/>
    <col min="10" max="10" width="12.140625" style="0" customWidth="1"/>
    <col min="11" max="11" width="12.00390625" style="0" customWidth="1"/>
    <col min="12" max="12" width="10.140625" style="0" customWidth="1"/>
    <col min="14" max="14" width="9.57421875" style="0" customWidth="1"/>
    <col min="15" max="15" width="11.28125" style="0" customWidth="1"/>
  </cols>
  <sheetData>
    <row r="1" spans="1:15" ht="12.75">
      <c r="A1" s="519" t="str">
        <f>'Trial Balance'!A1:F1</f>
        <v>Rideau St. Lawrence Distribution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15" ht="12.75">
      <c r="A2" s="519" t="str">
        <f>'Trial Balance'!A2:F2</f>
        <v> License Number ED-2003-0003, File Number EB-2011-0274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</row>
    <row r="3" ht="6.75" customHeight="1"/>
    <row r="4" spans="2:15" ht="24" customHeight="1">
      <c r="B4" s="568" t="s">
        <v>834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</row>
    <row r="5" spans="2:15" s="16" customFormat="1" ht="72.75" customHeight="1">
      <c r="B5" s="76" t="s">
        <v>449</v>
      </c>
      <c r="C5" s="76" t="s">
        <v>450</v>
      </c>
      <c r="D5" s="76" t="s">
        <v>451</v>
      </c>
      <c r="E5" s="76" t="s">
        <v>452</v>
      </c>
      <c r="F5" s="76" t="s">
        <v>453</v>
      </c>
      <c r="G5" s="76" t="s">
        <v>454</v>
      </c>
      <c r="H5" s="76" t="s">
        <v>474</v>
      </c>
      <c r="I5" s="76" t="s">
        <v>475</v>
      </c>
      <c r="J5" s="76" t="s">
        <v>476</v>
      </c>
      <c r="K5" s="76" t="s">
        <v>477</v>
      </c>
      <c r="L5" s="76" t="s">
        <v>478</v>
      </c>
      <c r="M5" s="76" t="s">
        <v>479</v>
      </c>
      <c r="N5" s="76" t="s">
        <v>480</v>
      </c>
      <c r="O5" s="76" t="s">
        <v>481</v>
      </c>
    </row>
    <row r="6" spans="2:15" ht="25.5">
      <c r="B6" s="77">
        <v>1</v>
      </c>
      <c r="C6" s="78" t="s">
        <v>455</v>
      </c>
      <c r="D6" s="83">
        <f>'CCA Continuity 2011'!O6</f>
        <v>4041288</v>
      </c>
      <c r="E6" s="82">
        <v>0</v>
      </c>
      <c r="F6" s="82">
        <v>0</v>
      </c>
      <c r="G6" s="56">
        <f aca="true" t="shared" si="0" ref="G6:G23">D6-E6-F6</f>
        <v>4041288</v>
      </c>
      <c r="H6" s="397">
        <f>SUMIF('FA Continuity 2012'!A:A,B6,'FA Continuity 2012'!E:E)</f>
        <v>0</v>
      </c>
      <c r="I6" s="397">
        <f>SUMIF('FA Continuity 2012'!A:A,B6,'FA Continuity 2012'!F:F)</f>
        <v>0</v>
      </c>
      <c r="J6" s="56">
        <f aca="true" t="shared" si="1" ref="J6:J23">G6+H6-I6</f>
        <v>4041288</v>
      </c>
      <c r="K6" s="56">
        <f aca="true" t="shared" si="2" ref="K6:K23">H6*0.5</f>
        <v>0</v>
      </c>
      <c r="L6" s="56">
        <f aca="true" t="shared" si="3" ref="L6:L23">J6-K6</f>
        <v>4041288</v>
      </c>
      <c r="M6" s="80">
        <v>0.04</v>
      </c>
      <c r="N6" s="56">
        <f aca="true" t="shared" si="4" ref="N6:N13">L6*M6</f>
        <v>161651.52</v>
      </c>
      <c r="O6" s="56">
        <f aca="true" t="shared" si="5" ref="O6:O23">J6-N6</f>
        <v>3879636.48</v>
      </c>
    </row>
    <row r="7" spans="2:15" ht="12.75">
      <c r="B7" s="77">
        <v>2</v>
      </c>
      <c r="C7" s="78" t="s">
        <v>456</v>
      </c>
      <c r="D7" s="83">
        <f>'CCA Continuity 2011'!O7</f>
        <v>0</v>
      </c>
      <c r="E7" s="82">
        <v>0</v>
      </c>
      <c r="F7" s="82">
        <v>0</v>
      </c>
      <c r="G7" s="56">
        <f t="shared" si="0"/>
        <v>0</v>
      </c>
      <c r="H7" s="397">
        <f>SUMIF('FA Continuity 2012'!A:A,B7,'FA Continuity 2012'!E:E)</f>
        <v>0</v>
      </c>
      <c r="I7" s="397">
        <f>SUMIF('FA Continuity 2012'!A:A,B7,'FA Continuity 2012'!F:F)</f>
        <v>0</v>
      </c>
      <c r="J7" s="56">
        <f t="shared" si="1"/>
        <v>0</v>
      </c>
      <c r="K7" s="56">
        <f t="shared" si="2"/>
        <v>0</v>
      </c>
      <c r="L7" s="56">
        <f t="shared" si="3"/>
        <v>0</v>
      </c>
      <c r="M7" s="80">
        <v>0.06</v>
      </c>
      <c r="N7" s="56">
        <f t="shared" si="4"/>
        <v>0</v>
      </c>
      <c r="O7" s="56">
        <f t="shared" si="5"/>
        <v>0</v>
      </c>
    </row>
    <row r="8" spans="2:15" ht="12.75">
      <c r="B8" s="77">
        <v>6</v>
      </c>
      <c r="C8" s="78" t="s">
        <v>269</v>
      </c>
      <c r="D8" s="83">
        <f>'CCA Continuity 2011'!O8</f>
        <v>0</v>
      </c>
      <c r="E8" s="82">
        <v>0</v>
      </c>
      <c r="F8" s="82">
        <v>0</v>
      </c>
      <c r="G8" s="56">
        <f t="shared" si="0"/>
        <v>0</v>
      </c>
      <c r="H8" s="397">
        <f>SUMIF('FA Continuity 2012'!A:A,B8,'FA Continuity 2012'!E:E)</f>
        <v>0</v>
      </c>
      <c r="I8" s="397">
        <f>SUMIF('FA Continuity 2012'!A:A,B8,'FA Continuity 2012'!F:F)</f>
        <v>0</v>
      </c>
      <c r="J8" s="56">
        <f>G8+H8-I8</f>
        <v>0</v>
      </c>
      <c r="K8" s="56">
        <f>H8*0.5</f>
        <v>0</v>
      </c>
      <c r="L8" s="56">
        <f>J8-K8</f>
        <v>0</v>
      </c>
      <c r="M8" s="80">
        <v>0.1</v>
      </c>
      <c r="N8" s="56">
        <f>L8*M8</f>
        <v>0</v>
      </c>
      <c r="O8" s="56">
        <f>J8-N8</f>
        <v>0</v>
      </c>
    </row>
    <row r="9" spans="2:15" ht="12.75">
      <c r="B9" s="77">
        <v>8</v>
      </c>
      <c r="C9" s="78" t="s">
        <v>457</v>
      </c>
      <c r="D9" s="83">
        <f>'CCA Continuity 2011'!O9</f>
        <v>33688.8</v>
      </c>
      <c r="E9" s="82">
        <v>0</v>
      </c>
      <c r="F9" s="82">
        <v>0</v>
      </c>
      <c r="G9" s="56">
        <f t="shared" si="0"/>
        <v>33688.8</v>
      </c>
      <c r="H9" s="397">
        <f>SUMIF('FA Continuity 2012'!A:A,B9,'FA Continuity 2012'!E:E)</f>
        <v>10000</v>
      </c>
      <c r="I9" s="397">
        <f>SUMIF('FA Continuity 2012'!A:A,B9,'FA Continuity 2012'!F:F)</f>
        <v>0</v>
      </c>
      <c r="J9" s="56">
        <f t="shared" si="1"/>
        <v>43688.8</v>
      </c>
      <c r="K9" s="56">
        <f t="shared" si="2"/>
        <v>5000</v>
      </c>
      <c r="L9" s="56">
        <f t="shared" si="3"/>
        <v>38688.8</v>
      </c>
      <c r="M9" s="80">
        <v>0.2</v>
      </c>
      <c r="N9" s="56">
        <f t="shared" si="4"/>
        <v>7737.760000000001</v>
      </c>
      <c r="O9" s="56">
        <f t="shared" si="5"/>
        <v>35951.04</v>
      </c>
    </row>
    <row r="10" spans="2:15" ht="12.75">
      <c r="B10" s="77">
        <v>10</v>
      </c>
      <c r="C10" s="78" t="s">
        <v>458</v>
      </c>
      <c r="D10" s="83">
        <f>'CCA Continuity 2011'!O10</f>
        <v>410847.2</v>
      </c>
      <c r="E10" s="82">
        <v>0</v>
      </c>
      <c r="F10" s="82">
        <v>0</v>
      </c>
      <c r="G10" s="56">
        <f t="shared" si="0"/>
        <v>410847.2</v>
      </c>
      <c r="H10" s="397">
        <f>SUMIF('FA Continuity 2012'!A:A,B10,'FA Continuity 2012'!E:E)</f>
        <v>20000</v>
      </c>
      <c r="I10" s="397">
        <f>SUMIF('FA Continuity 2012'!A:A,B10,'FA Continuity 2012'!F:F)</f>
        <v>0</v>
      </c>
      <c r="J10" s="56">
        <f t="shared" si="1"/>
        <v>430847.2</v>
      </c>
      <c r="K10" s="56">
        <f t="shared" si="2"/>
        <v>10000</v>
      </c>
      <c r="L10" s="56">
        <f t="shared" si="3"/>
        <v>420847.2</v>
      </c>
      <c r="M10" s="80">
        <v>0.3</v>
      </c>
      <c r="N10" s="56">
        <f t="shared" si="4"/>
        <v>126254.16</v>
      </c>
      <c r="O10" s="56">
        <f t="shared" si="5"/>
        <v>304593.04000000004</v>
      </c>
    </row>
    <row r="11" spans="2:15" ht="12.75">
      <c r="B11" s="77">
        <v>10.1</v>
      </c>
      <c r="C11" s="78" t="s">
        <v>459</v>
      </c>
      <c r="D11" s="83">
        <f>'CCA Continuity 2011'!O11</f>
        <v>0</v>
      </c>
      <c r="E11" s="82">
        <v>0</v>
      </c>
      <c r="F11" s="82">
        <v>0</v>
      </c>
      <c r="G11" s="56">
        <f t="shared" si="0"/>
        <v>0</v>
      </c>
      <c r="H11" s="397">
        <f>SUMIF('FA Continuity 2012'!A:A,B11,'FA Continuity 2012'!E:E)</f>
        <v>0</v>
      </c>
      <c r="I11" s="397">
        <f>SUMIF('FA Continuity 2012'!A:A,B11,'FA Continuity 2012'!F:F)</f>
        <v>0</v>
      </c>
      <c r="J11" s="56">
        <f t="shared" si="1"/>
        <v>0</v>
      </c>
      <c r="K11" s="56">
        <f t="shared" si="2"/>
        <v>0</v>
      </c>
      <c r="L11" s="56">
        <f t="shared" si="3"/>
        <v>0</v>
      </c>
      <c r="M11" s="80">
        <v>0.3</v>
      </c>
      <c r="N11" s="56">
        <f t="shared" si="4"/>
        <v>0</v>
      </c>
      <c r="O11" s="56">
        <f t="shared" si="5"/>
        <v>0</v>
      </c>
    </row>
    <row r="12" spans="2:15" ht="12.75">
      <c r="B12" s="77">
        <v>12</v>
      </c>
      <c r="C12" s="78" t="s">
        <v>505</v>
      </c>
      <c r="D12" s="83">
        <f>'CCA Continuity 2011'!O12</f>
        <v>5000</v>
      </c>
      <c r="E12" s="82">
        <v>0</v>
      </c>
      <c r="F12" s="82">
        <v>0</v>
      </c>
      <c r="G12" s="56">
        <f t="shared" si="0"/>
        <v>5000</v>
      </c>
      <c r="H12" s="397">
        <f>SUMIF('FA Continuity 2012'!A:A,B12,'FA Continuity 2012'!E:E)</f>
        <v>50000</v>
      </c>
      <c r="I12" s="397">
        <f>SUMIF('FA Continuity 2012'!A:A,B12,'FA Continuity 2012'!F:F)</f>
        <v>0</v>
      </c>
      <c r="J12" s="56">
        <f t="shared" si="1"/>
        <v>55000</v>
      </c>
      <c r="K12" s="56">
        <f t="shared" si="2"/>
        <v>25000</v>
      </c>
      <c r="L12" s="56">
        <f t="shared" si="3"/>
        <v>30000</v>
      </c>
      <c r="M12" s="80">
        <v>1</v>
      </c>
      <c r="N12" s="56">
        <f t="shared" si="4"/>
        <v>30000</v>
      </c>
      <c r="O12" s="56">
        <f t="shared" si="5"/>
        <v>25000</v>
      </c>
    </row>
    <row r="13" spans="2:15" s="18" customFormat="1" ht="12.75">
      <c r="B13" s="356">
        <v>3</v>
      </c>
      <c r="C13" s="357"/>
      <c r="D13" s="83">
        <f>'CCA Continuity 2011'!O13</f>
        <v>0</v>
      </c>
      <c r="E13" s="82">
        <v>0</v>
      </c>
      <c r="F13" s="82">
        <v>0</v>
      </c>
      <c r="G13" s="83">
        <f t="shared" si="0"/>
        <v>0</v>
      </c>
      <c r="H13" s="397">
        <f>SUMIF('FA Continuity 2012'!A:A,B13,'FA Continuity 2012'!E:E)</f>
        <v>0</v>
      </c>
      <c r="I13" s="397">
        <f>SUMIF('FA Continuity 2012'!A:A,B13,'FA Continuity 2012'!F:F)</f>
        <v>0</v>
      </c>
      <c r="J13" s="83">
        <f t="shared" si="1"/>
        <v>0</v>
      </c>
      <c r="K13" s="83">
        <f t="shared" si="2"/>
        <v>0</v>
      </c>
      <c r="L13" s="83">
        <f t="shared" si="3"/>
        <v>0</v>
      </c>
      <c r="M13" s="243">
        <v>0.05</v>
      </c>
      <c r="N13" s="83">
        <f t="shared" si="4"/>
        <v>0</v>
      </c>
      <c r="O13" s="83">
        <f t="shared" si="5"/>
        <v>0</v>
      </c>
    </row>
    <row r="14" spans="2:15" ht="12.75">
      <c r="B14" s="77"/>
      <c r="C14" s="78"/>
      <c r="D14" s="83">
        <f>'CCA Continuity 2011'!O14</f>
        <v>0</v>
      </c>
      <c r="E14" s="82">
        <v>0</v>
      </c>
      <c r="F14" s="82">
        <v>0</v>
      </c>
      <c r="G14" s="56">
        <f t="shared" si="0"/>
        <v>0</v>
      </c>
      <c r="H14" s="397">
        <f>SUMIF('FA Continuity 2012'!A:A,B14,'FA Continuity 2012'!E:E)</f>
        <v>0</v>
      </c>
      <c r="I14" s="397">
        <f>SUMIF('FA Continuity 2012'!A:A,B14,'FA Continuity 2012'!F:F)</f>
        <v>0</v>
      </c>
      <c r="J14" s="56">
        <f t="shared" si="1"/>
        <v>0</v>
      </c>
      <c r="K14" s="56">
        <f t="shared" si="2"/>
        <v>0</v>
      </c>
      <c r="L14" s="56">
        <f t="shared" si="3"/>
        <v>0</v>
      </c>
      <c r="M14" s="243">
        <v>0</v>
      </c>
      <c r="N14" s="83">
        <f aca="true" t="shared" si="6" ref="N14:N23">L14*M14</f>
        <v>0</v>
      </c>
      <c r="O14" s="56">
        <f t="shared" si="5"/>
        <v>0</v>
      </c>
    </row>
    <row r="15" spans="2:15" ht="12.75">
      <c r="B15" s="77" t="s">
        <v>460</v>
      </c>
      <c r="C15" s="78" t="s">
        <v>461</v>
      </c>
      <c r="D15" s="83">
        <f>'CCA Continuity 2011'!O15</f>
        <v>0</v>
      </c>
      <c r="E15" s="82">
        <v>0</v>
      </c>
      <c r="F15" s="82">
        <v>0</v>
      </c>
      <c r="G15" s="56">
        <f t="shared" si="0"/>
        <v>0</v>
      </c>
      <c r="H15" s="397">
        <f>SUMIF('FA Continuity 2012'!A:A,B15,'FA Continuity 2012'!E:E)</f>
        <v>0</v>
      </c>
      <c r="I15" s="397">
        <f>SUMIF('FA Continuity 2012'!A:A,B15,'FA Continuity 2012'!F:F)</f>
        <v>0</v>
      </c>
      <c r="J15" s="56">
        <f t="shared" si="1"/>
        <v>0</v>
      </c>
      <c r="K15" s="56">
        <f t="shared" si="2"/>
        <v>0</v>
      </c>
      <c r="L15" s="56">
        <f t="shared" si="3"/>
        <v>0</v>
      </c>
      <c r="M15" s="54"/>
      <c r="N15" s="83">
        <f t="shared" si="6"/>
        <v>0</v>
      </c>
      <c r="O15" s="56">
        <f t="shared" si="5"/>
        <v>0</v>
      </c>
    </row>
    <row r="16" spans="2:15" ht="12.75">
      <c r="B16" s="77" t="s">
        <v>462</v>
      </c>
      <c r="C16" s="78" t="s">
        <v>463</v>
      </c>
      <c r="D16" s="83">
        <f>'CCA Continuity 2011'!O16</f>
        <v>0</v>
      </c>
      <c r="E16" s="82">
        <v>0</v>
      </c>
      <c r="F16" s="82">
        <v>0</v>
      </c>
      <c r="G16" s="56">
        <f t="shared" si="0"/>
        <v>0</v>
      </c>
      <c r="H16" s="397">
        <f>SUMIF('FA Continuity 2012'!A:A,B16,'FA Continuity 2012'!E:E)</f>
        <v>0</v>
      </c>
      <c r="I16" s="397">
        <f>SUMIF('FA Continuity 2012'!A:A,B16,'FA Continuity 2012'!F:F)</f>
        <v>0</v>
      </c>
      <c r="J16" s="56">
        <f t="shared" si="1"/>
        <v>0</v>
      </c>
      <c r="K16" s="56">
        <f t="shared" si="2"/>
        <v>0</v>
      </c>
      <c r="L16" s="56">
        <f t="shared" si="3"/>
        <v>0</v>
      </c>
      <c r="M16" s="54"/>
      <c r="N16" s="83">
        <f t="shared" si="6"/>
        <v>0</v>
      </c>
      <c r="O16" s="56">
        <f t="shared" si="5"/>
        <v>0</v>
      </c>
    </row>
    <row r="17" spans="2:15" ht="12.75">
      <c r="B17" s="77">
        <v>14</v>
      </c>
      <c r="C17" s="78" t="s">
        <v>464</v>
      </c>
      <c r="D17" s="83">
        <f>'CCA Continuity 2011'!O17</f>
        <v>3519</v>
      </c>
      <c r="E17" s="82">
        <v>0</v>
      </c>
      <c r="F17" s="82">
        <v>0</v>
      </c>
      <c r="G17" s="56">
        <f t="shared" si="0"/>
        <v>3519</v>
      </c>
      <c r="H17" s="397">
        <f>SUMIF('FA Continuity 2012'!A:A,B17,'FA Continuity 2012'!E:E)</f>
        <v>0</v>
      </c>
      <c r="I17" s="397">
        <f>SUMIF('FA Continuity 2012'!A:A,B17,'FA Continuity 2012'!F:F)</f>
        <v>0</v>
      </c>
      <c r="J17" s="56">
        <f t="shared" si="1"/>
        <v>3519</v>
      </c>
      <c r="K17" s="56">
        <f t="shared" si="2"/>
        <v>0</v>
      </c>
      <c r="L17" s="56">
        <f t="shared" si="3"/>
        <v>3519</v>
      </c>
      <c r="M17" s="54"/>
      <c r="N17" s="83">
        <f t="shared" si="6"/>
        <v>0</v>
      </c>
      <c r="O17" s="56">
        <f t="shared" si="5"/>
        <v>3519</v>
      </c>
    </row>
    <row r="18" spans="2:15" ht="25.5">
      <c r="B18" s="77">
        <v>17</v>
      </c>
      <c r="C18" s="78" t="s">
        <v>465</v>
      </c>
      <c r="D18" s="83">
        <f>'CCA Continuity 2011'!O18</f>
        <v>0</v>
      </c>
      <c r="E18" s="82">
        <v>0</v>
      </c>
      <c r="F18" s="82">
        <v>0</v>
      </c>
      <c r="G18" s="56">
        <f t="shared" si="0"/>
        <v>0</v>
      </c>
      <c r="H18" s="397">
        <f>SUMIF('FA Continuity 2012'!A:A,B18,'FA Continuity 2012'!E:E)</f>
        <v>0</v>
      </c>
      <c r="I18" s="397">
        <f>SUMIF('FA Continuity 2012'!A:A,B18,'FA Continuity 2012'!F:F)</f>
        <v>0</v>
      </c>
      <c r="J18" s="56">
        <f t="shared" si="1"/>
        <v>0</v>
      </c>
      <c r="K18" s="56">
        <f t="shared" si="2"/>
        <v>0</v>
      </c>
      <c r="L18" s="56">
        <f t="shared" si="3"/>
        <v>0</v>
      </c>
      <c r="M18" s="80">
        <v>0.08</v>
      </c>
      <c r="N18" s="56">
        <f t="shared" si="6"/>
        <v>0</v>
      </c>
      <c r="O18" s="56">
        <f t="shared" si="5"/>
        <v>0</v>
      </c>
    </row>
    <row r="19" spans="2:15" ht="25.5">
      <c r="B19" s="77">
        <v>43.1</v>
      </c>
      <c r="C19" s="78" t="s">
        <v>466</v>
      </c>
      <c r="D19" s="83">
        <f>'CCA Continuity 2011'!O19</f>
        <v>0</v>
      </c>
      <c r="E19" s="82">
        <v>0</v>
      </c>
      <c r="F19" s="82">
        <v>0</v>
      </c>
      <c r="G19" s="56">
        <f t="shared" si="0"/>
        <v>0</v>
      </c>
      <c r="H19" s="397">
        <f>SUMIF('FA Continuity 2012'!A:A,B19,'FA Continuity 2012'!E:E)</f>
        <v>0</v>
      </c>
      <c r="I19" s="397">
        <f>SUMIF('FA Continuity 2012'!A:A,B19,'FA Continuity 2012'!F:F)</f>
        <v>0</v>
      </c>
      <c r="J19" s="56">
        <f t="shared" si="1"/>
        <v>0</v>
      </c>
      <c r="K19" s="56">
        <f t="shared" si="2"/>
        <v>0</v>
      </c>
      <c r="L19" s="56">
        <f t="shared" si="3"/>
        <v>0</v>
      </c>
      <c r="M19" s="80">
        <v>0.3</v>
      </c>
      <c r="N19" s="56">
        <f t="shared" si="6"/>
        <v>0</v>
      </c>
      <c r="O19" s="56">
        <f t="shared" si="5"/>
        <v>0</v>
      </c>
    </row>
    <row r="20" spans="2:15" ht="25.5">
      <c r="B20" s="77">
        <v>45</v>
      </c>
      <c r="C20" s="78" t="s">
        <v>271</v>
      </c>
      <c r="D20" s="83">
        <f>'CCA Continuity 2011'!O20</f>
        <v>477.95</v>
      </c>
      <c r="E20" s="82">
        <v>0</v>
      </c>
      <c r="F20" s="82">
        <v>0</v>
      </c>
      <c r="G20" s="56">
        <f t="shared" si="0"/>
        <v>477.95</v>
      </c>
      <c r="H20" s="397">
        <f>SUMIF('FA Continuity 2012'!A:A,B20,'FA Continuity 2012'!E:E)</f>
        <v>0</v>
      </c>
      <c r="I20" s="397">
        <f>SUMIF('FA Continuity 2012'!A:A,B20,'FA Continuity 2012'!F:F)</f>
        <v>0</v>
      </c>
      <c r="J20" s="56">
        <f t="shared" si="1"/>
        <v>477.95</v>
      </c>
      <c r="K20" s="56">
        <f t="shared" si="2"/>
        <v>0</v>
      </c>
      <c r="L20" s="56">
        <f t="shared" si="3"/>
        <v>477.95</v>
      </c>
      <c r="M20" s="80">
        <v>0.45</v>
      </c>
      <c r="N20" s="56">
        <f t="shared" si="6"/>
        <v>215.0775</v>
      </c>
      <c r="O20" s="56">
        <f t="shared" si="5"/>
        <v>262.8725</v>
      </c>
    </row>
    <row r="21" spans="2:15" ht="25.5">
      <c r="B21" s="77">
        <v>50</v>
      </c>
      <c r="C21" s="78" t="s">
        <v>270</v>
      </c>
      <c r="D21" s="83">
        <f>'CCA Continuity 2011'!O21</f>
        <v>0</v>
      </c>
      <c r="E21" s="82">
        <v>0</v>
      </c>
      <c r="F21" s="82">
        <v>0</v>
      </c>
      <c r="G21" s="56">
        <f t="shared" si="0"/>
        <v>0</v>
      </c>
      <c r="H21" s="397">
        <f>SUMIF('FA Continuity 2012'!A:A,B21,'FA Continuity 2012'!E:E)</f>
        <v>0</v>
      </c>
      <c r="I21" s="397">
        <f>SUMIF('FA Continuity 2012'!A:A,B21,'FA Continuity 2012'!F:F)</f>
        <v>0</v>
      </c>
      <c r="J21" s="56">
        <f>G21+H21-I21</f>
        <v>0</v>
      </c>
      <c r="K21" s="56">
        <f>H21*0.5</f>
        <v>0</v>
      </c>
      <c r="L21" s="56">
        <f>J21-K21</f>
        <v>0</v>
      </c>
      <c r="M21" s="80">
        <v>0.55</v>
      </c>
      <c r="N21" s="56">
        <f>L21*M21</f>
        <v>0</v>
      </c>
      <c r="O21" s="56">
        <f>J21-N21</f>
        <v>0</v>
      </c>
    </row>
    <row r="22" spans="2:15" ht="25.5">
      <c r="B22" s="77">
        <v>46</v>
      </c>
      <c r="C22" s="78" t="s">
        <v>467</v>
      </c>
      <c r="D22" s="83">
        <f>'CCA Continuity 2011'!O22</f>
        <v>798</v>
      </c>
      <c r="E22" s="82">
        <v>0</v>
      </c>
      <c r="F22" s="82">
        <v>0</v>
      </c>
      <c r="G22" s="56">
        <f t="shared" si="0"/>
        <v>798</v>
      </c>
      <c r="H22" s="397">
        <f>SUMIF('FA Continuity 2012'!A:A,B22,'FA Continuity 2012'!E:E)</f>
        <v>0</v>
      </c>
      <c r="I22" s="397">
        <f>SUMIF('FA Continuity 2012'!A:A,B22,'FA Continuity 2012'!F:F)</f>
        <v>0</v>
      </c>
      <c r="J22" s="56">
        <f t="shared" si="1"/>
        <v>798</v>
      </c>
      <c r="K22" s="56">
        <f t="shared" si="2"/>
        <v>0</v>
      </c>
      <c r="L22" s="56">
        <f t="shared" si="3"/>
        <v>798</v>
      </c>
      <c r="M22" s="80">
        <v>0.3</v>
      </c>
      <c r="N22" s="56">
        <f t="shared" si="6"/>
        <v>239.39999999999998</v>
      </c>
      <c r="O22" s="56">
        <f t="shared" si="5"/>
        <v>558.6</v>
      </c>
    </row>
    <row r="23" spans="2:15" ht="12.75">
      <c r="B23" s="77">
        <v>47</v>
      </c>
      <c r="C23" s="78" t="s">
        <v>468</v>
      </c>
      <c r="D23" s="83">
        <f>'CCA Continuity 2011'!O23</f>
        <v>1061235.7312</v>
      </c>
      <c r="E23" s="54"/>
      <c r="F23" s="54"/>
      <c r="G23" s="56">
        <f t="shared" si="0"/>
        <v>1061235.7312</v>
      </c>
      <c r="H23" s="397">
        <f>SUMIF('FA Continuity 2012'!A:A,B23,'FA Continuity 2012'!E:E)</f>
        <v>305000</v>
      </c>
      <c r="I23" s="397">
        <f>SUMIF('FA Continuity 2012'!A:A,B23,'FA Continuity 2012'!F:F)</f>
        <v>0</v>
      </c>
      <c r="J23" s="56">
        <f t="shared" si="1"/>
        <v>1366235.7312</v>
      </c>
      <c r="K23" s="56">
        <f t="shared" si="2"/>
        <v>152500</v>
      </c>
      <c r="L23" s="56">
        <f t="shared" si="3"/>
        <v>1213735.7312</v>
      </c>
      <c r="M23" s="80">
        <v>0.08</v>
      </c>
      <c r="N23" s="83">
        <f t="shared" si="6"/>
        <v>97098.858496</v>
      </c>
      <c r="O23" s="56">
        <f t="shared" si="5"/>
        <v>1269136.872704</v>
      </c>
    </row>
    <row r="24" spans="2:15" ht="12.75">
      <c r="B24" s="77"/>
      <c r="C24" s="79" t="s">
        <v>469</v>
      </c>
      <c r="D24" s="239">
        <f aca="true" t="shared" si="7" ref="D24:L24">SUM(D6:D23)</f>
        <v>5556854.6812</v>
      </c>
      <c r="E24" s="228">
        <f t="shared" si="7"/>
        <v>0</v>
      </c>
      <c r="F24" s="228">
        <f t="shared" si="7"/>
        <v>0</v>
      </c>
      <c r="G24" s="228">
        <f t="shared" si="7"/>
        <v>5556854.6812</v>
      </c>
      <c r="H24" s="228">
        <f t="shared" si="7"/>
        <v>385000</v>
      </c>
      <c r="I24" s="228">
        <f t="shared" si="7"/>
        <v>0</v>
      </c>
      <c r="J24" s="228">
        <f t="shared" si="7"/>
        <v>5941854.6812</v>
      </c>
      <c r="K24" s="228">
        <f t="shared" si="7"/>
        <v>192500</v>
      </c>
      <c r="L24" s="228">
        <f t="shared" si="7"/>
        <v>5749354.6812</v>
      </c>
      <c r="M24" s="228"/>
      <c r="N24" s="228">
        <f>SUM(N6:N23)</f>
        <v>423196.77599600004</v>
      </c>
      <c r="O24" s="228">
        <f>SUM(O6:O23)</f>
        <v>5518657.905204</v>
      </c>
    </row>
    <row r="25" spans="2:9" ht="12.75">
      <c r="B25" s="24"/>
      <c r="C25" s="75"/>
      <c r="D25" s="240"/>
      <c r="E25" s="20"/>
      <c r="F25" s="20"/>
      <c r="G25" s="20"/>
      <c r="H25" s="273">
        <f>'FA Continuity MIFRS 2011'!E50-'FA Continuity MIFRS 2011'!E11-H24</f>
        <v>331310.73</v>
      </c>
      <c r="I25" s="273">
        <f>'FA Continuity 2012'!F50-'FA Continuity 2012'!F11-I24</f>
        <v>0</v>
      </c>
    </row>
    <row r="26" spans="2:7" ht="12.75">
      <c r="B26" s="77" t="s">
        <v>470</v>
      </c>
      <c r="C26" s="78" t="s">
        <v>471</v>
      </c>
      <c r="D26" s="83">
        <f>'CCA Continuity 2011'!G26</f>
        <v>0</v>
      </c>
      <c r="E26" s="82">
        <v>0</v>
      </c>
      <c r="F26" s="82">
        <v>0</v>
      </c>
      <c r="G26" s="56">
        <f>D26-E26-F26</f>
        <v>0</v>
      </c>
    </row>
    <row r="27" spans="2:7" ht="12.75">
      <c r="B27" s="77" t="s">
        <v>470</v>
      </c>
      <c r="C27" s="78" t="s">
        <v>514</v>
      </c>
      <c r="D27" s="241">
        <v>0</v>
      </c>
      <c r="E27" s="82">
        <v>0</v>
      </c>
      <c r="F27" s="82">
        <v>0</v>
      </c>
      <c r="G27" s="56">
        <f>D27-E27-F27</f>
        <v>0</v>
      </c>
    </row>
    <row r="28" spans="2:7" ht="12.75">
      <c r="B28" s="77" t="s">
        <v>470</v>
      </c>
      <c r="C28" s="78" t="s">
        <v>472</v>
      </c>
      <c r="D28" s="241">
        <v>0</v>
      </c>
      <c r="E28" s="82">
        <v>0</v>
      </c>
      <c r="F28" s="82">
        <v>0</v>
      </c>
      <c r="G28" s="56">
        <f>D28-E28-F28</f>
        <v>0</v>
      </c>
    </row>
    <row r="29" spans="2:7" ht="12.75">
      <c r="B29" s="77"/>
      <c r="C29" s="79" t="s">
        <v>473</v>
      </c>
      <c r="D29" s="228">
        <f>SUM(D26:D28)</f>
        <v>0</v>
      </c>
      <c r="E29" s="228">
        <f>SUM(E26:E28)</f>
        <v>0</v>
      </c>
      <c r="F29" s="228">
        <f>SUM(F26:F28)</f>
        <v>0</v>
      </c>
      <c r="G29" s="228">
        <f>SUM(G26:G28)</f>
        <v>0</v>
      </c>
    </row>
    <row r="30" ht="13.5" thickBot="1"/>
    <row r="31" spans="1:9" ht="12.75">
      <c r="A31" s="616"/>
      <c r="B31" s="592"/>
      <c r="C31" s="592"/>
      <c r="D31" s="592"/>
      <c r="E31" s="592"/>
      <c r="F31" s="592"/>
      <c r="G31" s="592"/>
      <c r="H31" s="592"/>
      <c r="I31" s="617"/>
    </row>
    <row r="32" spans="1:9" ht="24" customHeight="1">
      <c r="A32" s="38"/>
      <c r="B32" s="567" t="s">
        <v>366</v>
      </c>
      <c r="C32" s="567"/>
      <c r="D32" s="567"/>
      <c r="E32" s="567"/>
      <c r="F32" s="567"/>
      <c r="G32" s="567"/>
      <c r="H32" s="567"/>
      <c r="I32" s="47"/>
    </row>
    <row r="33" spans="1:9" ht="15.75">
      <c r="A33" s="38"/>
      <c r="B33" s="612" t="s">
        <v>314</v>
      </c>
      <c r="C33" s="612"/>
      <c r="D33" s="612"/>
      <c r="E33" s="49"/>
      <c r="F33" s="49"/>
      <c r="G33" s="49"/>
      <c r="H33" s="55">
        <f>'CCA Continuity 2011'!H65</f>
        <v>0</v>
      </c>
      <c r="I33" s="47"/>
    </row>
    <row r="34" spans="1:9" ht="15.75">
      <c r="A34" s="38"/>
      <c r="B34" s="612"/>
      <c r="C34" s="612"/>
      <c r="D34" s="612"/>
      <c r="E34" s="49"/>
      <c r="F34" s="49"/>
      <c r="G34" s="49"/>
      <c r="H34" s="55"/>
      <c r="I34" s="47"/>
    </row>
    <row r="35" spans="1:9" ht="12.75">
      <c r="A35" s="38"/>
      <c r="B35" s="614" t="s">
        <v>486</v>
      </c>
      <c r="C35" s="614"/>
      <c r="D35" s="614"/>
      <c r="E35" s="48"/>
      <c r="F35" s="48"/>
      <c r="G35" s="48"/>
      <c r="I35" s="47"/>
    </row>
    <row r="36" spans="1:9" ht="12.75">
      <c r="A36" s="38"/>
      <c r="B36" s="612" t="s">
        <v>363</v>
      </c>
      <c r="C36" s="612"/>
      <c r="D36" s="612"/>
      <c r="E36" s="84">
        <v>0</v>
      </c>
      <c r="F36" s="48"/>
      <c r="G36" s="48"/>
      <c r="H36" s="48"/>
      <c r="I36" s="47"/>
    </row>
    <row r="37" spans="1:9" ht="12.75">
      <c r="A37" s="38"/>
      <c r="B37" s="612"/>
      <c r="C37" s="612"/>
      <c r="D37" s="612"/>
      <c r="E37" s="48"/>
      <c r="F37" s="48"/>
      <c r="G37" s="48"/>
      <c r="H37" s="48"/>
      <c r="I37" s="47"/>
    </row>
    <row r="38" spans="1:9" ht="12.75">
      <c r="A38" s="38"/>
      <c r="B38" s="612" t="s">
        <v>315</v>
      </c>
      <c r="C38" s="612"/>
      <c r="D38" s="612"/>
      <c r="E38" s="84">
        <v>0</v>
      </c>
      <c r="F38" s="48"/>
      <c r="G38" s="48"/>
      <c r="H38" s="48"/>
      <c r="I38" s="47"/>
    </row>
    <row r="39" spans="1:9" ht="12.75">
      <c r="A39" s="38"/>
      <c r="B39" s="612"/>
      <c r="C39" s="612"/>
      <c r="D39" s="612"/>
      <c r="E39" s="48"/>
      <c r="F39" s="48"/>
      <c r="G39" s="48"/>
      <c r="H39" s="48"/>
      <c r="I39" s="47"/>
    </row>
    <row r="40" spans="1:9" ht="12.75">
      <c r="A40" s="38"/>
      <c r="B40" s="612" t="s">
        <v>316</v>
      </c>
      <c r="C40" s="612"/>
      <c r="D40" s="612"/>
      <c r="E40" s="84">
        <f>E36+E38</f>
        <v>0</v>
      </c>
      <c r="F40" s="48" t="s">
        <v>317</v>
      </c>
      <c r="G40" s="48">
        <f>E40*0.75</f>
        <v>0</v>
      </c>
      <c r="H40" s="48"/>
      <c r="I40" s="47"/>
    </row>
    <row r="41" spans="1:9" ht="12.75">
      <c r="A41" s="38"/>
      <c r="B41" s="612"/>
      <c r="C41" s="612"/>
      <c r="D41" s="612"/>
      <c r="E41" s="48"/>
      <c r="F41" s="48"/>
      <c r="G41" s="48"/>
      <c r="H41" s="48"/>
      <c r="I41" s="47"/>
    </row>
    <row r="42" spans="1:9" ht="12.75" customHeight="1">
      <c r="A42" s="38"/>
      <c r="B42" s="615" t="s">
        <v>365</v>
      </c>
      <c r="C42" s="615"/>
      <c r="D42" s="615"/>
      <c r="H42" s="48"/>
      <c r="I42" s="47"/>
    </row>
    <row r="43" spans="1:9" ht="12.75">
      <c r="A43" s="38"/>
      <c r="B43" s="615"/>
      <c r="C43" s="615"/>
      <c r="D43" s="615"/>
      <c r="E43" s="84">
        <v>0</v>
      </c>
      <c r="F43" s="48" t="s">
        <v>318</v>
      </c>
      <c r="G43" s="48">
        <f>E43*0.5</f>
        <v>0</v>
      </c>
      <c r="H43" s="48"/>
      <c r="I43" s="47"/>
    </row>
    <row r="44" spans="1:9" ht="12.75">
      <c r="A44" s="38"/>
      <c r="B44" s="612"/>
      <c r="C44" s="612"/>
      <c r="D44" s="612"/>
      <c r="E44" s="48"/>
      <c r="F44" s="48"/>
      <c r="G44" s="57">
        <f>G40+G43</f>
        <v>0</v>
      </c>
      <c r="H44" s="85">
        <f>G44+H33</f>
        <v>0</v>
      </c>
      <c r="I44" s="47"/>
    </row>
    <row r="45" spans="1:9" ht="12.75">
      <c r="A45" s="38"/>
      <c r="B45" s="52"/>
      <c r="C45" s="52"/>
      <c r="D45" s="52"/>
      <c r="E45" s="48"/>
      <c r="F45" s="48"/>
      <c r="G45" s="48"/>
      <c r="H45" s="48"/>
      <c r="I45" s="47"/>
    </row>
    <row r="46" spans="1:9" ht="12.75">
      <c r="A46" s="38"/>
      <c r="B46" s="612" t="s">
        <v>319</v>
      </c>
      <c r="C46" s="612"/>
      <c r="D46" s="612"/>
      <c r="E46" s="84">
        <v>0</v>
      </c>
      <c r="F46" s="48"/>
      <c r="G46" s="48"/>
      <c r="H46" s="10">
        <f>E46</f>
        <v>0</v>
      </c>
      <c r="I46" s="47"/>
    </row>
    <row r="47" spans="1:9" ht="12.75">
      <c r="A47" s="38"/>
      <c r="B47" s="612"/>
      <c r="C47" s="612"/>
      <c r="D47" s="612"/>
      <c r="E47" s="48"/>
      <c r="F47" s="48"/>
      <c r="G47" s="48"/>
      <c r="H47" s="48"/>
      <c r="I47" s="47"/>
    </row>
    <row r="48" spans="1:9" ht="12.75">
      <c r="A48" s="38"/>
      <c r="B48" s="613" t="s">
        <v>316</v>
      </c>
      <c r="C48" s="613"/>
      <c r="D48" s="613" t="s">
        <v>316</v>
      </c>
      <c r="E48" s="48"/>
      <c r="F48" s="48"/>
      <c r="G48" s="48"/>
      <c r="H48" s="85">
        <f>H44+H46</f>
        <v>0</v>
      </c>
      <c r="I48" s="47"/>
    </row>
    <row r="49" spans="1:9" ht="12.75">
      <c r="A49" s="38"/>
      <c r="B49" s="612"/>
      <c r="C49" s="612"/>
      <c r="D49" s="612"/>
      <c r="E49" s="48"/>
      <c r="F49" s="48"/>
      <c r="G49" s="48"/>
      <c r="H49" s="48"/>
      <c r="I49" s="47"/>
    </row>
    <row r="50" spans="1:9" ht="12.75">
      <c r="A50" s="38"/>
      <c r="B50" s="614" t="s">
        <v>292</v>
      </c>
      <c r="C50" s="614"/>
      <c r="D50" s="614"/>
      <c r="E50" s="48"/>
      <c r="F50" s="48"/>
      <c r="G50" s="48"/>
      <c r="H50" s="48"/>
      <c r="I50" s="47"/>
    </row>
    <row r="51" spans="1:9" ht="12.75">
      <c r="A51" s="38"/>
      <c r="B51" s="612"/>
      <c r="C51" s="612"/>
      <c r="D51" s="612"/>
      <c r="E51" s="48"/>
      <c r="F51" s="48"/>
      <c r="G51" s="48"/>
      <c r="H51" s="48"/>
      <c r="I51" s="47"/>
    </row>
    <row r="52" spans="1:9" ht="12.75">
      <c r="A52" s="38"/>
      <c r="B52" s="615" t="s">
        <v>367</v>
      </c>
      <c r="C52" s="615"/>
      <c r="D52" s="615"/>
      <c r="E52" s="48"/>
      <c r="F52" s="48"/>
      <c r="G52" s="48"/>
      <c r="H52" s="48"/>
      <c r="I52" s="47"/>
    </row>
    <row r="53" spans="1:9" ht="12.75">
      <c r="A53" s="38"/>
      <c r="B53" s="615"/>
      <c r="C53" s="615"/>
      <c r="D53" s="615"/>
      <c r="E53" s="48"/>
      <c r="F53" s="48"/>
      <c r="G53" s="48"/>
      <c r="H53" s="48"/>
      <c r="I53" s="47"/>
    </row>
    <row r="54" spans="1:9" ht="12.75">
      <c r="A54" s="38"/>
      <c r="B54" s="612"/>
      <c r="C54" s="612"/>
      <c r="D54" s="612"/>
      <c r="E54" s="48"/>
      <c r="F54" s="48"/>
      <c r="G54" s="48"/>
      <c r="H54" s="48"/>
      <c r="I54" s="47"/>
    </row>
    <row r="55" spans="1:9" ht="12.75">
      <c r="A55" s="38"/>
      <c r="B55" s="612" t="s">
        <v>315</v>
      </c>
      <c r="C55" s="612"/>
      <c r="D55" s="612"/>
      <c r="E55" s="84">
        <v>0</v>
      </c>
      <c r="F55" s="48"/>
      <c r="G55" s="48"/>
      <c r="H55" s="48"/>
      <c r="I55" s="47"/>
    </row>
    <row r="56" spans="1:9" ht="12.75">
      <c r="A56" s="38"/>
      <c r="B56" s="612"/>
      <c r="C56" s="612"/>
      <c r="D56" s="612"/>
      <c r="E56" s="48"/>
      <c r="F56" s="48"/>
      <c r="G56" s="48"/>
      <c r="H56" s="48"/>
      <c r="I56" s="47"/>
    </row>
    <row r="57" spans="1:9" ht="12.75">
      <c r="A57" s="38"/>
      <c r="B57" s="613" t="s">
        <v>316</v>
      </c>
      <c r="C57" s="613"/>
      <c r="D57" s="613" t="s">
        <v>316</v>
      </c>
      <c r="E57" s="84">
        <f>E55</f>
        <v>0</v>
      </c>
      <c r="F57" s="48" t="s">
        <v>317</v>
      </c>
      <c r="G57" s="48">
        <f>E57*0.75</f>
        <v>0</v>
      </c>
      <c r="H57" s="85">
        <f>H48+G57</f>
        <v>0</v>
      </c>
      <c r="I57" s="47"/>
    </row>
    <row r="58" spans="1:9" ht="12.75">
      <c r="A58" s="38"/>
      <c r="B58" s="612"/>
      <c r="C58" s="612"/>
      <c r="D58" s="612"/>
      <c r="E58" s="48"/>
      <c r="F58" s="48"/>
      <c r="G58" s="48"/>
      <c r="H58" s="48"/>
      <c r="I58" s="47"/>
    </row>
    <row r="59" spans="1:9" ht="12.75">
      <c r="A59" s="38"/>
      <c r="B59" s="612"/>
      <c r="C59" s="612"/>
      <c r="D59" s="612"/>
      <c r="E59" s="48"/>
      <c r="F59" s="48"/>
      <c r="G59" s="48"/>
      <c r="H59" s="48"/>
      <c r="I59" s="47"/>
    </row>
    <row r="60" spans="1:9" ht="12.75">
      <c r="A60" s="38"/>
      <c r="B60" s="612"/>
      <c r="C60" s="612"/>
      <c r="D60" s="612"/>
      <c r="E60" s="48"/>
      <c r="F60" s="48"/>
      <c r="G60" s="48"/>
      <c r="H60" s="48"/>
      <c r="I60" s="47"/>
    </row>
    <row r="61" spans="1:9" ht="12.75">
      <c r="A61" s="38"/>
      <c r="B61" s="612" t="s">
        <v>320</v>
      </c>
      <c r="C61" s="612"/>
      <c r="D61" s="612"/>
      <c r="E61" s="48"/>
      <c r="F61" s="48"/>
      <c r="G61" s="48"/>
      <c r="H61" s="55">
        <f>H57</f>
        <v>0</v>
      </c>
      <c r="I61" s="47"/>
    </row>
    <row r="62" spans="1:9" ht="12.75">
      <c r="A62" s="38"/>
      <c r="B62" s="612"/>
      <c r="C62" s="612"/>
      <c r="D62" s="612"/>
      <c r="E62" s="48"/>
      <c r="F62" s="48"/>
      <c r="G62" s="48"/>
      <c r="H62" s="48"/>
      <c r="I62" s="47"/>
    </row>
    <row r="63" spans="1:9" ht="12.75">
      <c r="A63" s="38"/>
      <c r="B63" s="612" t="s">
        <v>321</v>
      </c>
      <c r="C63" s="612"/>
      <c r="D63" s="612"/>
      <c r="E63" s="86">
        <v>0.07</v>
      </c>
      <c r="F63" s="48"/>
      <c r="G63" s="48"/>
      <c r="H63" s="55">
        <f>H61*E63</f>
        <v>0</v>
      </c>
      <c r="I63" s="47"/>
    </row>
    <row r="64" spans="1:9" ht="12.75">
      <c r="A64" s="38"/>
      <c r="B64" s="507"/>
      <c r="C64" s="507"/>
      <c r="D64" s="507"/>
      <c r="E64" s="48"/>
      <c r="F64" s="55"/>
      <c r="G64" s="48"/>
      <c r="H64" s="55"/>
      <c r="I64" s="47"/>
    </row>
    <row r="65" spans="1:9" ht="13.5" thickBot="1">
      <c r="A65" s="38"/>
      <c r="B65" s="612" t="s">
        <v>362</v>
      </c>
      <c r="C65" s="612"/>
      <c r="D65" s="612"/>
      <c r="E65" s="48"/>
      <c r="F65" s="48"/>
      <c r="G65" s="48"/>
      <c r="H65" s="157">
        <f>H61-H63</f>
        <v>0</v>
      </c>
      <c r="I65" s="47"/>
    </row>
    <row r="66" spans="1:9" ht="14.25" thickBot="1" thickTop="1">
      <c r="A66" s="610"/>
      <c r="B66" s="606"/>
      <c r="C66" s="606"/>
      <c r="D66" s="606"/>
      <c r="E66" s="606"/>
      <c r="F66" s="606"/>
      <c r="G66" s="606"/>
      <c r="H66" s="606"/>
      <c r="I66" s="611"/>
    </row>
  </sheetData>
  <sheetProtection/>
  <mergeCells count="36">
    <mergeCell ref="A1:O1"/>
    <mergeCell ref="A2:O2"/>
    <mergeCell ref="B4:O4"/>
    <mergeCell ref="B36:D36"/>
    <mergeCell ref="B33:D33"/>
    <mergeCell ref="B35:D35"/>
    <mergeCell ref="A31:I31"/>
    <mergeCell ref="B32:H32"/>
    <mergeCell ref="B34:D34"/>
    <mergeCell ref="B41:D41"/>
    <mergeCell ref="B37:D37"/>
    <mergeCell ref="B38:D38"/>
    <mergeCell ref="B39:D39"/>
    <mergeCell ref="B40:D40"/>
    <mergeCell ref="B51:D51"/>
    <mergeCell ref="B46:D46"/>
    <mergeCell ref="B47:D47"/>
    <mergeCell ref="B48:D48"/>
    <mergeCell ref="A66:I66"/>
    <mergeCell ref="B65:D65"/>
    <mergeCell ref="B42:D43"/>
    <mergeCell ref="B64:D64"/>
    <mergeCell ref="B55:D55"/>
    <mergeCell ref="B56:D56"/>
    <mergeCell ref="B49:D49"/>
    <mergeCell ref="B50:D50"/>
    <mergeCell ref="B44:D44"/>
    <mergeCell ref="B61:D61"/>
    <mergeCell ref="B62:D62"/>
    <mergeCell ref="B63:D63"/>
    <mergeCell ref="B57:D57"/>
    <mergeCell ref="B58:D58"/>
    <mergeCell ref="B59:D59"/>
    <mergeCell ref="B60:D60"/>
    <mergeCell ref="B54:D54"/>
    <mergeCell ref="B52:D53"/>
  </mergeCells>
  <printOptions/>
  <pageMargins left="0.15748031496062992" right="0.5511811023622047" top="0.5905511811023623" bottom="0.1968503937007874" header="0.31496062992125984" footer="0.11811023622047245"/>
  <pageSetup fitToHeight="1" fitToWidth="1" horizontalDpi="355" verticalDpi="355" orientation="landscape" scale="57" r:id="rId3"/>
  <headerFooter alignWithMargins="0">
    <oddFooter>&amp;L&amp;A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28">
      <selection activeCell="A30" sqref="A30"/>
    </sheetView>
  </sheetViews>
  <sheetFormatPr defaultColWidth="9.140625" defaultRowHeight="12.75"/>
  <cols>
    <col min="1" max="1" width="0.85546875" style="0" customWidth="1"/>
    <col min="2" max="2" width="36.8515625" style="0" customWidth="1"/>
    <col min="3" max="3" width="15.7109375" style="0" customWidth="1"/>
    <col min="4" max="4" width="13.7109375" style="0" customWidth="1"/>
    <col min="5" max="5" width="12.140625" style="0" customWidth="1"/>
    <col min="6" max="6" width="22.57421875" style="0" customWidth="1"/>
    <col min="7" max="7" width="12.28125" style="0" customWidth="1"/>
    <col min="8" max="8" width="8.57421875" style="0" bestFit="1" customWidth="1"/>
    <col min="10" max="10" width="15.57421875" style="0" customWidth="1"/>
    <col min="11" max="11" width="12.8515625" style="0" bestFit="1" customWidth="1"/>
    <col min="12" max="12" width="9.8515625" style="0" bestFit="1" customWidth="1"/>
    <col min="13" max="13" width="0.85546875" style="0" customWidth="1"/>
  </cols>
  <sheetData>
    <row r="1" spans="1:13" ht="13.5" thickBot="1">
      <c r="A1" s="618" t="str">
        <f>'Trial Balance'!A1:F1</f>
        <v>Rideau St. Lawrence Distribution Inc.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3" ht="13.5" thickBot="1">
      <c r="A2" s="618" t="str">
        <f>'Trial Balance'!A2:F2</f>
        <v> License Number ED-2003-0003, File Number EB-2011-0274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3" ht="9" customHeight="1">
      <c r="A3" s="35"/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37"/>
    </row>
    <row r="4" spans="1:13" ht="18.75" thickBot="1">
      <c r="A4" s="38"/>
      <c r="B4" s="619" t="s">
        <v>816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47"/>
    </row>
    <row r="5" spans="1:13" ht="57" customHeight="1" thickBot="1">
      <c r="A5" s="38"/>
      <c r="B5" s="87" t="s">
        <v>174</v>
      </c>
      <c r="C5" s="87" t="s">
        <v>368</v>
      </c>
      <c r="D5" s="87" t="s">
        <v>369</v>
      </c>
      <c r="E5" s="87" t="s">
        <v>90</v>
      </c>
      <c r="F5" s="87" t="s">
        <v>322</v>
      </c>
      <c r="G5" s="87" t="s">
        <v>370</v>
      </c>
      <c r="H5" s="87" t="s">
        <v>312</v>
      </c>
      <c r="I5" s="87" t="s">
        <v>313</v>
      </c>
      <c r="J5" s="87" t="s">
        <v>91</v>
      </c>
      <c r="K5" s="87" t="s">
        <v>371</v>
      </c>
      <c r="L5" s="87" t="s">
        <v>323</v>
      </c>
      <c r="M5" s="47"/>
    </row>
    <row r="6" spans="1:13" ht="12.75">
      <c r="A6" s="38"/>
      <c r="B6" s="88" t="s">
        <v>324</v>
      </c>
      <c r="C6" s="98"/>
      <c r="D6" s="98"/>
      <c r="E6" s="223">
        <f>C6-D6</f>
        <v>0</v>
      </c>
      <c r="F6" s="98"/>
      <c r="G6" s="223">
        <f>SUM(E6:F6)</f>
        <v>0</v>
      </c>
      <c r="H6" s="98"/>
      <c r="I6" s="98"/>
      <c r="J6" s="223">
        <f>G6+H6-I6</f>
        <v>0</v>
      </c>
      <c r="K6" s="223">
        <f>+J6-G6</f>
        <v>0</v>
      </c>
      <c r="L6" s="98"/>
      <c r="M6" s="47"/>
    </row>
    <row r="7" spans="1:13" ht="15">
      <c r="A7" s="38"/>
      <c r="B7" s="620" t="s">
        <v>325</v>
      </c>
      <c r="C7" s="621"/>
      <c r="D7" s="621"/>
      <c r="E7" s="621"/>
      <c r="F7" s="621"/>
      <c r="G7" s="621"/>
      <c r="H7" s="621"/>
      <c r="I7" s="621"/>
      <c r="J7" s="621"/>
      <c r="K7" s="621"/>
      <c r="L7" s="622"/>
      <c r="M7" s="47"/>
    </row>
    <row r="8" spans="1:13" ht="12.75">
      <c r="A8" s="38"/>
      <c r="B8" s="89" t="s">
        <v>326</v>
      </c>
      <c r="C8" s="98"/>
      <c r="D8" s="98"/>
      <c r="E8" s="223">
        <f>C8-D8</f>
        <v>0</v>
      </c>
      <c r="F8" s="99"/>
      <c r="G8" s="224">
        <f>SUM(E8:F8)</f>
        <v>0</v>
      </c>
      <c r="H8" s="99"/>
      <c r="I8" s="99"/>
      <c r="J8" s="223">
        <f>G8+H8-I8</f>
        <v>0</v>
      </c>
      <c r="K8" s="223">
        <f>+J8-G8</f>
        <v>0</v>
      </c>
      <c r="L8" s="98"/>
      <c r="M8" s="47"/>
    </row>
    <row r="9" spans="1:13" ht="24">
      <c r="A9" s="38"/>
      <c r="B9" s="88" t="s">
        <v>327</v>
      </c>
      <c r="C9" s="98"/>
      <c r="D9" s="98"/>
      <c r="E9" s="223">
        <f>C9-D9</f>
        <v>0</v>
      </c>
      <c r="F9" s="98"/>
      <c r="G9" s="223">
        <f>SUM(E9:F9)</f>
        <v>0</v>
      </c>
      <c r="H9" s="98"/>
      <c r="I9" s="98"/>
      <c r="J9" s="223">
        <f>G9+H9-I9</f>
        <v>0</v>
      </c>
      <c r="K9" s="223">
        <f>+J9-G9</f>
        <v>0</v>
      </c>
      <c r="L9" s="98"/>
      <c r="M9" s="47"/>
    </row>
    <row r="10" spans="1:13" ht="12.75">
      <c r="A10" s="38"/>
      <c r="B10" s="88" t="s">
        <v>328</v>
      </c>
      <c r="C10" s="98"/>
      <c r="D10" s="98"/>
      <c r="E10" s="223">
        <f>C10-D10</f>
        <v>0</v>
      </c>
      <c r="F10" s="98"/>
      <c r="G10" s="223">
        <f>SUM(E10:F10)</f>
        <v>0</v>
      </c>
      <c r="H10" s="98"/>
      <c r="I10" s="98"/>
      <c r="J10" s="223">
        <f>G10+H10-I10</f>
        <v>0</v>
      </c>
      <c r="K10" s="223">
        <f>+J10-G10</f>
        <v>0</v>
      </c>
      <c r="L10" s="98"/>
      <c r="M10" s="47"/>
    </row>
    <row r="11" spans="1:13" ht="12.75">
      <c r="A11" s="38"/>
      <c r="B11" s="88" t="s">
        <v>329</v>
      </c>
      <c r="C11" s="98"/>
      <c r="D11" s="98"/>
      <c r="E11" s="223">
        <f>C11-D11</f>
        <v>0</v>
      </c>
      <c r="F11" s="98"/>
      <c r="G11" s="223">
        <f>SUM(E11:F11)</f>
        <v>0</v>
      </c>
      <c r="H11" s="98"/>
      <c r="I11" s="98"/>
      <c r="J11" s="223">
        <f>G11+H11-I11</f>
        <v>0</v>
      </c>
      <c r="K11" s="223">
        <f>+J11-G11</f>
        <v>0</v>
      </c>
      <c r="L11" s="98"/>
      <c r="M11" s="47"/>
    </row>
    <row r="12" spans="1:13" ht="12.75">
      <c r="A12" s="38"/>
      <c r="B12" s="88" t="s">
        <v>330</v>
      </c>
      <c r="C12" s="225"/>
      <c r="D12" s="98"/>
      <c r="E12" s="223">
        <f>C12-D12</f>
        <v>0</v>
      </c>
      <c r="F12" s="98"/>
      <c r="G12" s="223">
        <f>SUM(E12:F12)</f>
        <v>0</v>
      </c>
      <c r="H12" s="98"/>
      <c r="I12" s="98"/>
      <c r="J12" s="223">
        <f>G12+H12-I12</f>
        <v>0</v>
      </c>
      <c r="K12" s="223">
        <f>+J12-G12</f>
        <v>0</v>
      </c>
      <c r="L12" s="98"/>
      <c r="M12" s="47"/>
    </row>
    <row r="13" spans="1:13" ht="18.75">
      <c r="A13" s="38"/>
      <c r="B13" s="97" t="s">
        <v>150</v>
      </c>
      <c r="C13" s="226">
        <f>SUM(C8:C12)</f>
        <v>0</v>
      </c>
      <c r="D13" s="226">
        <f aca="true" t="shared" si="0" ref="D13:L13">SUM(D8:D12)</f>
        <v>0</v>
      </c>
      <c r="E13" s="226">
        <f t="shared" si="0"/>
        <v>0</v>
      </c>
      <c r="F13" s="226">
        <f t="shared" si="0"/>
        <v>0</v>
      </c>
      <c r="G13" s="226">
        <f t="shared" si="0"/>
        <v>0</v>
      </c>
      <c r="H13" s="226">
        <f t="shared" si="0"/>
        <v>0</v>
      </c>
      <c r="I13" s="226">
        <f t="shared" si="0"/>
        <v>0</v>
      </c>
      <c r="J13" s="226">
        <f t="shared" si="0"/>
        <v>0</v>
      </c>
      <c r="K13" s="226">
        <f t="shared" si="0"/>
        <v>0</v>
      </c>
      <c r="L13" s="226">
        <f t="shared" si="0"/>
        <v>0</v>
      </c>
      <c r="M13" s="47"/>
    </row>
    <row r="14" spans="1:13" ht="12.75">
      <c r="A14" s="38"/>
      <c r="B14" s="91"/>
      <c r="C14" s="92"/>
      <c r="D14" s="92"/>
      <c r="E14" s="92"/>
      <c r="F14" s="93"/>
      <c r="G14" s="93"/>
      <c r="H14" s="93"/>
      <c r="I14" s="94"/>
      <c r="J14" s="95"/>
      <c r="K14" s="95"/>
      <c r="L14" s="95"/>
      <c r="M14" s="47"/>
    </row>
    <row r="15" spans="1:13" ht="15">
      <c r="A15" s="38"/>
      <c r="B15" s="620" t="s">
        <v>372</v>
      </c>
      <c r="C15" s="621"/>
      <c r="D15" s="621"/>
      <c r="E15" s="621"/>
      <c r="F15" s="621"/>
      <c r="G15" s="621"/>
      <c r="H15" s="621"/>
      <c r="I15" s="621"/>
      <c r="J15" s="621"/>
      <c r="K15" s="621"/>
      <c r="L15" s="622"/>
      <c r="M15" s="47"/>
    </row>
    <row r="16" spans="1:13" ht="24">
      <c r="A16" s="38"/>
      <c r="B16" s="88" t="s">
        <v>331</v>
      </c>
      <c r="C16" s="98"/>
      <c r="D16" s="98"/>
      <c r="E16" s="223">
        <f aca="true" t="shared" si="1" ref="E16:E31">C16-D16</f>
        <v>0</v>
      </c>
      <c r="F16" s="98"/>
      <c r="G16" s="223">
        <f aca="true" t="shared" si="2" ref="G16:G31">SUM(E16:F16)</f>
        <v>0</v>
      </c>
      <c r="H16" s="98"/>
      <c r="I16" s="98"/>
      <c r="J16" s="223">
        <f aca="true" t="shared" si="3" ref="J16:J31">G16+H16-I16</f>
        <v>0</v>
      </c>
      <c r="K16" s="223">
        <f aca="true" t="shared" si="4" ref="K16:K31">+J16-G16</f>
        <v>0</v>
      </c>
      <c r="L16" s="98"/>
      <c r="M16" s="47"/>
    </row>
    <row r="17" spans="1:13" ht="12.75">
      <c r="A17" s="38"/>
      <c r="B17" s="88" t="s">
        <v>332</v>
      </c>
      <c r="C17" s="98"/>
      <c r="D17" s="98"/>
      <c r="E17" s="223">
        <f t="shared" si="1"/>
        <v>0</v>
      </c>
      <c r="F17" s="98"/>
      <c r="G17" s="223">
        <f t="shared" si="2"/>
        <v>0</v>
      </c>
      <c r="H17" s="98"/>
      <c r="I17" s="98"/>
      <c r="J17" s="223">
        <f t="shared" si="3"/>
        <v>0</v>
      </c>
      <c r="K17" s="223">
        <f t="shared" si="4"/>
        <v>0</v>
      </c>
      <c r="L17" s="98"/>
      <c r="M17" s="47"/>
    </row>
    <row r="18" spans="1:13" ht="12.75">
      <c r="A18" s="38"/>
      <c r="B18" s="88" t="s">
        <v>333</v>
      </c>
      <c r="C18" s="98"/>
      <c r="D18" s="98"/>
      <c r="E18" s="223">
        <f t="shared" si="1"/>
        <v>0</v>
      </c>
      <c r="F18" s="98"/>
      <c r="G18" s="223">
        <f t="shared" si="2"/>
        <v>0</v>
      </c>
      <c r="H18" s="98"/>
      <c r="I18" s="98"/>
      <c r="J18" s="223">
        <f t="shared" si="3"/>
        <v>0</v>
      </c>
      <c r="K18" s="223">
        <f t="shared" si="4"/>
        <v>0</v>
      </c>
      <c r="L18" s="98"/>
      <c r="M18" s="47"/>
    </row>
    <row r="19" spans="1:13" ht="12.75">
      <c r="A19" s="38"/>
      <c r="B19" s="96" t="s">
        <v>334</v>
      </c>
      <c r="C19" s="98"/>
      <c r="D19" s="98"/>
      <c r="E19" s="223">
        <f t="shared" si="1"/>
        <v>0</v>
      </c>
      <c r="F19" s="98"/>
      <c r="G19" s="223">
        <f t="shared" si="2"/>
        <v>0</v>
      </c>
      <c r="H19" s="98"/>
      <c r="I19" s="98"/>
      <c r="J19" s="223">
        <f t="shared" si="3"/>
        <v>0</v>
      </c>
      <c r="K19" s="223">
        <f t="shared" si="4"/>
        <v>0</v>
      </c>
      <c r="L19" s="98"/>
      <c r="M19" s="47"/>
    </row>
    <row r="20" spans="1:13" ht="12.75">
      <c r="A20" s="38"/>
      <c r="B20" s="96" t="s">
        <v>335</v>
      </c>
      <c r="C20" s="98"/>
      <c r="D20" s="98"/>
      <c r="E20" s="223">
        <f t="shared" si="1"/>
        <v>0</v>
      </c>
      <c r="F20" s="98"/>
      <c r="G20" s="223">
        <f t="shared" si="2"/>
        <v>0</v>
      </c>
      <c r="H20" s="98"/>
      <c r="I20" s="98"/>
      <c r="J20" s="223">
        <f t="shared" si="3"/>
        <v>0</v>
      </c>
      <c r="K20" s="223">
        <f t="shared" si="4"/>
        <v>0</v>
      </c>
      <c r="L20" s="98"/>
      <c r="M20" s="47"/>
    </row>
    <row r="21" spans="1:13" ht="12.75">
      <c r="A21" s="38"/>
      <c r="B21" s="96" t="s">
        <v>373</v>
      </c>
      <c r="C21" s="98"/>
      <c r="D21" s="98"/>
      <c r="E21" s="223">
        <f t="shared" si="1"/>
        <v>0</v>
      </c>
      <c r="F21" s="98"/>
      <c r="G21" s="223">
        <f t="shared" si="2"/>
        <v>0</v>
      </c>
      <c r="H21" s="98"/>
      <c r="I21" s="98"/>
      <c r="J21" s="223">
        <f t="shared" si="3"/>
        <v>0</v>
      </c>
      <c r="K21" s="223">
        <f t="shared" si="4"/>
        <v>0</v>
      </c>
      <c r="L21" s="98"/>
      <c r="M21" s="47"/>
    </row>
    <row r="22" spans="1:13" ht="12.75">
      <c r="A22" s="38"/>
      <c r="B22" s="96" t="s">
        <v>336</v>
      </c>
      <c r="C22" s="98"/>
      <c r="D22" s="98"/>
      <c r="E22" s="223">
        <f t="shared" si="1"/>
        <v>0</v>
      </c>
      <c r="F22" s="98"/>
      <c r="G22" s="223">
        <f t="shared" si="2"/>
        <v>0</v>
      </c>
      <c r="H22" s="98"/>
      <c r="I22" s="98"/>
      <c r="J22" s="223">
        <f t="shared" si="3"/>
        <v>0</v>
      </c>
      <c r="K22" s="223">
        <f t="shared" si="4"/>
        <v>0</v>
      </c>
      <c r="L22" s="98"/>
      <c r="M22" s="47"/>
    </row>
    <row r="23" spans="1:13" ht="12.75">
      <c r="A23" s="38"/>
      <c r="B23" s="96" t="s">
        <v>337</v>
      </c>
      <c r="C23" s="98"/>
      <c r="D23" s="98"/>
      <c r="E23" s="223">
        <f t="shared" si="1"/>
        <v>0</v>
      </c>
      <c r="F23" s="98"/>
      <c r="G23" s="223">
        <f t="shared" si="2"/>
        <v>0</v>
      </c>
      <c r="H23" s="98"/>
      <c r="I23" s="98"/>
      <c r="J23" s="223">
        <f t="shared" si="3"/>
        <v>0</v>
      </c>
      <c r="K23" s="223">
        <f t="shared" si="4"/>
        <v>0</v>
      </c>
      <c r="L23" s="98"/>
      <c r="M23" s="47"/>
    </row>
    <row r="24" spans="1:13" ht="12.75">
      <c r="A24" s="38"/>
      <c r="B24" s="88" t="s">
        <v>338</v>
      </c>
      <c r="C24" s="98"/>
      <c r="D24" s="98"/>
      <c r="E24" s="223">
        <f t="shared" si="1"/>
        <v>0</v>
      </c>
      <c r="F24" s="98"/>
      <c r="G24" s="223">
        <f t="shared" si="2"/>
        <v>0</v>
      </c>
      <c r="H24" s="98"/>
      <c r="I24" s="98"/>
      <c r="J24" s="223">
        <f t="shared" si="3"/>
        <v>0</v>
      </c>
      <c r="K24" s="223">
        <f t="shared" si="4"/>
        <v>0</v>
      </c>
      <c r="L24" s="98"/>
      <c r="M24" s="47"/>
    </row>
    <row r="25" spans="1:13" ht="12.75">
      <c r="A25" s="38"/>
      <c r="B25" s="88" t="s">
        <v>339</v>
      </c>
      <c r="C25" s="98"/>
      <c r="D25" s="98"/>
      <c r="E25" s="223">
        <f t="shared" si="1"/>
        <v>0</v>
      </c>
      <c r="F25" s="98"/>
      <c r="G25" s="223">
        <f t="shared" si="2"/>
        <v>0</v>
      </c>
      <c r="H25" s="98"/>
      <c r="I25" s="98"/>
      <c r="J25" s="223">
        <f t="shared" si="3"/>
        <v>0</v>
      </c>
      <c r="K25" s="223">
        <f t="shared" si="4"/>
        <v>0</v>
      </c>
      <c r="L25" s="98"/>
      <c r="M25" s="47"/>
    </row>
    <row r="26" spans="1:13" ht="12.75">
      <c r="A26" s="38"/>
      <c r="B26" s="88" t="s">
        <v>340</v>
      </c>
      <c r="C26" s="98"/>
      <c r="D26" s="98"/>
      <c r="E26" s="223">
        <f t="shared" si="1"/>
        <v>0</v>
      </c>
      <c r="F26" s="98"/>
      <c r="G26" s="223">
        <f t="shared" si="2"/>
        <v>0</v>
      </c>
      <c r="H26" s="98"/>
      <c r="I26" s="98"/>
      <c r="J26" s="223">
        <f t="shared" si="3"/>
        <v>0</v>
      </c>
      <c r="K26" s="223">
        <f t="shared" si="4"/>
        <v>0</v>
      </c>
      <c r="L26" s="98"/>
      <c r="M26" s="47"/>
    </row>
    <row r="27" spans="1:13" ht="12.75">
      <c r="A27" s="38"/>
      <c r="B27" s="88" t="s">
        <v>341</v>
      </c>
      <c r="C27" s="98"/>
      <c r="D27" s="98"/>
      <c r="E27" s="223">
        <f t="shared" si="1"/>
        <v>0</v>
      </c>
      <c r="F27" s="98"/>
      <c r="G27" s="223">
        <f t="shared" si="2"/>
        <v>0</v>
      </c>
      <c r="H27" s="98"/>
      <c r="I27" s="98"/>
      <c r="J27" s="223">
        <f t="shared" si="3"/>
        <v>0</v>
      </c>
      <c r="K27" s="223">
        <f t="shared" si="4"/>
        <v>0</v>
      </c>
      <c r="L27" s="98"/>
      <c r="M27" s="47"/>
    </row>
    <row r="28" spans="1:13" ht="12.75">
      <c r="A28" s="38"/>
      <c r="B28" s="88" t="s">
        <v>342</v>
      </c>
      <c r="C28" s="98"/>
      <c r="D28" s="98"/>
      <c r="E28" s="223">
        <f t="shared" si="1"/>
        <v>0</v>
      </c>
      <c r="F28" s="98"/>
      <c r="G28" s="223">
        <f t="shared" si="2"/>
        <v>0</v>
      </c>
      <c r="H28" s="98"/>
      <c r="I28" s="98"/>
      <c r="J28" s="223">
        <f t="shared" si="3"/>
        <v>0</v>
      </c>
      <c r="K28" s="223">
        <f t="shared" si="4"/>
        <v>0</v>
      </c>
      <c r="L28" s="98"/>
      <c r="M28" s="47"/>
    </row>
    <row r="29" spans="1:13" ht="24">
      <c r="A29" s="38"/>
      <c r="B29" s="88" t="s">
        <v>343</v>
      </c>
      <c r="C29" s="98"/>
      <c r="D29" s="98"/>
      <c r="E29" s="223">
        <f t="shared" si="1"/>
        <v>0</v>
      </c>
      <c r="F29" s="98"/>
      <c r="G29" s="223">
        <f t="shared" si="2"/>
        <v>0</v>
      </c>
      <c r="H29" s="98"/>
      <c r="I29" s="98"/>
      <c r="J29" s="223">
        <f t="shared" si="3"/>
        <v>0</v>
      </c>
      <c r="K29" s="223">
        <f t="shared" si="4"/>
        <v>0</v>
      </c>
      <c r="L29" s="98"/>
      <c r="M29" s="47"/>
    </row>
    <row r="30" spans="1:13" ht="24">
      <c r="A30" s="38"/>
      <c r="B30" s="88" t="s">
        <v>344</v>
      </c>
      <c r="C30" s="98"/>
      <c r="D30" s="98"/>
      <c r="E30" s="223">
        <f t="shared" si="1"/>
        <v>0</v>
      </c>
      <c r="F30" s="98"/>
      <c r="G30" s="223">
        <f t="shared" si="2"/>
        <v>0</v>
      </c>
      <c r="H30" s="98"/>
      <c r="I30" s="98"/>
      <c r="J30" s="223">
        <f t="shared" si="3"/>
        <v>0</v>
      </c>
      <c r="K30" s="223">
        <f t="shared" si="4"/>
        <v>0</v>
      </c>
      <c r="L30" s="98"/>
      <c r="M30" s="47"/>
    </row>
    <row r="31" spans="1:13" ht="13.5" thickBot="1">
      <c r="A31" s="38"/>
      <c r="B31" s="88" t="s">
        <v>73</v>
      </c>
      <c r="C31" s="225"/>
      <c r="D31" s="98"/>
      <c r="E31" s="223">
        <f t="shared" si="1"/>
        <v>0</v>
      </c>
      <c r="F31" s="98"/>
      <c r="G31" s="223">
        <f t="shared" si="2"/>
        <v>0</v>
      </c>
      <c r="H31" s="98"/>
      <c r="I31" s="98"/>
      <c r="J31" s="223">
        <f t="shared" si="3"/>
        <v>0</v>
      </c>
      <c r="K31" s="223">
        <f t="shared" si="4"/>
        <v>0</v>
      </c>
      <c r="L31" s="98"/>
      <c r="M31" s="47"/>
    </row>
    <row r="32" spans="1:13" ht="19.5" thickBot="1">
      <c r="A32" s="38"/>
      <c r="B32" s="90" t="s">
        <v>374</v>
      </c>
      <c r="C32" s="227">
        <f>SUM(C16:C31)</f>
        <v>0</v>
      </c>
      <c r="D32" s="227">
        <f aca="true" t="shared" si="5" ref="D32:L32">SUM(D16:D31)</f>
        <v>0</v>
      </c>
      <c r="E32" s="227">
        <f t="shared" si="5"/>
        <v>0</v>
      </c>
      <c r="F32" s="227">
        <f t="shared" si="5"/>
        <v>0</v>
      </c>
      <c r="G32" s="227">
        <f t="shared" si="5"/>
        <v>0</v>
      </c>
      <c r="H32" s="227">
        <f t="shared" si="5"/>
        <v>0</v>
      </c>
      <c r="I32" s="227">
        <f t="shared" si="5"/>
        <v>0</v>
      </c>
      <c r="J32" s="227">
        <f t="shared" si="5"/>
        <v>0</v>
      </c>
      <c r="K32" s="227">
        <f t="shared" si="5"/>
        <v>0</v>
      </c>
      <c r="L32" s="227">
        <f t="shared" si="5"/>
        <v>0</v>
      </c>
      <c r="M32" s="47"/>
    </row>
    <row r="33" spans="1:13" ht="5.25" customHeight="1" thickBot="1">
      <c r="A33" s="41"/>
      <c r="B33" s="626"/>
      <c r="C33" s="626"/>
      <c r="D33" s="626"/>
      <c r="E33" s="626"/>
      <c r="F33" s="626"/>
      <c r="G33" s="626"/>
      <c r="H33" s="626"/>
      <c r="I33" s="626"/>
      <c r="J33" s="626"/>
      <c r="K33" s="626"/>
      <c r="L33" s="626"/>
      <c r="M33" s="43"/>
    </row>
    <row r="34" spans="1:13" ht="6" customHeight="1" thickBot="1">
      <c r="A34" s="592"/>
      <c r="B34" s="592"/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</row>
    <row r="35" spans="1:13" ht="9" customHeight="1">
      <c r="A35" s="35"/>
      <c r="B35" s="36"/>
      <c r="C35" s="36"/>
      <c r="D35" s="36"/>
      <c r="E35" s="36"/>
      <c r="F35" s="36"/>
      <c r="G35" s="36"/>
      <c r="H35" s="36"/>
      <c r="I35" s="37"/>
      <c r="M35" s="48"/>
    </row>
    <row r="36" spans="1:13" ht="18.75" thickBot="1">
      <c r="A36" s="38"/>
      <c r="B36" s="624" t="s">
        <v>835</v>
      </c>
      <c r="C36" s="624"/>
      <c r="D36" s="624"/>
      <c r="E36" s="624"/>
      <c r="F36" s="624"/>
      <c r="G36" s="624"/>
      <c r="H36" s="624"/>
      <c r="I36" s="625"/>
      <c r="M36" s="48"/>
    </row>
    <row r="37" spans="1:13" ht="48.75" thickBot="1">
      <c r="A37" s="38"/>
      <c r="B37" s="87" t="s">
        <v>174</v>
      </c>
      <c r="C37" s="87" t="s">
        <v>370</v>
      </c>
      <c r="D37" s="87" t="s">
        <v>312</v>
      </c>
      <c r="E37" s="87" t="s">
        <v>313</v>
      </c>
      <c r="F37" s="87" t="s">
        <v>92</v>
      </c>
      <c r="G37" s="87" t="s">
        <v>371</v>
      </c>
      <c r="H37" s="87" t="s">
        <v>323</v>
      </c>
      <c r="I37" s="47"/>
      <c r="M37" s="48"/>
    </row>
    <row r="38" spans="1:13" ht="12.75">
      <c r="A38" s="38"/>
      <c r="B38" s="88" t="s">
        <v>324</v>
      </c>
      <c r="C38" s="223">
        <f>J6</f>
        <v>0</v>
      </c>
      <c r="D38" s="98"/>
      <c r="E38" s="98"/>
      <c r="F38" s="223">
        <f>C38+D38-E38</f>
        <v>0</v>
      </c>
      <c r="G38" s="223">
        <f>+F38-C38</f>
        <v>0</v>
      </c>
      <c r="H38" s="98"/>
      <c r="I38" s="47"/>
      <c r="M38" s="48"/>
    </row>
    <row r="39" spans="1:13" ht="15">
      <c r="A39" s="38"/>
      <c r="B39" s="623" t="s">
        <v>325</v>
      </c>
      <c r="C39" s="623"/>
      <c r="D39" s="623"/>
      <c r="E39" s="623"/>
      <c r="F39" s="623"/>
      <c r="G39" s="623"/>
      <c r="H39" s="623"/>
      <c r="I39" s="47"/>
      <c r="M39" s="48"/>
    </row>
    <row r="40" spans="1:9" ht="12.75">
      <c r="A40" s="38"/>
      <c r="B40" s="89" t="s">
        <v>326</v>
      </c>
      <c r="C40" s="223">
        <f>J8</f>
        <v>0</v>
      </c>
      <c r="D40" s="99"/>
      <c r="E40" s="99"/>
      <c r="F40" s="223">
        <f>C40+D40-E40</f>
        <v>0</v>
      </c>
      <c r="G40" s="223">
        <f>+F40-C40</f>
        <v>0</v>
      </c>
      <c r="H40" s="98"/>
      <c r="I40" s="47"/>
    </row>
    <row r="41" spans="1:9" ht="24">
      <c r="A41" s="38"/>
      <c r="B41" s="88" t="s">
        <v>327</v>
      </c>
      <c r="C41" s="223">
        <f>J9</f>
        <v>0</v>
      </c>
      <c r="D41" s="98"/>
      <c r="E41" s="98"/>
      <c r="F41" s="223">
        <f>C41+D41-E41</f>
        <v>0</v>
      </c>
      <c r="G41" s="223">
        <f>+F41-C41</f>
        <v>0</v>
      </c>
      <c r="H41" s="98"/>
      <c r="I41" s="47"/>
    </row>
    <row r="42" spans="1:9" ht="12.75">
      <c r="A42" s="38"/>
      <c r="B42" s="88" t="s">
        <v>328</v>
      </c>
      <c r="C42" s="223">
        <f>J10</f>
        <v>0</v>
      </c>
      <c r="D42" s="98"/>
      <c r="E42" s="98"/>
      <c r="F42" s="223">
        <f>C42+D42-E42</f>
        <v>0</v>
      </c>
      <c r="G42" s="223">
        <f>+F42-C42</f>
        <v>0</v>
      </c>
      <c r="H42" s="98"/>
      <c r="I42" s="47"/>
    </row>
    <row r="43" spans="1:9" ht="12.75">
      <c r="A43" s="38"/>
      <c r="B43" s="88" t="s">
        <v>329</v>
      </c>
      <c r="C43" s="223">
        <f>J11</f>
        <v>0</v>
      </c>
      <c r="D43" s="98"/>
      <c r="E43" s="98"/>
      <c r="F43" s="223">
        <f>C43+D43-E43</f>
        <v>0</v>
      </c>
      <c r="G43" s="223">
        <f>+F43-C43</f>
        <v>0</v>
      </c>
      <c r="H43" s="98"/>
      <c r="I43" s="47"/>
    </row>
    <row r="44" spans="1:9" ht="12.75">
      <c r="A44" s="38"/>
      <c r="B44" s="88" t="s">
        <v>330</v>
      </c>
      <c r="C44" s="223">
        <f>J12</f>
        <v>0</v>
      </c>
      <c r="D44" s="98"/>
      <c r="E44" s="98"/>
      <c r="F44" s="223">
        <f>C44+D44-E44</f>
        <v>0</v>
      </c>
      <c r="G44" s="223">
        <f>+F44-C44</f>
        <v>0</v>
      </c>
      <c r="H44" s="98"/>
      <c r="I44" s="47"/>
    </row>
    <row r="45" spans="1:9" ht="18.75">
      <c r="A45" s="38"/>
      <c r="B45" s="97" t="s">
        <v>150</v>
      </c>
      <c r="C45" s="226">
        <f aca="true" t="shared" si="6" ref="C45:H45">SUM(C40:C44)</f>
        <v>0</v>
      </c>
      <c r="D45" s="226">
        <f t="shared" si="6"/>
        <v>0</v>
      </c>
      <c r="E45" s="226">
        <f t="shared" si="6"/>
        <v>0</v>
      </c>
      <c r="F45" s="226">
        <f t="shared" si="6"/>
        <v>0</v>
      </c>
      <c r="G45" s="226">
        <f t="shared" si="6"/>
        <v>0</v>
      </c>
      <c r="H45" s="226">
        <f t="shared" si="6"/>
        <v>0</v>
      </c>
      <c r="I45" s="47"/>
    </row>
    <row r="46" spans="1:9" ht="12.75">
      <c r="A46" s="38"/>
      <c r="B46" s="91"/>
      <c r="C46" s="93"/>
      <c r="D46" s="93"/>
      <c r="E46" s="94"/>
      <c r="F46" s="95"/>
      <c r="G46" s="95"/>
      <c r="H46" s="95"/>
      <c r="I46" s="47"/>
    </row>
    <row r="47" spans="1:13" ht="15">
      <c r="A47" s="38"/>
      <c r="B47" s="623" t="s">
        <v>372</v>
      </c>
      <c r="C47" s="623"/>
      <c r="D47" s="623"/>
      <c r="E47" s="623"/>
      <c r="F47" s="623"/>
      <c r="G47" s="623"/>
      <c r="H47" s="623"/>
      <c r="I47" s="47"/>
      <c r="M47" s="48"/>
    </row>
    <row r="48" spans="1:9" ht="24">
      <c r="A48" s="38"/>
      <c r="B48" s="88" t="s">
        <v>331</v>
      </c>
      <c r="C48" s="223">
        <f>J16</f>
        <v>0</v>
      </c>
      <c r="D48" s="98"/>
      <c r="E48" s="98"/>
      <c r="F48" s="223">
        <f aca="true" t="shared" si="7" ref="F48:F63">C48+D48-E48</f>
        <v>0</v>
      </c>
      <c r="G48" s="223">
        <f aca="true" t="shared" si="8" ref="G48:G63">+F48-C48</f>
        <v>0</v>
      </c>
      <c r="H48" s="98"/>
      <c r="I48" s="47"/>
    </row>
    <row r="49" spans="1:9" ht="12.75">
      <c r="A49" s="38"/>
      <c r="B49" s="88" t="s">
        <v>332</v>
      </c>
      <c r="C49" s="223">
        <f aca="true" t="shared" si="9" ref="C49:C62">J17</f>
        <v>0</v>
      </c>
      <c r="D49" s="98"/>
      <c r="E49" s="98"/>
      <c r="F49" s="223">
        <f t="shared" si="7"/>
        <v>0</v>
      </c>
      <c r="G49" s="223">
        <f t="shared" si="8"/>
        <v>0</v>
      </c>
      <c r="H49" s="98"/>
      <c r="I49" s="47"/>
    </row>
    <row r="50" spans="1:9" ht="12.75">
      <c r="A50" s="38"/>
      <c r="B50" s="88" t="s">
        <v>333</v>
      </c>
      <c r="C50" s="223">
        <f t="shared" si="9"/>
        <v>0</v>
      </c>
      <c r="D50" s="98"/>
      <c r="E50" s="98"/>
      <c r="F50" s="223">
        <f t="shared" si="7"/>
        <v>0</v>
      </c>
      <c r="G50" s="223">
        <f t="shared" si="8"/>
        <v>0</v>
      </c>
      <c r="H50" s="98"/>
      <c r="I50" s="47"/>
    </row>
    <row r="51" spans="1:9" ht="12.75">
      <c r="A51" s="38"/>
      <c r="B51" s="96" t="s">
        <v>334</v>
      </c>
      <c r="C51" s="223">
        <f t="shared" si="9"/>
        <v>0</v>
      </c>
      <c r="D51" s="98"/>
      <c r="E51" s="98"/>
      <c r="F51" s="223">
        <f t="shared" si="7"/>
        <v>0</v>
      </c>
      <c r="G51" s="223">
        <f t="shared" si="8"/>
        <v>0</v>
      </c>
      <c r="H51" s="98"/>
      <c r="I51" s="47"/>
    </row>
    <row r="52" spans="1:9" ht="12.75">
      <c r="A52" s="38"/>
      <c r="B52" s="96" t="s">
        <v>335</v>
      </c>
      <c r="C52" s="223">
        <f t="shared" si="9"/>
        <v>0</v>
      </c>
      <c r="D52" s="98"/>
      <c r="E52" s="98"/>
      <c r="F52" s="223">
        <f t="shared" si="7"/>
        <v>0</v>
      </c>
      <c r="G52" s="223">
        <f t="shared" si="8"/>
        <v>0</v>
      </c>
      <c r="H52" s="98"/>
      <c r="I52" s="47"/>
    </row>
    <row r="53" spans="1:9" ht="12.75">
      <c r="A53" s="38"/>
      <c r="B53" s="96" t="s">
        <v>373</v>
      </c>
      <c r="C53" s="223">
        <f t="shared" si="9"/>
        <v>0</v>
      </c>
      <c r="D53" s="98"/>
      <c r="E53" s="98"/>
      <c r="F53" s="223">
        <f t="shared" si="7"/>
        <v>0</v>
      </c>
      <c r="G53" s="223">
        <f t="shared" si="8"/>
        <v>0</v>
      </c>
      <c r="H53" s="98"/>
      <c r="I53" s="47"/>
    </row>
    <row r="54" spans="1:9" ht="12.75">
      <c r="A54" s="38"/>
      <c r="B54" s="96" t="s">
        <v>336</v>
      </c>
      <c r="C54" s="223">
        <f t="shared" si="9"/>
        <v>0</v>
      </c>
      <c r="D54" s="98"/>
      <c r="E54" s="98"/>
      <c r="F54" s="223">
        <f t="shared" si="7"/>
        <v>0</v>
      </c>
      <c r="G54" s="223">
        <f t="shared" si="8"/>
        <v>0</v>
      </c>
      <c r="H54" s="98"/>
      <c r="I54" s="47"/>
    </row>
    <row r="55" spans="1:9" ht="12.75">
      <c r="A55" s="38"/>
      <c r="B55" s="96" t="s">
        <v>337</v>
      </c>
      <c r="C55" s="223">
        <f>-'Trial Balance'!J162</f>
        <v>0</v>
      </c>
      <c r="D55" s="98"/>
      <c r="E55" s="98"/>
      <c r="F55" s="223">
        <f t="shared" si="7"/>
        <v>0</v>
      </c>
      <c r="G55" s="223">
        <f t="shared" si="8"/>
        <v>0</v>
      </c>
      <c r="H55" s="98"/>
      <c r="I55" s="47"/>
    </row>
    <row r="56" spans="1:9" ht="12.75">
      <c r="A56" s="38"/>
      <c r="B56" s="88" t="s">
        <v>338</v>
      </c>
      <c r="C56" s="223">
        <f t="shared" si="9"/>
        <v>0</v>
      </c>
      <c r="D56" s="98"/>
      <c r="E56" s="98"/>
      <c r="F56" s="223">
        <f t="shared" si="7"/>
        <v>0</v>
      </c>
      <c r="G56" s="223">
        <f t="shared" si="8"/>
        <v>0</v>
      </c>
      <c r="H56" s="98"/>
      <c r="I56" s="47"/>
    </row>
    <row r="57" spans="1:9" ht="12.75">
      <c r="A57" s="38"/>
      <c r="B57" s="88" t="s">
        <v>339</v>
      </c>
      <c r="C57" s="223">
        <f t="shared" si="9"/>
        <v>0</v>
      </c>
      <c r="D57" s="98"/>
      <c r="E57" s="98"/>
      <c r="F57" s="223">
        <f t="shared" si="7"/>
        <v>0</v>
      </c>
      <c r="G57" s="223">
        <f t="shared" si="8"/>
        <v>0</v>
      </c>
      <c r="H57" s="98"/>
      <c r="I57" s="47"/>
    </row>
    <row r="58" spans="1:9" ht="12.75">
      <c r="A58" s="38"/>
      <c r="B58" s="88" t="s">
        <v>340</v>
      </c>
      <c r="C58" s="223">
        <f t="shared" si="9"/>
        <v>0</v>
      </c>
      <c r="D58" s="98"/>
      <c r="E58" s="98"/>
      <c r="F58" s="223">
        <f t="shared" si="7"/>
        <v>0</v>
      </c>
      <c r="G58" s="223">
        <f t="shared" si="8"/>
        <v>0</v>
      </c>
      <c r="H58" s="98"/>
      <c r="I58" s="47"/>
    </row>
    <row r="59" spans="1:9" ht="12.75">
      <c r="A59" s="38"/>
      <c r="B59" s="88" t="s">
        <v>341</v>
      </c>
      <c r="C59" s="223">
        <f t="shared" si="9"/>
        <v>0</v>
      </c>
      <c r="D59" s="98"/>
      <c r="E59" s="98"/>
      <c r="F59" s="223">
        <f t="shared" si="7"/>
        <v>0</v>
      </c>
      <c r="G59" s="223">
        <f t="shared" si="8"/>
        <v>0</v>
      </c>
      <c r="H59" s="98"/>
      <c r="I59" s="47"/>
    </row>
    <row r="60" spans="1:9" ht="12.75">
      <c r="A60" s="38"/>
      <c r="B60" s="88" t="s">
        <v>342</v>
      </c>
      <c r="C60" s="223">
        <f t="shared" si="9"/>
        <v>0</v>
      </c>
      <c r="D60" s="98"/>
      <c r="E60" s="98"/>
      <c r="F60" s="223">
        <f t="shared" si="7"/>
        <v>0</v>
      </c>
      <c r="G60" s="223">
        <f t="shared" si="8"/>
        <v>0</v>
      </c>
      <c r="H60" s="98"/>
      <c r="I60" s="47"/>
    </row>
    <row r="61" spans="1:9" ht="24">
      <c r="A61" s="38"/>
      <c r="B61" s="88" t="s">
        <v>343</v>
      </c>
      <c r="C61" s="223">
        <f t="shared" si="9"/>
        <v>0</v>
      </c>
      <c r="D61" s="98"/>
      <c r="E61" s="98"/>
      <c r="F61" s="223">
        <f t="shared" si="7"/>
        <v>0</v>
      </c>
      <c r="G61" s="223">
        <f t="shared" si="8"/>
        <v>0</v>
      </c>
      <c r="H61" s="98"/>
      <c r="I61" s="47"/>
    </row>
    <row r="62" spans="1:9" ht="24">
      <c r="A62" s="38"/>
      <c r="B62" s="88" t="s">
        <v>344</v>
      </c>
      <c r="C62" s="223">
        <f t="shared" si="9"/>
        <v>0</v>
      </c>
      <c r="D62" s="98"/>
      <c r="E62" s="98"/>
      <c r="F62" s="223">
        <f t="shared" si="7"/>
        <v>0</v>
      </c>
      <c r="G62" s="223">
        <f t="shared" si="8"/>
        <v>0</v>
      </c>
      <c r="H62" s="98"/>
      <c r="I62" s="47"/>
    </row>
    <row r="63" spans="1:9" ht="13.5" thickBot="1">
      <c r="A63" s="38"/>
      <c r="B63" s="88" t="s">
        <v>73</v>
      </c>
      <c r="C63" s="223">
        <f>J31</f>
        <v>0</v>
      </c>
      <c r="D63" s="98"/>
      <c r="E63" s="98"/>
      <c r="F63" s="223">
        <f t="shared" si="7"/>
        <v>0</v>
      </c>
      <c r="G63" s="223">
        <f t="shared" si="8"/>
        <v>0</v>
      </c>
      <c r="H63" s="98"/>
      <c r="I63" s="47"/>
    </row>
    <row r="64" spans="1:9" ht="19.5" thickBot="1">
      <c r="A64" s="38"/>
      <c r="B64" s="90" t="s">
        <v>374</v>
      </c>
      <c r="C64" s="227">
        <f aca="true" t="shared" si="10" ref="C64:H64">SUM(C48:C63)</f>
        <v>0</v>
      </c>
      <c r="D64" s="227">
        <f t="shared" si="10"/>
        <v>0</v>
      </c>
      <c r="E64" s="227">
        <f t="shared" si="10"/>
        <v>0</v>
      </c>
      <c r="F64" s="227">
        <f t="shared" si="10"/>
        <v>0</v>
      </c>
      <c r="G64" s="227">
        <f t="shared" si="10"/>
        <v>0</v>
      </c>
      <c r="H64" s="244">
        <f t="shared" si="10"/>
        <v>0</v>
      </c>
      <c r="I64" s="47"/>
    </row>
    <row r="65" spans="1:13" ht="6.75" customHeight="1" thickBot="1">
      <c r="A65" s="41"/>
      <c r="B65" s="42"/>
      <c r="C65" s="42"/>
      <c r="D65" s="42"/>
      <c r="E65" s="42"/>
      <c r="F65" s="42"/>
      <c r="G65" s="42"/>
      <c r="H65" s="42"/>
      <c r="I65" s="43"/>
      <c r="M65" s="48"/>
    </row>
    <row r="66" spans="1:14" ht="12.75">
      <c r="A66" s="3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="48" customFormat="1" ht="12.75"/>
  </sheetData>
  <sheetProtection/>
  <mergeCells count="11">
    <mergeCell ref="B39:H39"/>
    <mergeCell ref="B36:I36"/>
    <mergeCell ref="B47:H47"/>
    <mergeCell ref="B3:L3"/>
    <mergeCell ref="B33:L33"/>
    <mergeCell ref="A34:M34"/>
    <mergeCell ref="A1:M1"/>
    <mergeCell ref="A2:M2"/>
    <mergeCell ref="B4:L4"/>
    <mergeCell ref="B7:L7"/>
    <mergeCell ref="B15:L15"/>
  </mergeCells>
  <conditionalFormatting sqref="C32:L32 C64:H64">
    <cfRule type="cellIs" priority="1" dxfId="1" operator="notEqual" stopIfTrue="1">
      <formula>'Reserves Continuity'!#REF!</formula>
    </cfRule>
  </conditionalFormatting>
  <conditionalFormatting sqref="C13:L13 C45:H45">
    <cfRule type="cellIs" priority="2" dxfId="1" operator="notEqual" stopIfTrue="1">
      <formula>'Reserves Continuity'!#REF!</formula>
    </cfRule>
  </conditionalFormatting>
  <conditionalFormatting sqref="E16:E31 E6 C12 E8:E12 C31">
    <cfRule type="cellIs" priority="3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2" horizontalDpi="355" verticalDpi="355" orientation="landscape" scale="72" r:id="rId3"/>
  <headerFooter alignWithMargins="0">
    <oddFooter>&amp;L&amp;A</oddFooter>
  </headerFooter>
  <rowBreaks count="1" manualBreakCount="1">
    <brk id="33" max="255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0.9921875" style="0" customWidth="1"/>
    <col min="2" max="2" width="1.28515625" style="0" customWidth="1"/>
    <col min="3" max="3" width="33.140625" style="0" bestFit="1" customWidth="1"/>
    <col min="5" max="5" width="14.8515625" style="0" customWidth="1"/>
    <col min="6" max="6" width="0.71875" style="0" customWidth="1"/>
    <col min="8" max="8" width="16.140625" style="0" customWidth="1"/>
    <col min="10" max="10" width="0.71875" style="0" customWidth="1"/>
    <col min="12" max="12" width="13.8515625" style="0" customWidth="1"/>
    <col min="14" max="14" width="0.9921875" style="0" customWidth="1"/>
  </cols>
  <sheetData>
    <row r="1" spans="1:14" ht="12.75">
      <c r="A1" s="519" t="str">
        <f>'Trial Balance'!A1:F1</f>
        <v>Rideau St. Lawrence Distribution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</row>
    <row r="2" spans="1:14" ht="12.75">
      <c r="A2" s="519" t="str">
        <f>'Trial Balance'!A2:F2</f>
        <v> License Number ED-2003-0003, File Number EB-2011-0274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</row>
    <row r="3" ht="7.5" customHeight="1" thickBot="1"/>
    <row r="4" spans="2:14" ht="18">
      <c r="B4" s="35"/>
      <c r="C4" s="638" t="s">
        <v>379</v>
      </c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37"/>
    </row>
    <row r="5" spans="2:14" ht="12.75">
      <c r="B5" s="38"/>
      <c r="C5" s="48"/>
      <c r="D5" s="48"/>
      <c r="E5" s="48"/>
      <c r="F5" s="48"/>
      <c r="G5" s="639" t="s">
        <v>836</v>
      </c>
      <c r="H5" s="639"/>
      <c r="I5" s="639"/>
      <c r="J5" s="48"/>
      <c r="K5" s="639" t="s">
        <v>837</v>
      </c>
      <c r="L5" s="639"/>
      <c r="M5" s="639"/>
      <c r="N5" s="47"/>
    </row>
    <row r="6" spans="2:14" ht="31.5" customHeight="1">
      <c r="B6" s="38"/>
      <c r="C6" s="640" t="s">
        <v>347</v>
      </c>
      <c r="D6" s="641"/>
      <c r="E6" s="642"/>
      <c r="F6" s="48"/>
      <c r="G6" s="100" t="s">
        <v>150</v>
      </c>
      <c r="H6" s="100" t="s">
        <v>375</v>
      </c>
      <c r="I6" s="100" t="s">
        <v>376</v>
      </c>
      <c r="J6" s="48"/>
      <c r="K6" s="100" t="s">
        <v>150</v>
      </c>
      <c r="L6" s="100" t="s">
        <v>375</v>
      </c>
      <c r="M6" s="100" t="s">
        <v>376</v>
      </c>
      <c r="N6" s="47"/>
    </row>
    <row r="7" spans="2:14" ht="12.75">
      <c r="B7" s="38"/>
      <c r="C7" s="635" t="s">
        <v>377</v>
      </c>
      <c r="D7" s="636"/>
      <c r="E7" s="637"/>
      <c r="F7" s="48"/>
      <c r="G7" s="102">
        <v>0</v>
      </c>
      <c r="H7" s="103"/>
      <c r="I7" s="101">
        <f>G7-H7</f>
        <v>0</v>
      </c>
      <c r="J7" s="48"/>
      <c r="K7" s="102"/>
      <c r="L7" s="103"/>
      <c r="M7" s="101">
        <f>K7-L7</f>
        <v>0</v>
      </c>
      <c r="N7" s="47"/>
    </row>
    <row r="8" spans="2:14" ht="12.75">
      <c r="B8" s="38"/>
      <c r="C8" s="627" t="s">
        <v>94</v>
      </c>
      <c r="D8" s="627"/>
      <c r="E8" s="627"/>
      <c r="F8" s="48"/>
      <c r="G8" s="102">
        <v>0</v>
      </c>
      <c r="H8" s="102"/>
      <c r="I8" s="101">
        <f>G8-H8</f>
        <v>0</v>
      </c>
      <c r="J8" s="48"/>
      <c r="K8" s="102"/>
      <c r="L8" s="102"/>
      <c r="M8" s="101">
        <f>K8-L8</f>
        <v>0</v>
      </c>
      <c r="N8" s="47"/>
    </row>
    <row r="9" spans="2:14" ht="12.75">
      <c r="B9" s="38"/>
      <c r="C9" s="634" t="s">
        <v>378</v>
      </c>
      <c r="D9" s="634"/>
      <c r="E9" s="634"/>
      <c r="F9" s="48"/>
      <c r="G9" s="103">
        <v>0</v>
      </c>
      <c r="H9" s="103"/>
      <c r="I9" s="101">
        <f>G9-H9</f>
        <v>0</v>
      </c>
      <c r="J9" s="48"/>
      <c r="K9" s="103"/>
      <c r="L9" s="103"/>
      <c r="M9" s="101">
        <f>K9-L9</f>
        <v>0</v>
      </c>
      <c r="N9" s="47"/>
    </row>
    <row r="10" spans="2:14" ht="12.75">
      <c r="B10" s="38"/>
      <c r="C10" s="628" t="s">
        <v>95</v>
      </c>
      <c r="D10" s="629"/>
      <c r="E10" s="630"/>
      <c r="F10" s="48"/>
      <c r="G10" s="101">
        <f>G7-G8+G9</f>
        <v>0</v>
      </c>
      <c r="H10" s="101">
        <f>H7-H8+H9</f>
        <v>0</v>
      </c>
      <c r="I10" s="101">
        <f>I7-I8+I9</f>
        <v>0</v>
      </c>
      <c r="J10" s="48"/>
      <c r="K10" s="101">
        <f>K7-K8+K9</f>
        <v>0</v>
      </c>
      <c r="L10" s="101">
        <f>L7-L8+L9</f>
        <v>0</v>
      </c>
      <c r="M10" s="101">
        <f>M7-M8+M9</f>
        <v>0</v>
      </c>
      <c r="N10" s="47"/>
    </row>
    <row r="11" spans="2:14" ht="12.75">
      <c r="B11" s="38"/>
      <c r="C11" s="631" t="s">
        <v>93</v>
      </c>
      <c r="D11" s="632"/>
      <c r="E11" s="633"/>
      <c r="F11" s="48"/>
      <c r="G11" s="103"/>
      <c r="H11" s="103"/>
      <c r="I11" s="101">
        <f>G11-H11</f>
        <v>0</v>
      </c>
      <c r="J11" s="48"/>
      <c r="K11" s="103"/>
      <c r="L11" s="103"/>
      <c r="M11" s="101">
        <f>K11-L11</f>
        <v>0</v>
      </c>
      <c r="N11" s="47"/>
    </row>
    <row r="12" spans="2:14" ht="12.75">
      <c r="B12" s="38"/>
      <c r="C12" s="628" t="s">
        <v>96</v>
      </c>
      <c r="D12" s="629"/>
      <c r="E12" s="630"/>
      <c r="F12" s="48"/>
      <c r="G12" s="101">
        <f>G10-G11</f>
        <v>0</v>
      </c>
      <c r="H12" s="101">
        <f>H10-H11</f>
        <v>0</v>
      </c>
      <c r="I12" s="101">
        <f>I10-I11</f>
        <v>0</v>
      </c>
      <c r="J12" s="48"/>
      <c r="K12" s="101">
        <f>K10-K11</f>
        <v>0</v>
      </c>
      <c r="L12" s="101">
        <f>L10-L11</f>
        <v>0</v>
      </c>
      <c r="M12" s="101">
        <f>M10-M11</f>
        <v>0</v>
      </c>
      <c r="N12" s="47"/>
    </row>
    <row r="13" spans="2:14" ht="9" customHeight="1" thickBot="1">
      <c r="B13" s="41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43"/>
    </row>
  </sheetData>
  <sheetProtection/>
  <mergeCells count="13">
    <mergeCell ref="C7:E7"/>
    <mergeCell ref="C4:M4"/>
    <mergeCell ref="G5:I5"/>
    <mergeCell ref="K5:M5"/>
    <mergeCell ref="A1:N1"/>
    <mergeCell ref="A2:N2"/>
    <mergeCell ref="C6:E6"/>
    <mergeCell ref="C8:E8"/>
    <mergeCell ref="C10:E10"/>
    <mergeCell ref="C11:E11"/>
    <mergeCell ref="C12:E12"/>
    <mergeCell ref="C13:M13"/>
    <mergeCell ref="C9:E9"/>
  </mergeCells>
  <conditionalFormatting sqref="I7:I9 I11 M11 M7:M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96" r:id="rId1"/>
  <headerFooter alignWithMargins="0">
    <oddFooter>&amp;L&amp;A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PageLayoutView="0" workbookViewId="0" topLeftCell="A1">
      <selection activeCell="D52" sqref="D52"/>
    </sheetView>
  </sheetViews>
  <sheetFormatPr defaultColWidth="20.00390625" defaultRowHeight="12.75"/>
  <cols>
    <col min="1" max="1" width="1.7109375" style="0" customWidth="1"/>
    <col min="2" max="2" width="43.28125" style="0" customWidth="1"/>
    <col min="3" max="3" width="11.7109375" style="0" bestFit="1" customWidth="1"/>
    <col min="4" max="4" width="14.57421875" style="0" bestFit="1" customWidth="1"/>
    <col min="5" max="5" width="15.7109375" style="0" bestFit="1" customWidth="1"/>
    <col min="6" max="6" width="14.140625" style="0" bestFit="1" customWidth="1"/>
    <col min="7" max="7" width="15.140625" style="0" customWidth="1"/>
    <col min="8" max="11" width="8.8515625" style="0" customWidth="1"/>
  </cols>
  <sheetData>
    <row r="1" spans="1:6" ht="12.75">
      <c r="A1" s="519" t="str">
        <f>'Trial Balance'!A1:F1</f>
        <v>Rideau St. Lawrence Distribution Inc.</v>
      </c>
      <c r="B1" s="519"/>
      <c r="C1" s="519"/>
      <c r="D1" s="519"/>
      <c r="E1" s="519"/>
      <c r="F1" s="519"/>
    </row>
    <row r="2" spans="1:6" ht="12.75">
      <c r="A2" s="519" t="str">
        <f>'Trial Balance'!A2:F2</f>
        <v> License Number ED-2003-0003, File Number EB-2011-0274</v>
      </c>
      <c r="B2" s="519"/>
      <c r="C2" s="519"/>
      <c r="D2" s="519"/>
      <c r="E2" s="519"/>
      <c r="F2" s="519"/>
    </row>
    <row r="3" spans="2:6" ht="30.75" customHeight="1">
      <c r="B3" s="643" t="s">
        <v>841</v>
      </c>
      <c r="C3" s="643"/>
      <c r="D3" s="643"/>
      <c r="E3" s="643"/>
      <c r="F3" s="643"/>
    </row>
    <row r="4" spans="2:6" ht="38.25">
      <c r="B4" s="117" t="s">
        <v>311</v>
      </c>
      <c r="C4" s="126" t="s">
        <v>483</v>
      </c>
      <c r="D4" s="104" t="s">
        <v>484</v>
      </c>
      <c r="E4" s="104" t="s">
        <v>485</v>
      </c>
      <c r="F4" s="104" t="s">
        <v>364</v>
      </c>
    </row>
    <row r="5" spans="2:6" ht="12.75">
      <c r="B5" s="180" t="s">
        <v>486</v>
      </c>
      <c r="C5" s="106"/>
      <c r="D5" s="362"/>
      <c r="E5" s="363"/>
      <c r="F5" s="363"/>
    </row>
    <row r="6" spans="2:6" ht="12.75">
      <c r="B6" s="118" t="s">
        <v>487</v>
      </c>
      <c r="C6" s="112">
        <v>103</v>
      </c>
      <c r="D6" s="364">
        <v>0</v>
      </c>
      <c r="E6" s="365">
        <v>0</v>
      </c>
      <c r="F6" s="366">
        <f aca="true" t="shared" si="0" ref="F6:F46">D6-E6</f>
        <v>0</v>
      </c>
    </row>
    <row r="7" spans="2:6" ht="12.75">
      <c r="B7" s="118" t="s">
        <v>488</v>
      </c>
      <c r="C7" s="112">
        <v>104</v>
      </c>
      <c r="D7" s="390">
        <f>+'FA Continuity MIFRS 2011'!J50</f>
        <v>334223.37026666664</v>
      </c>
      <c r="E7" s="364">
        <v>0</v>
      </c>
      <c r="F7" s="366">
        <f t="shared" si="0"/>
        <v>334223.37026666664</v>
      </c>
    </row>
    <row r="8" spans="2:6" ht="12.75">
      <c r="B8" s="118" t="s">
        <v>489</v>
      </c>
      <c r="C8" s="112">
        <v>106</v>
      </c>
      <c r="D8" s="364">
        <v>0</v>
      </c>
      <c r="E8" s="364">
        <v>0</v>
      </c>
      <c r="F8" s="366">
        <f t="shared" si="0"/>
        <v>0</v>
      </c>
    </row>
    <row r="9" spans="2:6" ht="25.5">
      <c r="B9" s="118" t="s">
        <v>490</v>
      </c>
      <c r="C9" s="112">
        <v>107</v>
      </c>
      <c r="D9" s="364">
        <v>0</v>
      </c>
      <c r="E9" s="365">
        <v>0</v>
      </c>
      <c r="F9" s="366">
        <f t="shared" si="0"/>
        <v>0</v>
      </c>
    </row>
    <row r="10" spans="2:6" ht="25.5">
      <c r="B10" s="118" t="s">
        <v>491</v>
      </c>
      <c r="C10" s="112">
        <v>108</v>
      </c>
      <c r="D10" s="364">
        <v>0</v>
      </c>
      <c r="E10" s="365">
        <v>0</v>
      </c>
      <c r="F10" s="366">
        <f t="shared" si="0"/>
        <v>0</v>
      </c>
    </row>
    <row r="11" spans="2:6" ht="25.5">
      <c r="B11" s="118" t="s">
        <v>492</v>
      </c>
      <c r="C11" s="112">
        <v>109</v>
      </c>
      <c r="D11" s="364"/>
      <c r="E11" s="364">
        <v>0</v>
      </c>
      <c r="F11" s="366">
        <f t="shared" si="0"/>
        <v>0</v>
      </c>
    </row>
    <row r="12" spans="2:6" ht="12.75">
      <c r="B12" s="118" t="s">
        <v>493</v>
      </c>
      <c r="C12" s="112">
        <v>110</v>
      </c>
      <c r="D12" s="364">
        <v>0</v>
      </c>
      <c r="E12" s="364">
        <v>0</v>
      </c>
      <c r="F12" s="366">
        <f t="shared" si="0"/>
        <v>0</v>
      </c>
    </row>
    <row r="13" spans="2:6" ht="12.75">
      <c r="B13" s="118" t="s">
        <v>494</v>
      </c>
      <c r="C13" s="112">
        <v>111</v>
      </c>
      <c r="D13" s="364">
        <v>0</v>
      </c>
      <c r="E13" s="365">
        <v>0</v>
      </c>
      <c r="F13" s="366">
        <f t="shared" si="0"/>
        <v>0</v>
      </c>
    </row>
    <row r="14" spans="2:6" ht="12.75">
      <c r="B14" s="118" t="s">
        <v>495</v>
      </c>
      <c r="C14" s="112">
        <v>112</v>
      </c>
      <c r="D14" s="364"/>
      <c r="E14" s="364">
        <v>0</v>
      </c>
      <c r="F14" s="366">
        <f t="shared" si="0"/>
        <v>0</v>
      </c>
    </row>
    <row r="15" spans="2:6" ht="12.75">
      <c r="B15" s="118" t="s">
        <v>496</v>
      </c>
      <c r="C15" s="112">
        <v>113</v>
      </c>
      <c r="D15" s="364">
        <v>0</v>
      </c>
      <c r="E15" s="365">
        <v>0</v>
      </c>
      <c r="F15" s="366">
        <f t="shared" si="0"/>
        <v>0</v>
      </c>
    </row>
    <row r="16" spans="2:6" ht="12.75">
      <c r="B16" s="118" t="s">
        <v>497</v>
      </c>
      <c r="C16" s="112">
        <v>114</v>
      </c>
      <c r="D16" s="364">
        <v>0</v>
      </c>
      <c r="E16" s="364">
        <v>0</v>
      </c>
      <c r="F16" s="366">
        <f t="shared" si="0"/>
        <v>0</v>
      </c>
    </row>
    <row r="17" spans="2:6" ht="12.75">
      <c r="B17" s="118" t="s">
        <v>498</v>
      </c>
      <c r="C17" s="112">
        <v>116</v>
      </c>
      <c r="D17" s="364">
        <v>0</v>
      </c>
      <c r="E17" s="364">
        <v>0</v>
      </c>
      <c r="F17" s="366">
        <f t="shared" si="0"/>
        <v>0</v>
      </c>
    </row>
    <row r="18" spans="2:6" ht="25.5">
      <c r="B18" s="118" t="s">
        <v>499</v>
      </c>
      <c r="C18" s="112">
        <v>118</v>
      </c>
      <c r="D18" s="364">
        <v>0</v>
      </c>
      <c r="E18" s="364">
        <v>0</v>
      </c>
      <c r="F18" s="366">
        <f t="shared" si="0"/>
        <v>0</v>
      </c>
    </row>
    <row r="19" spans="2:6" ht="12.75">
      <c r="B19" s="118" t="s">
        <v>500</v>
      </c>
      <c r="C19" s="112">
        <v>119</v>
      </c>
      <c r="D19" s="364">
        <v>0</v>
      </c>
      <c r="E19" s="364">
        <v>0</v>
      </c>
      <c r="F19" s="366">
        <f t="shared" si="0"/>
        <v>0</v>
      </c>
    </row>
    <row r="20" spans="2:6" ht="12.75">
      <c r="B20" s="118" t="s">
        <v>501</v>
      </c>
      <c r="C20" s="112">
        <v>120</v>
      </c>
      <c r="D20" s="364"/>
      <c r="E20" s="364">
        <v>0</v>
      </c>
      <c r="F20" s="366">
        <f t="shared" si="0"/>
        <v>0</v>
      </c>
    </row>
    <row r="21" spans="2:6" ht="25.5">
      <c r="B21" s="118" t="s">
        <v>502</v>
      </c>
      <c r="C21" s="112">
        <v>121</v>
      </c>
      <c r="D21" s="364"/>
      <c r="E21" s="364">
        <v>0</v>
      </c>
      <c r="F21" s="366">
        <f t="shared" si="0"/>
        <v>0</v>
      </c>
    </row>
    <row r="22" spans="2:6" ht="12.75">
      <c r="B22" s="118" t="s">
        <v>503</v>
      </c>
      <c r="C22" s="112">
        <v>122</v>
      </c>
      <c r="D22" s="364">
        <v>0</v>
      </c>
      <c r="E22" s="364">
        <v>0</v>
      </c>
      <c r="F22" s="366">
        <f t="shared" si="0"/>
        <v>0</v>
      </c>
    </row>
    <row r="23" spans="2:6" ht="12.75">
      <c r="B23" s="118" t="s">
        <v>265</v>
      </c>
      <c r="C23" s="112">
        <v>123</v>
      </c>
      <c r="D23" s="364">
        <v>0</v>
      </c>
      <c r="E23" s="364">
        <v>0</v>
      </c>
      <c r="F23" s="366">
        <f t="shared" si="0"/>
        <v>0</v>
      </c>
    </row>
    <row r="24" spans="2:6" ht="12.75">
      <c r="B24" s="118" t="s">
        <v>266</v>
      </c>
      <c r="C24" s="112">
        <v>124</v>
      </c>
      <c r="D24" s="364">
        <v>0</v>
      </c>
      <c r="E24" s="364">
        <v>0</v>
      </c>
      <c r="F24" s="366">
        <f t="shared" si="0"/>
        <v>0</v>
      </c>
    </row>
    <row r="25" spans="2:6" ht="12.75">
      <c r="B25" s="118" t="s">
        <v>345</v>
      </c>
      <c r="C25" s="119">
        <v>125</v>
      </c>
      <c r="D25" s="390">
        <f>'Reserves Continuity'!C13</f>
        <v>0</v>
      </c>
      <c r="E25" s="368">
        <v>0</v>
      </c>
      <c r="F25" s="366">
        <f t="shared" si="0"/>
        <v>0</v>
      </c>
    </row>
    <row r="26" spans="2:6" ht="25.5">
      <c r="B26" s="118" t="s">
        <v>267</v>
      </c>
      <c r="C26" s="112">
        <v>126</v>
      </c>
      <c r="D26" s="392">
        <f>-+'Trial Balance'!J162</f>
        <v>0</v>
      </c>
      <c r="E26" s="365">
        <v>0</v>
      </c>
      <c r="F26" s="366">
        <f t="shared" si="0"/>
        <v>0</v>
      </c>
    </row>
    <row r="27" spans="2:6" ht="25.5">
      <c r="B27" s="118" t="s">
        <v>268</v>
      </c>
      <c r="C27" s="112">
        <v>127</v>
      </c>
      <c r="D27" s="364">
        <v>0</v>
      </c>
      <c r="E27" s="364">
        <v>0</v>
      </c>
      <c r="F27" s="366">
        <f t="shared" si="0"/>
        <v>0</v>
      </c>
    </row>
    <row r="28" spans="2:6" ht="12.75">
      <c r="B28" s="118" t="s">
        <v>272</v>
      </c>
      <c r="C28" s="112">
        <v>205</v>
      </c>
      <c r="D28" s="364">
        <v>0</v>
      </c>
      <c r="E28" s="364">
        <v>0</v>
      </c>
      <c r="F28" s="366">
        <f t="shared" si="0"/>
        <v>0</v>
      </c>
    </row>
    <row r="29" spans="2:6" ht="12.75">
      <c r="B29" s="118" t="s">
        <v>273</v>
      </c>
      <c r="C29" s="112">
        <v>206</v>
      </c>
      <c r="D29" s="364">
        <v>0</v>
      </c>
      <c r="E29" s="364">
        <v>0</v>
      </c>
      <c r="F29" s="366">
        <f t="shared" si="0"/>
        <v>0</v>
      </c>
    </row>
    <row r="30" spans="2:6" ht="12.75">
      <c r="B30" s="118" t="s">
        <v>274</v>
      </c>
      <c r="C30" s="112">
        <v>208</v>
      </c>
      <c r="D30" s="364">
        <v>0</v>
      </c>
      <c r="E30" s="364">
        <v>0</v>
      </c>
      <c r="F30" s="366">
        <f t="shared" si="0"/>
        <v>0</v>
      </c>
    </row>
    <row r="31" spans="2:6" ht="25.5">
      <c r="B31" s="118" t="s">
        <v>275</v>
      </c>
      <c r="C31" s="112">
        <v>212</v>
      </c>
      <c r="D31" s="364">
        <v>0</v>
      </c>
      <c r="E31" s="364">
        <v>0</v>
      </c>
      <c r="F31" s="366">
        <f t="shared" si="0"/>
        <v>0</v>
      </c>
    </row>
    <row r="32" spans="2:6" ht="12.75">
      <c r="B32" s="118" t="s">
        <v>276</v>
      </c>
      <c r="C32" s="112">
        <v>216</v>
      </c>
      <c r="D32" s="364">
        <v>0</v>
      </c>
      <c r="E32" s="364">
        <v>0</v>
      </c>
      <c r="F32" s="366">
        <f t="shared" si="0"/>
        <v>0</v>
      </c>
    </row>
    <row r="33" spans="2:6" ht="12.75">
      <c r="B33" s="118" t="s">
        <v>277</v>
      </c>
      <c r="C33" s="112">
        <v>220</v>
      </c>
      <c r="D33" s="364">
        <v>0</v>
      </c>
      <c r="E33" s="364">
        <v>0</v>
      </c>
      <c r="F33" s="366">
        <f t="shared" si="0"/>
        <v>0</v>
      </c>
    </row>
    <row r="34" spans="2:6" ht="12.75">
      <c r="B34" s="118" t="s">
        <v>278</v>
      </c>
      <c r="C34" s="112">
        <v>226</v>
      </c>
      <c r="D34" s="364">
        <v>0</v>
      </c>
      <c r="E34" s="364">
        <v>0</v>
      </c>
      <c r="F34" s="366">
        <f t="shared" si="0"/>
        <v>0</v>
      </c>
    </row>
    <row r="35" spans="2:6" ht="12.75">
      <c r="B35" s="118" t="s">
        <v>279</v>
      </c>
      <c r="C35" s="112">
        <v>227</v>
      </c>
      <c r="D35" s="364">
        <v>0</v>
      </c>
      <c r="E35" s="364">
        <v>0</v>
      </c>
      <c r="F35" s="366">
        <f t="shared" si="0"/>
        <v>0</v>
      </c>
    </row>
    <row r="36" spans="2:6" ht="12.75">
      <c r="B36" s="118" t="s">
        <v>280</v>
      </c>
      <c r="C36" s="112">
        <v>228</v>
      </c>
      <c r="D36" s="364">
        <v>0</v>
      </c>
      <c r="E36" s="364">
        <v>0</v>
      </c>
      <c r="F36" s="366">
        <f t="shared" si="0"/>
        <v>0</v>
      </c>
    </row>
    <row r="37" spans="2:6" ht="12.75">
      <c r="B37" s="118" t="s">
        <v>281</v>
      </c>
      <c r="C37" s="112">
        <v>231</v>
      </c>
      <c r="D37" s="364">
        <v>0</v>
      </c>
      <c r="E37" s="364">
        <v>0</v>
      </c>
      <c r="F37" s="366">
        <f t="shared" si="0"/>
        <v>0</v>
      </c>
    </row>
    <row r="38" spans="2:6" ht="12.75">
      <c r="B38" s="118" t="s">
        <v>282</v>
      </c>
      <c r="C38" s="112">
        <v>235</v>
      </c>
      <c r="D38" s="364">
        <v>0</v>
      </c>
      <c r="E38" s="364">
        <v>0</v>
      </c>
      <c r="F38" s="366">
        <f t="shared" si="0"/>
        <v>0</v>
      </c>
    </row>
    <row r="39" spans="2:6" ht="12.75">
      <c r="B39" s="118" t="s">
        <v>283</v>
      </c>
      <c r="C39" s="112">
        <v>236</v>
      </c>
      <c r="D39" s="364">
        <v>0</v>
      </c>
      <c r="E39" s="364">
        <v>0</v>
      </c>
      <c r="F39" s="366">
        <f t="shared" si="0"/>
        <v>0</v>
      </c>
    </row>
    <row r="40" spans="2:6" ht="38.25">
      <c r="B40" s="118" t="s">
        <v>284</v>
      </c>
      <c r="C40" s="112">
        <v>237</v>
      </c>
      <c r="D40" s="364">
        <v>0</v>
      </c>
      <c r="E40" s="364">
        <v>0</v>
      </c>
      <c r="F40" s="366">
        <f t="shared" si="0"/>
        <v>0</v>
      </c>
    </row>
    <row r="41" spans="2:6" ht="12.75">
      <c r="B41" s="118" t="s">
        <v>285</v>
      </c>
      <c r="C41" s="112">
        <v>290</v>
      </c>
      <c r="D41" s="364">
        <v>0</v>
      </c>
      <c r="E41" s="364">
        <v>0</v>
      </c>
      <c r="F41" s="366">
        <f t="shared" si="0"/>
        <v>0</v>
      </c>
    </row>
    <row r="42" spans="2:6" ht="25.5">
      <c r="B42" s="118" t="s">
        <v>287</v>
      </c>
      <c r="C42" s="112">
        <v>291</v>
      </c>
      <c r="D42" s="364">
        <v>0</v>
      </c>
      <c r="E42" s="364">
        <v>0</v>
      </c>
      <c r="F42" s="366">
        <f t="shared" si="0"/>
        <v>0</v>
      </c>
    </row>
    <row r="43" spans="2:6" ht="12.75">
      <c r="B43" s="118" t="s">
        <v>288</v>
      </c>
      <c r="C43" s="112">
        <v>292</v>
      </c>
      <c r="D43" s="364">
        <v>0</v>
      </c>
      <c r="E43" s="364">
        <v>0</v>
      </c>
      <c r="F43" s="366">
        <f t="shared" si="0"/>
        <v>0</v>
      </c>
    </row>
    <row r="44" spans="2:6" ht="12.75">
      <c r="B44" s="118" t="s">
        <v>289</v>
      </c>
      <c r="C44" s="112">
        <v>293</v>
      </c>
      <c r="D44" s="364">
        <v>0</v>
      </c>
      <c r="E44" s="364">
        <v>0</v>
      </c>
      <c r="F44" s="366">
        <f t="shared" si="0"/>
        <v>0</v>
      </c>
    </row>
    <row r="45" spans="2:6" ht="12.75">
      <c r="B45" s="120" t="s">
        <v>290</v>
      </c>
      <c r="C45" s="112">
        <v>294</v>
      </c>
      <c r="D45" s="364"/>
      <c r="E45" s="364">
        <v>0</v>
      </c>
      <c r="F45" s="366">
        <f t="shared" si="0"/>
        <v>0</v>
      </c>
    </row>
    <row r="46" spans="2:6" ht="13.5" thickBot="1">
      <c r="B46" s="120" t="s">
        <v>817</v>
      </c>
      <c r="C46" s="121">
        <v>295</v>
      </c>
      <c r="D46" s="390">
        <f>'Capital Tax &amp; Expense Schedules'!H12</f>
        <v>0</v>
      </c>
      <c r="E46" s="369">
        <v>0</v>
      </c>
      <c r="F46" s="366">
        <f t="shared" si="0"/>
        <v>0</v>
      </c>
    </row>
    <row r="47" spans="2:6" ht="13.5" thickBot="1">
      <c r="B47" s="184" t="s">
        <v>291</v>
      </c>
      <c r="C47" s="123"/>
      <c r="D47" s="370">
        <f>SUM(D6:D46)</f>
        <v>334223.37026666664</v>
      </c>
      <c r="E47" s="370">
        <f>SUM(E6:E46)</f>
        <v>0</v>
      </c>
      <c r="F47" s="370">
        <f>SUM(F6:F46)</f>
        <v>334223.37026666664</v>
      </c>
    </row>
    <row r="48" spans="2:6" ht="9" customHeight="1">
      <c r="B48" s="107"/>
      <c r="C48" s="108"/>
      <c r="D48" s="371"/>
      <c r="E48" s="371"/>
      <c r="F48" s="371"/>
    </row>
    <row r="49" spans="2:6" ht="12.75">
      <c r="B49" s="181" t="s">
        <v>292</v>
      </c>
      <c r="C49" s="110"/>
      <c r="D49" s="372"/>
      <c r="E49" s="372"/>
      <c r="F49" s="372"/>
    </row>
    <row r="50" spans="2:6" ht="25.5">
      <c r="B50" s="118" t="s">
        <v>293</v>
      </c>
      <c r="C50" s="112">
        <v>401</v>
      </c>
      <c r="D50" s="364"/>
      <c r="E50" s="364">
        <v>0</v>
      </c>
      <c r="F50" s="366">
        <f aca="true" t="shared" si="1" ref="F50:F67">D50-E50</f>
        <v>0</v>
      </c>
    </row>
    <row r="51" spans="2:6" ht="12.75">
      <c r="B51" s="118" t="s">
        <v>294</v>
      </c>
      <c r="C51" s="112">
        <v>402</v>
      </c>
      <c r="D51" s="364">
        <v>0</v>
      </c>
      <c r="E51" s="364">
        <v>0</v>
      </c>
      <c r="F51" s="366">
        <f t="shared" si="1"/>
        <v>0</v>
      </c>
    </row>
    <row r="52" spans="2:6" ht="12.75">
      <c r="B52" s="118" t="s">
        <v>295</v>
      </c>
      <c r="C52" s="112">
        <v>403</v>
      </c>
      <c r="D52" s="390">
        <f>'CCA Continuity 2011'!N24</f>
        <v>385246.5388</v>
      </c>
      <c r="E52" s="364">
        <v>0</v>
      </c>
      <c r="F52" s="366">
        <f t="shared" si="1"/>
        <v>385246.5388</v>
      </c>
    </row>
    <row r="53" spans="2:6" ht="12.75">
      <c r="B53" s="118" t="s">
        <v>296</v>
      </c>
      <c r="C53" s="112">
        <v>404</v>
      </c>
      <c r="D53" s="364">
        <v>0</v>
      </c>
      <c r="E53" s="364">
        <v>0</v>
      </c>
      <c r="F53" s="366">
        <f t="shared" si="1"/>
        <v>0</v>
      </c>
    </row>
    <row r="54" spans="2:6" ht="25.5">
      <c r="B54" s="118" t="s">
        <v>297</v>
      </c>
      <c r="C54" s="112">
        <v>405</v>
      </c>
      <c r="D54" s="390">
        <f>'CCA Continuity 2011'!H63</f>
        <v>0</v>
      </c>
      <c r="E54" s="364">
        <v>0</v>
      </c>
      <c r="F54" s="366">
        <f t="shared" si="1"/>
        <v>0</v>
      </c>
    </row>
    <row r="55" spans="2:6" ht="12.75">
      <c r="B55" s="118" t="s">
        <v>298</v>
      </c>
      <c r="C55" s="112">
        <v>406</v>
      </c>
      <c r="D55" s="364">
        <v>0</v>
      </c>
      <c r="E55" s="364">
        <v>0</v>
      </c>
      <c r="F55" s="366">
        <f t="shared" si="1"/>
        <v>0</v>
      </c>
    </row>
    <row r="56" spans="2:6" ht="12.75">
      <c r="B56" s="118" t="s">
        <v>498</v>
      </c>
      <c r="C56" s="112">
        <v>409</v>
      </c>
      <c r="D56" s="364">
        <v>0</v>
      </c>
      <c r="E56" s="364">
        <v>0</v>
      </c>
      <c r="F56" s="366">
        <f t="shared" si="1"/>
        <v>0</v>
      </c>
    </row>
    <row r="57" spans="2:6" ht="25.5">
      <c r="B57" s="118" t="s">
        <v>299</v>
      </c>
      <c r="C57" s="112">
        <v>411</v>
      </c>
      <c r="D57" s="364">
        <v>0</v>
      </c>
      <c r="E57" s="364">
        <v>0</v>
      </c>
      <c r="F57" s="366">
        <f t="shared" si="1"/>
        <v>0</v>
      </c>
    </row>
    <row r="58" spans="2:6" ht="12.75">
      <c r="B58" s="118" t="s">
        <v>346</v>
      </c>
      <c r="C58" s="119">
        <v>413</v>
      </c>
      <c r="D58" s="390">
        <f>'Reserves Continuity'!J13</f>
        <v>0</v>
      </c>
      <c r="E58" s="368">
        <v>0</v>
      </c>
      <c r="F58" s="366">
        <f t="shared" si="1"/>
        <v>0</v>
      </c>
    </row>
    <row r="59" spans="2:6" ht="25.5">
      <c r="B59" s="118" t="s">
        <v>300</v>
      </c>
      <c r="C59" s="112">
        <v>414</v>
      </c>
      <c r="D59" s="391">
        <f>'Reserves Continuity'!C32</f>
        <v>0</v>
      </c>
      <c r="E59" s="365">
        <v>0</v>
      </c>
      <c r="F59" s="366">
        <f t="shared" si="1"/>
        <v>0</v>
      </c>
    </row>
    <row r="60" spans="2:6" ht="12.75">
      <c r="B60" s="118" t="s">
        <v>301</v>
      </c>
      <c r="C60" s="112">
        <v>416</v>
      </c>
      <c r="D60" s="364">
        <v>0</v>
      </c>
      <c r="E60" s="364">
        <v>0</v>
      </c>
      <c r="F60" s="366">
        <f t="shared" si="1"/>
        <v>0</v>
      </c>
    </row>
    <row r="61" spans="2:6" ht="25.5">
      <c r="B61" s="118" t="s">
        <v>302</v>
      </c>
      <c r="C61" s="112">
        <v>305</v>
      </c>
      <c r="D61" s="364">
        <v>0</v>
      </c>
      <c r="E61" s="364">
        <v>0</v>
      </c>
      <c r="F61" s="366">
        <f t="shared" si="1"/>
        <v>0</v>
      </c>
    </row>
    <row r="62" spans="2:6" ht="25.5">
      <c r="B62" s="118" t="s">
        <v>303</v>
      </c>
      <c r="C62" s="112">
        <v>306</v>
      </c>
      <c r="D62" s="364">
        <v>0</v>
      </c>
      <c r="E62" s="364">
        <v>0</v>
      </c>
      <c r="F62" s="366">
        <f t="shared" si="1"/>
        <v>0</v>
      </c>
    </row>
    <row r="63" spans="2:6" ht="25.5">
      <c r="B63" s="118" t="s">
        <v>304</v>
      </c>
      <c r="C63" s="112">
        <v>390</v>
      </c>
      <c r="D63" s="364">
        <v>0</v>
      </c>
      <c r="E63" s="364">
        <v>0</v>
      </c>
      <c r="F63" s="366">
        <f t="shared" si="1"/>
        <v>0</v>
      </c>
    </row>
    <row r="64" spans="2:6" ht="12.75">
      <c r="B64" s="118" t="s">
        <v>305</v>
      </c>
      <c r="C64" s="112">
        <v>391</v>
      </c>
      <c r="D64" s="364">
        <v>0</v>
      </c>
      <c r="E64" s="364">
        <v>0</v>
      </c>
      <c r="F64" s="366">
        <f t="shared" si="1"/>
        <v>0</v>
      </c>
    </row>
    <row r="65" spans="2:6" ht="25.5">
      <c r="B65" s="118" t="s">
        <v>306</v>
      </c>
      <c r="C65" s="112">
        <v>392</v>
      </c>
      <c r="D65" s="364">
        <v>0</v>
      </c>
      <c r="E65" s="364">
        <v>0</v>
      </c>
      <c r="F65" s="366">
        <f t="shared" si="1"/>
        <v>0</v>
      </c>
    </row>
    <row r="66" spans="2:6" ht="12.75">
      <c r="B66" s="124" t="s">
        <v>307</v>
      </c>
      <c r="C66" s="112">
        <v>393</v>
      </c>
      <c r="D66" s="364">
        <v>0</v>
      </c>
      <c r="E66" s="364">
        <v>0</v>
      </c>
      <c r="F66" s="366">
        <f t="shared" si="1"/>
        <v>0</v>
      </c>
    </row>
    <row r="67" spans="2:6" ht="12.75">
      <c r="B67" s="120" t="s">
        <v>206</v>
      </c>
      <c r="C67" s="112">
        <v>394</v>
      </c>
      <c r="D67" s="364"/>
      <c r="E67" s="364">
        <v>0</v>
      </c>
      <c r="F67" s="366">
        <f t="shared" si="1"/>
        <v>0</v>
      </c>
    </row>
    <row r="68" spans="2:6" ht="12.75">
      <c r="B68" s="183" t="s">
        <v>308</v>
      </c>
      <c r="C68" s="112"/>
      <c r="D68" s="374">
        <f>SUM(D50:D67)</f>
        <v>385246.5388</v>
      </c>
      <c r="E68" s="374">
        <f>SUM(E50:E67)</f>
        <v>0</v>
      </c>
      <c r="F68" s="374">
        <f>SUM(F50:F67)</f>
        <v>385246.5388</v>
      </c>
    </row>
    <row r="69" spans="2:6" ht="12.75">
      <c r="B69" s="113"/>
      <c r="C69" s="114"/>
      <c r="D69" s="375"/>
      <c r="E69" s="375"/>
      <c r="F69" s="375"/>
    </row>
    <row r="70" spans="2:6" ht="12.75">
      <c r="B70" s="182" t="s">
        <v>416</v>
      </c>
      <c r="C70" s="116"/>
      <c r="D70" s="376"/>
      <c r="E70" s="376"/>
      <c r="F70" s="376"/>
    </row>
    <row r="71" spans="2:6" ht="12.75">
      <c r="B71" s="111" t="s">
        <v>309</v>
      </c>
      <c r="C71" s="112">
        <v>311</v>
      </c>
      <c r="D71" s="364">
        <v>0</v>
      </c>
      <c r="E71" s="364">
        <v>0</v>
      </c>
      <c r="F71" s="366">
        <f>D71-E71</f>
        <v>0</v>
      </c>
    </row>
    <row r="72" spans="2:6" ht="25.5">
      <c r="B72" s="111" t="s">
        <v>380</v>
      </c>
      <c r="C72" s="112">
        <v>320</v>
      </c>
      <c r="D72" s="364">
        <v>0</v>
      </c>
      <c r="E72" s="364">
        <v>0</v>
      </c>
      <c r="F72" s="366">
        <f>D72-E72</f>
        <v>0</v>
      </c>
    </row>
    <row r="73" spans="2:6" ht="25.5">
      <c r="B73" s="111" t="s">
        <v>348</v>
      </c>
      <c r="C73" s="112">
        <v>331</v>
      </c>
      <c r="D73" s="390">
        <f>'Corporation Loss Continuity'!I11</f>
        <v>0</v>
      </c>
      <c r="E73" s="364">
        <v>0</v>
      </c>
      <c r="F73" s="366">
        <f>D73-E73</f>
        <v>0</v>
      </c>
    </row>
    <row r="74" spans="2:6" ht="25.5">
      <c r="B74" s="111" t="s">
        <v>349</v>
      </c>
      <c r="C74" s="112">
        <v>332</v>
      </c>
      <c r="D74" s="364">
        <v>0</v>
      </c>
      <c r="E74" s="364">
        <v>0</v>
      </c>
      <c r="F74" s="366">
        <f>D74-E74</f>
        <v>0</v>
      </c>
    </row>
    <row r="75" spans="2:6" ht="25.5">
      <c r="B75" s="111" t="s">
        <v>310</v>
      </c>
      <c r="C75" s="112">
        <v>335</v>
      </c>
      <c r="D75" s="364">
        <v>0</v>
      </c>
      <c r="E75" s="364">
        <v>0</v>
      </c>
      <c r="F75" s="366">
        <f>D75-E75</f>
        <v>0</v>
      </c>
    </row>
    <row r="76" spans="2:6" ht="12.75">
      <c r="B76" s="183" t="s">
        <v>428</v>
      </c>
      <c r="C76" s="32"/>
      <c r="D76" s="324">
        <f>SUM(D71:D75)</f>
        <v>0</v>
      </c>
      <c r="E76" s="324">
        <f>SUM(E71:E75)</f>
        <v>0</v>
      </c>
      <c r="F76" s="324">
        <f>SUM(F71:F75)</f>
        <v>0</v>
      </c>
    </row>
    <row r="77" spans="4:6" ht="12.75">
      <c r="D77" s="377"/>
      <c r="E77" s="377"/>
      <c r="F77" s="377"/>
    </row>
    <row r="78" spans="2:6" ht="34.5" customHeight="1">
      <c r="B78" s="185" t="s">
        <v>404</v>
      </c>
      <c r="C78" s="186"/>
      <c r="D78" s="378">
        <f>D47-D68+D76</f>
        <v>-51023.168533333344</v>
      </c>
      <c r="E78" s="378">
        <f>E47-E68+E76</f>
        <v>0</v>
      </c>
      <c r="F78" s="378">
        <f>F47-F68+F76</f>
        <v>-51023.168533333344</v>
      </c>
    </row>
  </sheetData>
  <sheetProtection/>
  <mergeCells count="3">
    <mergeCell ref="B3:F3"/>
    <mergeCell ref="A1:F1"/>
    <mergeCell ref="A2:F2"/>
  </mergeCells>
  <printOptions/>
  <pageMargins left="0.7480314960629921" right="0.7480314960629921" top="0.5905511811023623" bottom="0.1968503937007874" header="0.31496062992125984" footer="0.11811023622047245"/>
  <pageSetup fitToHeight="1" fitToWidth="1" horizontalDpi="355" verticalDpi="355" orientation="portrait" scale="58" r:id="rId3"/>
  <headerFooter alignWithMargins="0">
    <oddFooter>&amp;L&amp;A</oddFooter>
  </headerFooter>
  <rowBreaks count="1" manualBreakCount="1">
    <brk id="47" max="5" man="1"/>
  </row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8"/>
  <sheetViews>
    <sheetView zoomScalePageLayoutView="0" workbookViewId="0" topLeftCell="B1">
      <selection activeCell="B66" sqref="B66"/>
    </sheetView>
  </sheetViews>
  <sheetFormatPr defaultColWidth="9.140625" defaultRowHeight="12.75"/>
  <cols>
    <col min="1" max="1" width="1.57421875" style="0" customWidth="1"/>
    <col min="2" max="2" width="43.8515625" style="0" customWidth="1"/>
    <col min="3" max="3" width="11.7109375" style="0" bestFit="1" customWidth="1"/>
    <col min="4" max="4" width="14.57421875" style="0" bestFit="1" customWidth="1"/>
    <col min="5" max="5" width="15.7109375" style="0" bestFit="1" customWidth="1"/>
    <col min="6" max="6" width="15.28125" style="0" customWidth="1"/>
  </cols>
  <sheetData>
    <row r="1" spans="2:6" ht="12.75">
      <c r="B1" s="519">
        <f>'Trial Balance'!A1:F1</f>
        <v>0</v>
      </c>
      <c r="C1" s="519"/>
      <c r="D1" s="519"/>
      <c r="E1" s="519"/>
      <c r="F1" s="519"/>
    </row>
    <row r="2" spans="2:6" ht="12.75">
      <c r="B2" s="519">
        <f>'Trial Balance'!A2:F2</f>
        <v>0</v>
      </c>
      <c r="C2" s="519"/>
      <c r="D2" s="519"/>
      <c r="E2" s="519"/>
      <c r="F2" s="519"/>
    </row>
    <row r="3" spans="2:6" ht="20.25">
      <c r="B3" s="643" t="s">
        <v>866</v>
      </c>
      <c r="C3" s="643"/>
      <c r="D3" s="643"/>
      <c r="E3" s="643"/>
      <c r="F3" s="643"/>
    </row>
    <row r="4" spans="2:6" ht="38.25">
      <c r="B4" s="117" t="s">
        <v>311</v>
      </c>
      <c r="C4" s="126" t="s">
        <v>483</v>
      </c>
      <c r="D4" s="361" t="s">
        <v>484</v>
      </c>
      <c r="E4" s="361" t="s">
        <v>485</v>
      </c>
      <c r="F4" s="361" t="s">
        <v>364</v>
      </c>
    </row>
    <row r="5" spans="2:6" ht="12.75">
      <c r="B5" s="105" t="s">
        <v>486</v>
      </c>
      <c r="C5" s="106"/>
      <c r="D5" s="362"/>
      <c r="E5" s="363"/>
      <c r="F5" s="363"/>
    </row>
    <row r="6" spans="2:6" ht="12.75">
      <c r="B6" s="118" t="s">
        <v>487</v>
      </c>
      <c r="C6" s="112">
        <v>103</v>
      </c>
      <c r="D6" s="364">
        <v>0</v>
      </c>
      <c r="E6" s="365">
        <v>0</v>
      </c>
      <c r="F6" s="366">
        <f aca="true" t="shared" si="0" ref="F6:F46">D6-E6</f>
        <v>0</v>
      </c>
    </row>
    <row r="7" spans="2:6" ht="12.75">
      <c r="B7" s="118" t="s">
        <v>488</v>
      </c>
      <c r="C7" s="112">
        <v>104</v>
      </c>
      <c r="D7" s="367">
        <f>+'FA Continuity 2012'!J50</f>
        <v>364399.4533333333</v>
      </c>
      <c r="E7" s="364">
        <v>0</v>
      </c>
      <c r="F7" s="366">
        <f t="shared" si="0"/>
        <v>364399.4533333333</v>
      </c>
    </row>
    <row r="8" spans="2:6" ht="12.75">
      <c r="B8" s="118" t="s">
        <v>489</v>
      </c>
      <c r="C8" s="112">
        <v>106</v>
      </c>
      <c r="D8" s="364">
        <v>0</v>
      </c>
      <c r="E8" s="364">
        <v>0</v>
      </c>
      <c r="F8" s="366">
        <f t="shared" si="0"/>
        <v>0</v>
      </c>
    </row>
    <row r="9" spans="2:6" ht="25.5">
      <c r="B9" s="118" t="s">
        <v>490</v>
      </c>
      <c r="C9" s="112">
        <v>107</v>
      </c>
      <c r="D9" s="364">
        <v>0</v>
      </c>
      <c r="E9" s="365">
        <v>0</v>
      </c>
      <c r="F9" s="366">
        <f t="shared" si="0"/>
        <v>0</v>
      </c>
    </row>
    <row r="10" spans="2:6" ht="25.5">
      <c r="B10" s="118" t="s">
        <v>491</v>
      </c>
      <c r="C10" s="112">
        <v>108</v>
      </c>
      <c r="D10" s="364">
        <v>0</v>
      </c>
      <c r="E10" s="365">
        <v>0</v>
      </c>
      <c r="F10" s="366">
        <f t="shared" si="0"/>
        <v>0</v>
      </c>
    </row>
    <row r="11" spans="2:6" ht="25.5">
      <c r="B11" s="118" t="s">
        <v>492</v>
      </c>
      <c r="C11" s="112">
        <v>109</v>
      </c>
      <c r="D11" s="364"/>
      <c r="E11" s="364">
        <v>0</v>
      </c>
      <c r="F11" s="366">
        <f t="shared" si="0"/>
        <v>0</v>
      </c>
    </row>
    <row r="12" spans="2:6" ht="12.75">
      <c r="B12" s="118" t="s">
        <v>493</v>
      </c>
      <c r="C12" s="112">
        <v>110</v>
      </c>
      <c r="D12" s="364">
        <v>0</v>
      </c>
      <c r="E12" s="364">
        <v>0</v>
      </c>
      <c r="F12" s="366">
        <f t="shared" si="0"/>
        <v>0</v>
      </c>
    </row>
    <row r="13" spans="2:6" ht="12.75">
      <c r="B13" s="118" t="s">
        <v>494</v>
      </c>
      <c r="C13" s="112">
        <v>111</v>
      </c>
      <c r="D13" s="364">
        <v>0</v>
      </c>
      <c r="E13" s="365">
        <v>0</v>
      </c>
      <c r="F13" s="366">
        <f t="shared" si="0"/>
        <v>0</v>
      </c>
    </row>
    <row r="14" spans="2:6" ht="12.75">
      <c r="B14" s="118" t="s">
        <v>495</v>
      </c>
      <c r="C14" s="112">
        <v>112</v>
      </c>
      <c r="D14" s="364">
        <v>0</v>
      </c>
      <c r="E14" s="364">
        <v>0</v>
      </c>
      <c r="F14" s="366">
        <f t="shared" si="0"/>
        <v>0</v>
      </c>
    </row>
    <row r="15" spans="2:6" ht="12.75">
      <c r="B15" s="118" t="s">
        <v>496</v>
      </c>
      <c r="C15" s="112">
        <v>113</v>
      </c>
      <c r="D15" s="364">
        <v>0</v>
      </c>
      <c r="E15" s="365">
        <v>0</v>
      </c>
      <c r="F15" s="366">
        <f t="shared" si="0"/>
        <v>0</v>
      </c>
    </row>
    <row r="16" spans="2:6" ht="12.75">
      <c r="B16" s="118" t="s">
        <v>497</v>
      </c>
      <c r="C16" s="112">
        <v>114</v>
      </c>
      <c r="D16" s="364">
        <v>0</v>
      </c>
      <c r="E16" s="364">
        <v>0</v>
      </c>
      <c r="F16" s="366">
        <f t="shared" si="0"/>
        <v>0</v>
      </c>
    </row>
    <row r="17" spans="2:6" ht="12.75">
      <c r="B17" s="118" t="s">
        <v>498</v>
      </c>
      <c r="C17" s="112">
        <v>116</v>
      </c>
      <c r="D17" s="364">
        <v>0</v>
      </c>
      <c r="E17" s="364">
        <v>0</v>
      </c>
      <c r="F17" s="366">
        <f t="shared" si="0"/>
        <v>0</v>
      </c>
    </row>
    <row r="18" spans="2:6" ht="25.5">
      <c r="B18" s="118" t="s">
        <v>499</v>
      </c>
      <c r="C18" s="112">
        <v>118</v>
      </c>
      <c r="D18" s="364">
        <v>0</v>
      </c>
      <c r="E18" s="364">
        <v>0</v>
      </c>
      <c r="F18" s="366">
        <f t="shared" si="0"/>
        <v>0</v>
      </c>
    </row>
    <row r="19" spans="2:6" ht="12.75">
      <c r="B19" s="118" t="s">
        <v>500</v>
      </c>
      <c r="C19" s="112">
        <v>119</v>
      </c>
      <c r="D19" s="364">
        <v>0</v>
      </c>
      <c r="E19" s="364">
        <v>0</v>
      </c>
      <c r="F19" s="366">
        <f t="shared" si="0"/>
        <v>0</v>
      </c>
    </row>
    <row r="20" spans="2:6" ht="12.75">
      <c r="B20" s="118" t="s">
        <v>501</v>
      </c>
      <c r="C20" s="112">
        <v>120</v>
      </c>
      <c r="D20" s="364"/>
      <c r="E20" s="364">
        <v>0</v>
      </c>
      <c r="F20" s="366">
        <f t="shared" si="0"/>
        <v>0</v>
      </c>
    </row>
    <row r="21" spans="2:6" ht="25.5">
      <c r="B21" s="118" t="s">
        <v>502</v>
      </c>
      <c r="C21" s="112">
        <v>121</v>
      </c>
      <c r="D21" s="364"/>
      <c r="E21" s="364">
        <v>0</v>
      </c>
      <c r="F21" s="366">
        <f t="shared" si="0"/>
        <v>0</v>
      </c>
    </row>
    <row r="22" spans="2:6" ht="12.75">
      <c r="B22" s="118" t="s">
        <v>503</v>
      </c>
      <c r="C22" s="112">
        <v>122</v>
      </c>
      <c r="D22" s="364">
        <v>0</v>
      </c>
      <c r="E22" s="364">
        <v>0</v>
      </c>
      <c r="F22" s="366">
        <f t="shared" si="0"/>
        <v>0</v>
      </c>
    </row>
    <row r="23" spans="2:6" ht="12.75">
      <c r="B23" s="118" t="s">
        <v>265</v>
      </c>
      <c r="C23" s="112">
        <v>123</v>
      </c>
      <c r="D23" s="364">
        <v>0</v>
      </c>
      <c r="E23" s="364">
        <v>0</v>
      </c>
      <c r="F23" s="366">
        <f t="shared" si="0"/>
        <v>0</v>
      </c>
    </row>
    <row r="24" spans="2:6" ht="12.75">
      <c r="B24" s="118" t="s">
        <v>266</v>
      </c>
      <c r="C24" s="112">
        <v>124</v>
      </c>
      <c r="D24" s="364">
        <v>0</v>
      </c>
      <c r="E24" s="364">
        <v>0</v>
      </c>
      <c r="F24" s="366">
        <f t="shared" si="0"/>
        <v>0</v>
      </c>
    </row>
    <row r="25" spans="2:6" ht="12.75">
      <c r="B25" s="118" t="s">
        <v>345</v>
      </c>
      <c r="C25" s="119">
        <v>125</v>
      </c>
      <c r="D25" s="364">
        <f>'Reserves Continuity'!C45</f>
        <v>0</v>
      </c>
      <c r="E25" s="368">
        <v>0</v>
      </c>
      <c r="F25" s="366">
        <f t="shared" si="0"/>
        <v>0</v>
      </c>
    </row>
    <row r="26" spans="2:6" ht="25.5">
      <c r="B26" s="118" t="s">
        <v>267</v>
      </c>
      <c r="C26" s="112">
        <v>126</v>
      </c>
      <c r="D26" s="367">
        <f>'Reserves Continuity'!F64</f>
        <v>0</v>
      </c>
      <c r="E26" s="365">
        <v>0</v>
      </c>
      <c r="F26" s="366">
        <f t="shared" si="0"/>
        <v>0</v>
      </c>
    </row>
    <row r="27" spans="2:6" ht="25.5">
      <c r="B27" s="118" t="s">
        <v>268</v>
      </c>
      <c r="C27" s="112">
        <v>127</v>
      </c>
      <c r="D27" s="364">
        <v>0</v>
      </c>
      <c r="E27" s="364">
        <v>0</v>
      </c>
      <c r="F27" s="366">
        <f t="shared" si="0"/>
        <v>0</v>
      </c>
    </row>
    <row r="28" spans="2:6" ht="12.75">
      <c r="B28" s="118" t="s">
        <v>272</v>
      </c>
      <c r="C28" s="112">
        <v>205</v>
      </c>
      <c r="D28" s="364">
        <v>0</v>
      </c>
      <c r="E28" s="364">
        <v>0</v>
      </c>
      <c r="F28" s="366">
        <f t="shared" si="0"/>
        <v>0</v>
      </c>
    </row>
    <row r="29" spans="2:6" ht="12.75">
      <c r="B29" s="118" t="s">
        <v>273</v>
      </c>
      <c r="C29" s="112">
        <v>206</v>
      </c>
      <c r="D29" s="364">
        <v>0</v>
      </c>
      <c r="E29" s="364">
        <v>0</v>
      </c>
      <c r="F29" s="366">
        <f t="shared" si="0"/>
        <v>0</v>
      </c>
    </row>
    <row r="30" spans="2:6" ht="12.75">
      <c r="B30" s="118" t="s">
        <v>274</v>
      </c>
      <c r="C30" s="112">
        <v>208</v>
      </c>
      <c r="D30" s="364">
        <v>0</v>
      </c>
      <c r="E30" s="364">
        <v>0</v>
      </c>
      <c r="F30" s="366">
        <f t="shared" si="0"/>
        <v>0</v>
      </c>
    </row>
    <row r="31" spans="2:6" ht="25.5">
      <c r="B31" s="118" t="s">
        <v>275</v>
      </c>
      <c r="C31" s="112">
        <v>212</v>
      </c>
      <c r="D31" s="364">
        <v>0</v>
      </c>
      <c r="E31" s="364">
        <v>0</v>
      </c>
      <c r="F31" s="366">
        <f t="shared" si="0"/>
        <v>0</v>
      </c>
    </row>
    <row r="32" spans="2:6" ht="12.75">
      <c r="B32" s="118" t="s">
        <v>276</v>
      </c>
      <c r="C32" s="112">
        <v>216</v>
      </c>
      <c r="D32" s="364">
        <v>0</v>
      </c>
      <c r="E32" s="364">
        <v>0</v>
      </c>
      <c r="F32" s="366">
        <f t="shared" si="0"/>
        <v>0</v>
      </c>
    </row>
    <row r="33" spans="2:6" ht="12.75">
      <c r="B33" s="118" t="s">
        <v>277</v>
      </c>
      <c r="C33" s="112">
        <v>220</v>
      </c>
      <c r="D33" s="364">
        <v>0</v>
      </c>
      <c r="E33" s="364">
        <v>0</v>
      </c>
      <c r="F33" s="366">
        <f t="shared" si="0"/>
        <v>0</v>
      </c>
    </row>
    <row r="34" spans="2:6" ht="12.75">
      <c r="B34" s="118" t="s">
        <v>278</v>
      </c>
      <c r="C34" s="112">
        <v>226</v>
      </c>
      <c r="D34" s="364">
        <v>0</v>
      </c>
      <c r="E34" s="364">
        <v>0</v>
      </c>
      <c r="F34" s="366">
        <f t="shared" si="0"/>
        <v>0</v>
      </c>
    </row>
    <row r="35" spans="2:6" ht="12.75">
      <c r="B35" s="118" t="s">
        <v>279</v>
      </c>
      <c r="C35" s="112">
        <v>227</v>
      </c>
      <c r="D35" s="364">
        <v>0</v>
      </c>
      <c r="E35" s="364">
        <v>0</v>
      </c>
      <c r="F35" s="366">
        <f t="shared" si="0"/>
        <v>0</v>
      </c>
    </row>
    <row r="36" spans="2:6" ht="12.75">
      <c r="B36" s="118" t="s">
        <v>280</v>
      </c>
      <c r="C36" s="112">
        <v>228</v>
      </c>
      <c r="D36" s="364">
        <v>0</v>
      </c>
      <c r="E36" s="364">
        <v>0</v>
      </c>
      <c r="F36" s="366">
        <f t="shared" si="0"/>
        <v>0</v>
      </c>
    </row>
    <row r="37" spans="2:6" ht="12.75">
      <c r="B37" s="118" t="s">
        <v>281</v>
      </c>
      <c r="C37" s="112">
        <v>231</v>
      </c>
      <c r="D37" s="364">
        <v>0</v>
      </c>
      <c r="E37" s="364">
        <v>0</v>
      </c>
      <c r="F37" s="366">
        <f t="shared" si="0"/>
        <v>0</v>
      </c>
    </row>
    <row r="38" spans="2:6" ht="12.75">
      <c r="B38" s="118" t="s">
        <v>282</v>
      </c>
      <c r="C38" s="112">
        <v>235</v>
      </c>
      <c r="D38" s="364">
        <v>0</v>
      </c>
      <c r="E38" s="364">
        <v>0</v>
      </c>
      <c r="F38" s="366">
        <f t="shared" si="0"/>
        <v>0</v>
      </c>
    </row>
    <row r="39" spans="2:6" ht="12.75">
      <c r="B39" s="118" t="s">
        <v>283</v>
      </c>
      <c r="C39" s="112">
        <v>236</v>
      </c>
      <c r="D39" s="364">
        <v>0</v>
      </c>
      <c r="E39" s="364">
        <v>0</v>
      </c>
      <c r="F39" s="366">
        <f t="shared" si="0"/>
        <v>0</v>
      </c>
    </row>
    <row r="40" spans="2:6" ht="38.25">
      <c r="B40" s="118" t="s">
        <v>284</v>
      </c>
      <c r="C40" s="112">
        <v>237</v>
      </c>
      <c r="D40" s="364">
        <v>0</v>
      </c>
      <c r="E40" s="364">
        <v>0</v>
      </c>
      <c r="F40" s="366">
        <f t="shared" si="0"/>
        <v>0</v>
      </c>
    </row>
    <row r="41" spans="2:6" ht="12.75">
      <c r="B41" s="118" t="s">
        <v>285</v>
      </c>
      <c r="C41" s="112">
        <v>290</v>
      </c>
      <c r="D41" s="364">
        <v>0</v>
      </c>
      <c r="E41" s="364">
        <v>0</v>
      </c>
      <c r="F41" s="366">
        <f t="shared" si="0"/>
        <v>0</v>
      </c>
    </row>
    <row r="42" spans="2:6" ht="25.5">
      <c r="B42" s="118" t="s">
        <v>287</v>
      </c>
      <c r="C42" s="112">
        <v>291</v>
      </c>
      <c r="D42" s="364">
        <v>0</v>
      </c>
      <c r="E42" s="364">
        <v>0</v>
      </c>
      <c r="F42" s="366">
        <f t="shared" si="0"/>
        <v>0</v>
      </c>
    </row>
    <row r="43" spans="2:6" ht="12.75">
      <c r="B43" s="118" t="s">
        <v>288</v>
      </c>
      <c r="C43" s="112">
        <v>292</v>
      </c>
      <c r="D43" s="364">
        <v>0</v>
      </c>
      <c r="E43" s="364">
        <v>0</v>
      </c>
      <c r="F43" s="366">
        <f t="shared" si="0"/>
        <v>0</v>
      </c>
    </row>
    <row r="44" spans="2:6" ht="12.75">
      <c r="B44" s="118" t="s">
        <v>289</v>
      </c>
      <c r="C44" s="112">
        <v>293</v>
      </c>
      <c r="D44" s="364">
        <v>0</v>
      </c>
      <c r="E44" s="364">
        <v>0</v>
      </c>
      <c r="F44" s="366">
        <f t="shared" si="0"/>
        <v>0</v>
      </c>
    </row>
    <row r="45" spans="2:6" ht="12.75">
      <c r="B45" s="120" t="s">
        <v>290</v>
      </c>
      <c r="C45" s="112">
        <v>294</v>
      </c>
      <c r="D45" s="364"/>
      <c r="E45" s="364">
        <v>0</v>
      </c>
      <c r="F45" s="366">
        <f t="shared" si="0"/>
        <v>0</v>
      </c>
    </row>
    <row r="46" spans="2:6" ht="13.5" thickBot="1">
      <c r="B46" s="120" t="s">
        <v>817</v>
      </c>
      <c r="C46" s="121">
        <v>295</v>
      </c>
      <c r="D46" s="367">
        <f>'Capital Tax &amp; Expense Schedules'!H25</f>
        <v>0</v>
      </c>
      <c r="E46" s="369">
        <v>0</v>
      </c>
      <c r="F46" s="366">
        <f t="shared" si="0"/>
        <v>0</v>
      </c>
    </row>
    <row r="47" spans="2:6" ht="13.5" thickBot="1">
      <c r="B47" s="122" t="s">
        <v>291</v>
      </c>
      <c r="C47" s="123"/>
      <c r="D47" s="370">
        <f>SUM(D6:D46)</f>
        <v>364399.4533333333</v>
      </c>
      <c r="E47" s="370">
        <f>SUM(E6:E46)</f>
        <v>0</v>
      </c>
      <c r="F47" s="370">
        <f>SUM(F6:F46)</f>
        <v>364399.4533333333</v>
      </c>
    </row>
    <row r="48" spans="2:6" ht="24.75" customHeight="1">
      <c r="B48" s="107"/>
      <c r="C48" s="108"/>
      <c r="D48" s="371"/>
      <c r="E48" s="371"/>
      <c r="F48" s="371"/>
    </row>
    <row r="49" spans="2:6" ht="12.75">
      <c r="B49" s="109" t="s">
        <v>292</v>
      </c>
      <c r="C49" s="110"/>
      <c r="D49" s="372"/>
      <c r="E49" s="372"/>
      <c r="F49" s="372"/>
    </row>
    <row r="50" spans="2:6" ht="25.5">
      <c r="B50" s="118" t="s">
        <v>293</v>
      </c>
      <c r="C50" s="112">
        <v>401</v>
      </c>
      <c r="D50" s="364"/>
      <c r="E50" s="364">
        <v>0</v>
      </c>
      <c r="F50" s="366">
        <f aca="true" t="shared" si="1" ref="F50:F67">D50-E50</f>
        <v>0</v>
      </c>
    </row>
    <row r="51" spans="2:6" ht="12.75">
      <c r="B51" s="118" t="s">
        <v>294</v>
      </c>
      <c r="C51" s="112">
        <v>402</v>
      </c>
      <c r="D51" s="364">
        <v>0</v>
      </c>
      <c r="E51" s="364">
        <v>0</v>
      </c>
      <c r="F51" s="366">
        <f t="shared" si="1"/>
        <v>0</v>
      </c>
    </row>
    <row r="52" spans="2:6" ht="12.75">
      <c r="B52" s="118" t="s">
        <v>295</v>
      </c>
      <c r="C52" s="112">
        <v>403</v>
      </c>
      <c r="D52" s="390">
        <f>'CCA Continuity 2012'!N24</f>
        <v>423196.77599600004</v>
      </c>
      <c r="E52" s="364">
        <v>0</v>
      </c>
      <c r="F52" s="366">
        <f t="shared" si="1"/>
        <v>423196.77599600004</v>
      </c>
    </row>
    <row r="53" spans="2:6" ht="12.75">
      <c r="B53" s="118" t="s">
        <v>296</v>
      </c>
      <c r="C53" s="112">
        <v>404</v>
      </c>
      <c r="D53" s="364">
        <v>0</v>
      </c>
      <c r="E53" s="364">
        <v>0</v>
      </c>
      <c r="F53" s="366">
        <f t="shared" si="1"/>
        <v>0</v>
      </c>
    </row>
    <row r="54" spans="2:6" ht="25.5">
      <c r="B54" s="118" t="s">
        <v>297</v>
      </c>
      <c r="C54" s="112">
        <v>405</v>
      </c>
      <c r="D54" s="367">
        <f>'CCA Continuity 2012'!H63</f>
        <v>0</v>
      </c>
      <c r="E54" s="364">
        <v>0</v>
      </c>
      <c r="F54" s="366">
        <f t="shared" si="1"/>
        <v>0</v>
      </c>
    </row>
    <row r="55" spans="2:6" ht="12.75">
      <c r="B55" s="118" t="s">
        <v>298</v>
      </c>
      <c r="C55" s="112">
        <v>406</v>
      </c>
      <c r="D55" s="364">
        <v>0</v>
      </c>
      <c r="E55" s="364">
        <v>0</v>
      </c>
      <c r="F55" s="366">
        <f t="shared" si="1"/>
        <v>0</v>
      </c>
    </row>
    <row r="56" spans="2:6" ht="12.75">
      <c r="B56" s="118" t="s">
        <v>498</v>
      </c>
      <c r="C56" s="112">
        <v>409</v>
      </c>
      <c r="D56" s="364">
        <v>0</v>
      </c>
      <c r="E56" s="364">
        <v>0</v>
      </c>
      <c r="F56" s="366">
        <f t="shared" si="1"/>
        <v>0</v>
      </c>
    </row>
    <row r="57" spans="2:6" ht="25.5">
      <c r="B57" s="118" t="s">
        <v>299</v>
      </c>
      <c r="C57" s="112">
        <v>411</v>
      </c>
      <c r="D57" s="364">
        <v>0</v>
      </c>
      <c r="E57" s="364">
        <v>0</v>
      </c>
      <c r="F57" s="366">
        <f t="shared" si="1"/>
        <v>0</v>
      </c>
    </row>
    <row r="58" spans="2:6" ht="12.75">
      <c r="B58" s="118" t="s">
        <v>346</v>
      </c>
      <c r="C58" s="119">
        <v>413</v>
      </c>
      <c r="D58" s="367">
        <f>'Reserves Continuity'!F45</f>
        <v>0</v>
      </c>
      <c r="E58" s="368">
        <v>0</v>
      </c>
      <c r="F58" s="366">
        <f t="shared" si="1"/>
        <v>0</v>
      </c>
    </row>
    <row r="59" spans="2:6" ht="25.5">
      <c r="B59" s="118" t="s">
        <v>300</v>
      </c>
      <c r="C59" s="112">
        <v>414</v>
      </c>
      <c r="D59" s="373">
        <f>'Reserves Continuity'!C64</f>
        <v>0</v>
      </c>
      <c r="E59" s="365">
        <v>0</v>
      </c>
      <c r="F59" s="366">
        <f t="shared" si="1"/>
        <v>0</v>
      </c>
    </row>
    <row r="60" spans="2:6" ht="12.75">
      <c r="B60" s="118" t="s">
        <v>301</v>
      </c>
      <c r="C60" s="112">
        <v>416</v>
      </c>
      <c r="D60" s="364">
        <v>0</v>
      </c>
      <c r="E60" s="364">
        <v>0</v>
      </c>
      <c r="F60" s="366">
        <f t="shared" si="1"/>
        <v>0</v>
      </c>
    </row>
    <row r="61" spans="2:6" ht="12.75">
      <c r="B61" s="118" t="s">
        <v>302</v>
      </c>
      <c r="C61" s="112">
        <v>305</v>
      </c>
      <c r="D61" s="364">
        <v>0</v>
      </c>
      <c r="E61" s="364">
        <v>0</v>
      </c>
      <c r="F61" s="366">
        <f t="shared" si="1"/>
        <v>0</v>
      </c>
    </row>
    <row r="62" spans="2:6" ht="25.5">
      <c r="B62" s="118" t="s">
        <v>303</v>
      </c>
      <c r="C62" s="112">
        <v>306</v>
      </c>
      <c r="D62" s="364">
        <v>0</v>
      </c>
      <c r="E62" s="364">
        <v>0</v>
      </c>
      <c r="F62" s="366">
        <f t="shared" si="1"/>
        <v>0</v>
      </c>
    </row>
    <row r="63" spans="2:6" ht="25.5">
      <c r="B63" s="118" t="s">
        <v>304</v>
      </c>
      <c r="C63" s="112">
        <v>390</v>
      </c>
      <c r="D63" s="364">
        <v>0</v>
      </c>
      <c r="E63" s="364">
        <v>0</v>
      </c>
      <c r="F63" s="366">
        <f t="shared" si="1"/>
        <v>0</v>
      </c>
    </row>
    <row r="64" spans="2:6" ht="12.75">
      <c r="B64" s="118" t="s">
        <v>305</v>
      </c>
      <c r="C64" s="112">
        <v>391</v>
      </c>
      <c r="D64" s="364">
        <v>0</v>
      </c>
      <c r="E64" s="364">
        <v>0</v>
      </c>
      <c r="F64" s="366">
        <f t="shared" si="1"/>
        <v>0</v>
      </c>
    </row>
    <row r="65" spans="2:6" ht="25.5">
      <c r="B65" s="118" t="s">
        <v>306</v>
      </c>
      <c r="C65" s="112">
        <v>392</v>
      </c>
      <c r="D65" s="364">
        <v>0</v>
      </c>
      <c r="E65" s="364">
        <v>0</v>
      </c>
      <c r="F65" s="366">
        <f t="shared" si="1"/>
        <v>0</v>
      </c>
    </row>
    <row r="66" spans="2:6" ht="12.75">
      <c r="B66" s="124" t="s">
        <v>307</v>
      </c>
      <c r="C66" s="112">
        <v>393</v>
      </c>
      <c r="D66" s="364">
        <v>0</v>
      </c>
      <c r="E66" s="364">
        <v>0</v>
      </c>
      <c r="F66" s="366">
        <f t="shared" si="1"/>
        <v>0</v>
      </c>
    </row>
    <row r="67" spans="2:6" ht="12.75">
      <c r="B67" s="120" t="s">
        <v>206</v>
      </c>
      <c r="C67" s="112">
        <v>394</v>
      </c>
      <c r="D67" s="364">
        <v>0</v>
      </c>
      <c r="E67" s="364">
        <v>0</v>
      </c>
      <c r="F67" s="366">
        <f t="shared" si="1"/>
        <v>0</v>
      </c>
    </row>
    <row r="68" spans="2:6" ht="12.75">
      <c r="B68" s="125" t="s">
        <v>308</v>
      </c>
      <c r="C68" s="112"/>
      <c r="D68" s="374">
        <f>SUM(D50:D67)</f>
        <v>423196.77599600004</v>
      </c>
      <c r="E68" s="374">
        <f>SUM(E50:E67)</f>
        <v>0</v>
      </c>
      <c r="F68" s="374">
        <f>SUM(F50:F67)</f>
        <v>423196.77599600004</v>
      </c>
    </row>
    <row r="69" spans="2:6" ht="12.75">
      <c r="B69" s="113"/>
      <c r="C69" s="114"/>
      <c r="D69" s="375"/>
      <c r="E69" s="375"/>
      <c r="F69" s="375"/>
    </row>
    <row r="70" spans="2:6" ht="12.75">
      <c r="B70" s="115"/>
      <c r="C70" s="116"/>
      <c r="D70" s="376"/>
      <c r="E70" s="376"/>
      <c r="F70" s="376"/>
    </row>
    <row r="71" spans="2:6" ht="12.75">
      <c r="B71" s="111" t="s">
        <v>309</v>
      </c>
      <c r="C71" s="112">
        <v>311</v>
      </c>
      <c r="D71" s="364">
        <v>0</v>
      </c>
      <c r="E71" s="364">
        <v>0</v>
      </c>
      <c r="F71" s="366">
        <f>D71-E71</f>
        <v>0</v>
      </c>
    </row>
    <row r="72" spans="2:6" ht="25.5">
      <c r="B72" s="111" t="s">
        <v>380</v>
      </c>
      <c r="C72" s="112">
        <v>320</v>
      </c>
      <c r="D72" s="364">
        <v>0</v>
      </c>
      <c r="E72" s="364">
        <v>0</v>
      </c>
      <c r="F72" s="366">
        <f>D72-E72</f>
        <v>0</v>
      </c>
    </row>
    <row r="73" spans="2:6" ht="25.5">
      <c r="B73" s="111" t="s">
        <v>348</v>
      </c>
      <c r="C73" s="112">
        <v>331</v>
      </c>
      <c r="D73" s="367">
        <f>'Corporation Loss Continuity'!M11</f>
        <v>0</v>
      </c>
      <c r="E73" s="364">
        <v>0</v>
      </c>
      <c r="F73" s="366">
        <f>D73-E73</f>
        <v>0</v>
      </c>
    </row>
    <row r="74" spans="2:6" ht="25.5">
      <c r="B74" s="111" t="s">
        <v>349</v>
      </c>
      <c r="C74" s="112">
        <v>332</v>
      </c>
      <c r="D74" s="364">
        <v>0</v>
      </c>
      <c r="E74" s="364">
        <v>0</v>
      </c>
      <c r="F74" s="366">
        <f>D74-E74</f>
        <v>0</v>
      </c>
    </row>
    <row r="75" spans="2:6" ht="25.5">
      <c r="B75" s="111" t="s">
        <v>310</v>
      </c>
      <c r="C75" s="112">
        <v>335</v>
      </c>
      <c r="D75" s="364">
        <v>0</v>
      </c>
      <c r="E75" s="364">
        <v>0</v>
      </c>
      <c r="F75" s="366">
        <f>D75-E75</f>
        <v>0</v>
      </c>
    </row>
    <row r="76" spans="2:6" ht="12.75">
      <c r="B76" s="183" t="s">
        <v>428</v>
      </c>
      <c r="C76" s="32"/>
      <c r="D76" s="358">
        <f>SUM(D71:D75)</f>
        <v>0</v>
      </c>
      <c r="E76" s="358">
        <f>SUM(E71:E75)</f>
        <v>0</v>
      </c>
      <c r="F76" s="358">
        <f>SUM(F71:F75)</f>
        <v>0</v>
      </c>
    </row>
    <row r="77" spans="4:6" ht="12.75">
      <c r="D77" s="377"/>
      <c r="E77" s="377"/>
      <c r="F77" s="377"/>
    </row>
    <row r="78" spans="2:6" ht="12.75">
      <c r="B78" s="185" t="s">
        <v>404</v>
      </c>
      <c r="C78" s="186"/>
      <c r="D78" s="378">
        <f>D47-D68+D76</f>
        <v>-58797.32266266673</v>
      </c>
      <c r="E78" s="378">
        <f>E47-E68+E76</f>
        <v>0</v>
      </c>
      <c r="F78" s="378">
        <f>F47-F68+F76</f>
        <v>-58797.32266266673</v>
      </c>
    </row>
  </sheetData>
  <sheetProtection/>
  <mergeCells count="3">
    <mergeCell ref="B3:F3"/>
    <mergeCell ref="B1:F1"/>
    <mergeCell ref="B2:F2"/>
  </mergeCells>
  <printOptions/>
  <pageMargins left="0.7480314960629921" right="0.7480314960629921" top="0.5905511811023623" bottom="0.1968503937007874" header="0.31496062992125984" footer="0.11811023622047245"/>
  <pageSetup fitToHeight="1" fitToWidth="1" horizontalDpi="355" verticalDpi="355" orientation="portrait" scale="58" r:id="rId3"/>
  <headerFooter alignWithMargins="0">
    <oddFooter>&amp;L&amp;A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80"/>
  <sheetViews>
    <sheetView zoomScalePageLayoutView="0" workbookViewId="0" topLeftCell="A58">
      <selection activeCell="H15" sqref="H15"/>
    </sheetView>
  </sheetViews>
  <sheetFormatPr defaultColWidth="9.140625" defaultRowHeight="12.75"/>
  <cols>
    <col min="1" max="1" width="46.7109375" style="0" customWidth="1"/>
    <col min="2" max="2" width="14.8515625" style="0" customWidth="1"/>
    <col min="3" max="3" width="16.421875" style="0" customWidth="1"/>
    <col min="4" max="4" width="20.8515625" style="0" customWidth="1"/>
    <col min="5" max="5" width="1.57421875" style="0" customWidth="1"/>
    <col min="6" max="6" width="0" style="0" hidden="1" customWidth="1"/>
    <col min="7" max="7" width="10.7109375" style="0" bestFit="1" customWidth="1"/>
    <col min="8" max="8" width="17.140625" style="0" customWidth="1"/>
    <col min="9" max="9" width="10.28125" style="0" bestFit="1" customWidth="1"/>
  </cols>
  <sheetData>
    <row r="1" spans="1:4" ht="12.75">
      <c r="A1" s="519" t="str">
        <f>'Trial Balance'!A1:F1</f>
        <v>Rideau St. Lawrence Distribution Inc.</v>
      </c>
      <c r="B1" s="519"/>
      <c r="C1" s="519"/>
      <c r="D1" s="519"/>
    </row>
    <row r="2" spans="1:4" ht="12.75">
      <c r="A2" s="519" t="str">
        <f>'Trial Balance'!A2:F2</f>
        <v> License Number ED-2003-0003, File Number EB-2011-0274</v>
      </c>
      <c r="B2" s="519"/>
      <c r="C2" s="519"/>
      <c r="D2" s="519"/>
    </row>
    <row r="3" spans="1:4" ht="15.75">
      <c r="A3" s="607" t="str">
        <f>Notes!B4</f>
        <v>Rideau St. Lawrence Distribution Inc.</v>
      </c>
      <c r="B3" s="607"/>
      <c r="C3" s="607"/>
      <c r="D3" s="607"/>
    </row>
    <row r="4" spans="1:4" ht="16.5" thickBot="1">
      <c r="A4" s="607" t="s">
        <v>392</v>
      </c>
      <c r="B4" s="607"/>
      <c r="C4" s="607"/>
      <c r="D4" s="607"/>
    </row>
    <row r="5" spans="1:9" s="16" customFormat="1" ht="30">
      <c r="A5" s="292" t="s">
        <v>174</v>
      </c>
      <c r="B5" s="293" t="s">
        <v>840</v>
      </c>
      <c r="C5" s="293" t="s">
        <v>838</v>
      </c>
      <c r="D5" s="294" t="s">
        <v>839</v>
      </c>
      <c r="G5"/>
      <c r="H5"/>
      <c r="I5"/>
    </row>
    <row r="6" spans="1:4" ht="12.75">
      <c r="A6" s="295" t="s">
        <v>393</v>
      </c>
      <c r="B6" s="290"/>
      <c r="C6" s="290"/>
      <c r="D6" s="296"/>
    </row>
    <row r="7" spans="1:7" ht="12.75">
      <c r="A7" s="297" t="s">
        <v>221</v>
      </c>
      <c r="B7" s="291"/>
      <c r="C7" s="284"/>
      <c r="D7" s="473">
        <f>C67</f>
        <v>465504.9780897886</v>
      </c>
      <c r="G7" s="428">
        <f>+C67</f>
        <v>465504.9780897886</v>
      </c>
    </row>
    <row r="8" spans="1:4" ht="12.75">
      <c r="A8" s="297" t="s">
        <v>222</v>
      </c>
      <c r="B8" s="284">
        <f>-'2011 Income Statement'!B31</f>
        <v>1951875.6821998083</v>
      </c>
      <c r="C8" s="284">
        <f>'[8]2012 Test Yr On Existing Rates'!$J$17</f>
        <v>1957800.2304299346</v>
      </c>
      <c r="D8" s="298">
        <f>+C8</f>
        <v>1957800.2304299346</v>
      </c>
    </row>
    <row r="9" spans="1:4" ht="12.75">
      <c r="A9" s="297" t="s">
        <v>223</v>
      </c>
      <c r="B9" s="284">
        <f>-'2011 Income Statement'!B43</f>
        <v>171953.28</v>
      </c>
      <c r="C9" s="284">
        <f>-'Revenue Requirement'!F49</f>
        <v>207543</v>
      </c>
      <c r="D9" s="298">
        <f>C9</f>
        <v>207543</v>
      </c>
    </row>
    <row r="10" spans="1:7" ht="12.75">
      <c r="A10" s="299" t="s">
        <v>394</v>
      </c>
      <c r="B10" s="285">
        <f>B8+B9+B7</f>
        <v>2123828.962199808</v>
      </c>
      <c r="C10" s="285">
        <f>C8+C9+C7</f>
        <v>2165343.2304299343</v>
      </c>
      <c r="D10" s="300">
        <f>D8+D9+D7</f>
        <v>2630848.208519723</v>
      </c>
      <c r="G10" s="467">
        <f>D10</f>
        <v>2630848.208519723</v>
      </c>
    </row>
    <row r="11" spans="1:4" ht="6" customHeight="1">
      <c r="A11" s="297"/>
      <c r="B11" s="286"/>
      <c r="C11" s="286"/>
      <c r="D11" s="301"/>
    </row>
    <row r="12" spans="1:7" ht="12.75">
      <c r="A12" s="295" t="s">
        <v>395</v>
      </c>
      <c r="B12" s="286"/>
      <c r="C12" s="286"/>
      <c r="D12" s="301"/>
      <c r="G12" s="468">
        <f>C10</f>
        <v>2165343.2304299343</v>
      </c>
    </row>
    <row r="13" spans="1:4" ht="12.75">
      <c r="A13" s="297" t="s">
        <v>445</v>
      </c>
      <c r="B13" s="284">
        <f>+'2011 Income Statement'!B143+'2011 Income Statement'!B172+'2011 Income Statement'!B151</f>
        <v>1094764</v>
      </c>
      <c r="C13" s="284">
        <f>'2012 Income Statement'!B143+'2012 Income Statement'!B151+'2012 Income Statement'!B172</f>
        <v>1126500</v>
      </c>
      <c r="D13" s="298">
        <f aca="true" t="shared" si="0" ref="D13:D18">C13</f>
        <v>1126500</v>
      </c>
    </row>
    <row r="14" spans="1:4" ht="12.75">
      <c r="A14" s="297" t="s">
        <v>224</v>
      </c>
      <c r="B14" s="284">
        <f>'2011 Income Statement'!B111+'2011 Income Statement'!B132</f>
        <v>711745.4299999999</v>
      </c>
      <c r="C14" s="284">
        <f>'2012 Income Statement'!B111+'2012 Income Statement'!B132</f>
        <v>693500</v>
      </c>
      <c r="D14" s="298">
        <f t="shared" si="0"/>
        <v>693500</v>
      </c>
    </row>
    <row r="15" spans="1:4" ht="12.75">
      <c r="A15" s="297" t="s">
        <v>225</v>
      </c>
      <c r="B15" s="284">
        <f>'2011 Income Statement'!B183</f>
        <v>334223.37026666664</v>
      </c>
      <c r="C15" s="284">
        <f>'2012 Income Statement'!B183</f>
        <v>337176.76335881406</v>
      </c>
      <c r="D15" s="298">
        <f t="shared" si="0"/>
        <v>337176.76335881406</v>
      </c>
    </row>
    <row r="16" spans="1:4" ht="12.75">
      <c r="A16" s="297" t="s">
        <v>226</v>
      </c>
      <c r="B16" s="284">
        <f>'2011 Income Statement'!B200</f>
        <v>22400</v>
      </c>
      <c r="C16" s="284">
        <f>'2012 Income Statement'!B200</f>
        <v>23300</v>
      </c>
      <c r="D16" s="298">
        <f t="shared" si="0"/>
        <v>23300</v>
      </c>
    </row>
    <row r="17" spans="1:4" ht="12.75">
      <c r="A17" s="297" t="s">
        <v>227</v>
      </c>
      <c r="B17" s="284">
        <f>'Capital Tax &amp; Expense Schedules'!C12</f>
        <v>0</v>
      </c>
      <c r="C17" s="284">
        <f>+'2012 Rev Deficiency'!C35</f>
        <v>0</v>
      </c>
      <c r="D17" s="298">
        <f t="shared" si="0"/>
        <v>0</v>
      </c>
    </row>
    <row r="18" spans="1:4" ht="12.75">
      <c r="A18" s="297" t="s">
        <v>228</v>
      </c>
      <c r="B18" s="284">
        <f>'Return on Capital'!W41</f>
        <v>208064.78189747984</v>
      </c>
      <c r="C18" s="284">
        <f>'Return on Capital'!AD41</f>
        <v>154964.63205276954</v>
      </c>
      <c r="D18" s="298">
        <f t="shared" si="0"/>
        <v>154964.63205276954</v>
      </c>
    </row>
    <row r="19" spans="1:4" ht="12.75">
      <c r="A19" s="302" t="s">
        <v>396</v>
      </c>
      <c r="B19" s="285">
        <f>SUM(B13:B18)</f>
        <v>2371197.582164146</v>
      </c>
      <c r="C19" s="285">
        <f>SUM(C13:C18)</f>
        <v>2335441.3954115836</v>
      </c>
      <c r="D19" s="300">
        <f>SUM(D13:D18)</f>
        <v>2335441.3954115836</v>
      </c>
    </row>
    <row r="20" spans="1:4" ht="12.75">
      <c r="A20" s="297" t="s">
        <v>243</v>
      </c>
      <c r="B20" s="288">
        <f>'Return on Capital'!W24</f>
        <v>0</v>
      </c>
      <c r="C20" s="288">
        <f>'Return on Capital'!AD24</f>
        <v>0</v>
      </c>
      <c r="D20" s="305">
        <f>C20</f>
        <v>0</v>
      </c>
    </row>
    <row r="21" spans="1:4" ht="12.75">
      <c r="A21" s="302" t="s">
        <v>397</v>
      </c>
      <c r="B21" s="285">
        <f>+B19+B20</f>
        <v>2371197.582164146</v>
      </c>
      <c r="C21" s="285">
        <f>+C19+C20</f>
        <v>2335441.3954115836</v>
      </c>
      <c r="D21" s="300">
        <f>+D19+D20</f>
        <v>2335441.3954115836</v>
      </c>
    </row>
    <row r="22" spans="1:4" ht="12.75">
      <c r="A22" s="297"/>
      <c r="B22" s="286"/>
      <c r="C22" s="286"/>
      <c r="D22" s="301"/>
    </row>
    <row r="23" spans="1:4" ht="12.75">
      <c r="A23" s="302" t="s">
        <v>398</v>
      </c>
      <c r="B23" s="285">
        <f>+B10-B21</f>
        <v>-247368.6199643379</v>
      </c>
      <c r="C23" s="285">
        <f>+C10-C21</f>
        <v>-170098.16498164926</v>
      </c>
      <c r="D23" s="300">
        <f>+D10-D21</f>
        <v>295406.8131081392</v>
      </c>
    </row>
    <row r="24" spans="1:4" ht="12.75">
      <c r="A24" s="297"/>
      <c r="B24" s="286"/>
      <c r="C24" s="286"/>
      <c r="D24" s="301"/>
    </row>
    <row r="25" spans="1:4" ht="12.75">
      <c r="A25" s="295" t="s">
        <v>399</v>
      </c>
      <c r="B25" s="286"/>
      <c r="C25" s="286"/>
      <c r="D25" s="301"/>
    </row>
    <row r="26" spans="1:4" ht="12.75">
      <c r="A26" s="297" t="s">
        <v>229</v>
      </c>
      <c r="B26" s="284">
        <f>+B41</f>
        <v>-46250.72721713904</v>
      </c>
      <c r="C26" s="284">
        <f>+C41</f>
        <v>-35478.80058486898</v>
      </c>
      <c r="D26" s="298">
        <f>+D41</f>
        <v>36674.47101904824</v>
      </c>
    </row>
    <row r="27" spans="1:4" ht="12.75">
      <c r="A27" s="302" t="s">
        <v>356</v>
      </c>
      <c r="B27" s="285">
        <f>+B26</f>
        <v>-46250.72721713904</v>
      </c>
      <c r="C27" s="285">
        <f>+C26</f>
        <v>-35478.80058486898</v>
      </c>
      <c r="D27" s="303">
        <f>+D26</f>
        <v>36674.47101904824</v>
      </c>
    </row>
    <row r="28" spans="1:4" ht="12.75">
      <c r="A28" s="302"/>
      <c r="B28" s="286"/>
      <c r="C28" s="286"/>
      <c r="D28" s="301"/>
    </row>
    <row r="29" spans="1:5" ht="13.5" thickBot="1">
      <c r="A29" s="302" t="s">
        <v>400</v>
      </c>
      <c r="B29" s="287">
        <f>+B23-B27</f>
        <v>-201117.89274719887</v>
      </c>
      <c r="C29" s="287">
        <f>+C23-C27</f>
        <v>-134619.36439678026</v>
      </c>
      <c r="D29" s="304">
        <f>+D23-D27</f>
        <v>258732.34208909096</v>
      </c>
      <c r="E29" s="178"/>
    </row>
    <row r="30" spans="1:4" ht="13.5" thickTop="1">
      <c r="A30" s="297"/>
      <c r="B30" s="286"/>
      <c r="C30" s="286"/>
      <c r="D30" s="301"/>
    </row>
    <row r="31" spans="1:4" ht="12.75">
      <c r="A31" s="295" t="s">
        <v>401</v>
      </c>
      <c r="B31" s="286"/>
      <c r="C31" s="286"/>
      <c r="D31" s="301"/>
    </row>
    <row r="32" spans="1:4" ht="12.75">
      <c r="A32" s="297" t="s">
        <v>230</v>
      </c>
      <c r="B32" s="284">
        <f>'Return on Capital'!W38</f>
        <v>6998008.270465487</v>
      </c>
      <c r="C32" s="284">
        <f>'Return on Capital'!AD38</f>
        <v>7092443.587968504</v>
      </c>
      <c r="D32" s="298">
        <f>C32</f>
        <v>7092443.587968504</v>
      </c>
    </row>
    <row r="33" spans="1:4" ht="12.75">
      <c r="A33" s="297" t="s">
        <v>231</v>
      </c>
      <c r="B33" s="284">
        <f>'Tax rates'!B7</f>
        <v>15000000</v>
      </c>
      <c r="C33" s="284">
        <f>'Tax rates'!C7</f>
        <v>15000000</v>
      </c>
      <c r="D33" s="298">
        <f>C33</f>
        <v>15000000</v>
      </c>
    </row>
    <row r="34" spans="1:4" ht="12.75">
      <c r="A34" s="297" t="s">
        <v>232</v>
      </c>
      <c r="B34" s="285">
        <f>+B32-B33</f>
        <v>-8001991.729534513</v>
      </c>
      <c r="C34" s="285">
        <f>+C32-C33</f>
        <v>-7907556.412031496</v>
      </c>
      <c r="D34" s="300">
        <f>+D32-D33</f>
        <v>-7907556.412031496</v>
      </c>
    </row>
    <row r="35" spans="1:4" ht="12.75">
      <c r="A35" s="297" t="s">
        <v>233</v>
      </c>
      <c r="B35" s="288">
        <f>'Capital Tax &amp; Expense Schedules'!C12</f>
        <v>0</v>
      </c>
      <c r="C35" s="288">
        <f>+C34*'Tax rates'!C15</f>
        <v>0</v>
      </c>
      <c r="D35" s="305">
        <f>+D34*'Tax rates'!C15</f>
        <v>0</v>
      </c>
    </row>
    <row r="36" spans="1:4" ht="12.75">
      <c r="A36" s="297"/>
      <c r="B36" s="286"/>
      <c r="C36" s="286"/>
      <c r="D36" s="301"/>
    </row>
    <row r="37" spans="1:4" ht="12.75">
      <c r="A37" s="295" t="s">
        <v>402</v>
      </c>
      <c r="B37" s="286"/>
      <c r="C37" s="286"/>
      <c r="D37" s="301"/>
    </row>
    <row r="38" spans="1:4" ht="12.75">
      <c r="A38" s="297" t="s">
        <v>234</v>
      </c>
      <c r="B38" s="284">
        <f>+B23</f>
        <v>-247368.6199643379</v>
      </c>
      <c r="C38" s="284">
        <f>+C23</f>
        <v>-170098.16498164926</v>
      </c>
      <c r="D38" s="298">
        <f>D23</f>
        <v>295406.8131081392</v>
      </c>
    </row>
    <row r="39" spans="1:4" ht="12.75">
      <c r="A39" s="297" t="s">
        <v>235</v>
      </c>
      <c r="B39" s="284">
        <f>'Tax Adjustments 2011'!F78</f>
        <v>-51023.168533333344</v>
      </c>
      <c r="C39" s="284">
        <f>'Tax Adjustments 2012'!F78</f>
        <v>-58797.32266266673</v>
      </c>
      <c r="D39" s="298">
        <f>C39</f>
        <v>-58797.32266266673</v>
      </c>
    </row>
    <row r="40" spans="1:4" ht="12.75">
      <c r="A40" s="302" t="s">
        <v>381</v>
      </c>
      <c r="B40" s="285">
        <f>+B38+B39</f>
        <v>-298391.78849767125</v>
      </c>
      <c r="C40" s="285">
        <f>+C38+C39</f>
        <v>-228895.487644316</v>
      </c>
      <c r="D40" s="300">
        <f>+D38+D39</f>
        <v>236609.49044547247</v>
      </c>
    </row>
    <row r="41" spans="1:4" ht="12.75">
      <c r="A41" s="302" t="s">
        <v>405</v>
      </c>
      <c r="B41" s="288">
        <f>+B40*B42</f>
        <v>-46250.72721713904</v>
      </c>
      <c r="C41" s="288">
        <f>+C40*C42</f>
        <v>-35478.80058486898</v>
      </c>
      <c r="D41" s="305">
        <f>D40*D42</f>
        <v>36674.47101904824</v>
      </c>
    </row>
    <row r="42" spans="1:7" ht="12.75">
      <c r="A42" s="302" t="s">
        <v>818</v>
      </c>
      <c r="B42" s="229">
        <f>'Tax rates'!B13-SUM('Capital Tax &amp; Expense Schedules'!H11:H13)/'Capital Tax &amp; Expense Schedules'!H8</f>
        <v>0.155</v>
      </c>
      <c r="C42" s="229">
        <f>D42</f>
        <v>0.155</v>
      </c>
      <c r="D42" s="306">
        <f>'Tax rates'!C13</f>
        <v>0.155</v>
      </c>
      <c r="G42" s="466">
        <f>'Tax rates'!C13-SUM('Capital Tax &amp; Expense Schedules'!H24:H26)/'Capital Tax &amp; Expense Schedules'!H21</f>
        <v>0.155</v>
      </c>
    </row>
    <row r="43" spans="1:4" ht="12.75">
      <c r="A43" s="297"/>
      <c r="B43" s="229"/>
      <c r="C43" s="229"/>
      <c r="D43" s="306"/>
    </row>
    <row r="44" spans="1:4" ht="12.75">
      <c r="A44" s="295" t="s">
        <v>406</v>
      </c>
      <c r="B44" s="177"/>
      <c r="C44" s="177"/>
      <c r="D44" s="307"/>
    </row>
    <row r="45" spans="1:4" ht="12.75">
      <c r="A45" s="297" t="s">
        <v>236</v>
      </c>
      <c r="B45" s="208">
        <f>+B32</f>
        <v>6998008.270465487</v>
      </c>
      <c r="C45" s="208">
        <f>+C32</f>
        <v>7092443.587968504</v>
      </c>
      <c r="D45" s="308">
        <f>+D32</f>
        <v>7092443.587968504</v>
      </c>
    </row>
    <row r="46" spans="1:4" ht="12.75">
      <c r="A46" s="297"/>
      <c r="B46" s="208"/>
      <c r="C46" s="208"/>
      <c r="D46" s="308"/>
    </row>
    <row r="47" spans="1:4" ht="12.75">
      <c r="A47" s="297" t="s">
        <v>237</v>
      </c>
      <c r="B47" s="208">
        <f>+B18</f>
        <v>208064.78189747984</v>
      </c>
      <c r="C47" s="208">
        <f>+C18</f>
        <v>154964.63205276954</v>
      </c>
      <c r="D47" s="308">
        <f>+D18</f>
        <v>154964.63205276954</v>
      </c>
    </row>
    <row r="48" spans="1:4" ht="12.75">
      <c r="A48" s="297" t="s">
        <v>238</v>
      </c>
      <c r="B48" s="208">
        <f>+B29</f>
        <v>-201117.89274719887</v>
      </c>
      <c r="C48" s="208">
        <f>+C29</f>
        <v>-134619.36439678026</v>
      </c>
      <c r="D48" s="308">
        <f>+D29</f>
        <v>258732.34208909096</v>
      </c>
    </row>
    <row r="49" spans="1:4" ht="13.5" thickBot="1">
      <c r="A49" s="302" t="s">
        <v>407</v>
      </c>
      <c r="B49" s="289">
        <f>+B47+B48</f>
        <v>6946.889150280971</v>
      </c>
      <c r="C49" s="289">
        <f>+C47+C48</f>
        <v>20345.26765598927</v>
      </c>
      <c r="D49" s="309">
        <f>+D47+D48</f>
        <v>413696.9741418605</v>
      </c>
    </row>
    <row r="50" spans="1:4" ht="13.5" thickTop="1">
      <c r="A50" s="297"/>
      <c r="B50" s="177"/>
      <c r="C50" s="177"/>
      <c r="D50" s="307"/>
    </row>
    <row r="51" spans="1:4" ht="12.75">
      <c r="A51" s="295" t="s">
        <v>408</v>
      </c>
      <c r="B51" s="229">
        <f>+B49/B45</f>
        <v>0.0009926951900871195</v>
      </c>
      <c r="C51" s="229">
        <f>+C49/C45</f>
        <v>0.0028685836416806505</v>
      </c>
      <c r="D51" s="306">
        <f>+D49/D45</f>
        <v>0.05832925831706984</v>
      </c>
    </row>
    <row r="52" spans="1:4" ht="12.75">
      <c r="A52" s="297"/>
      <c r="B52" s="177"/>
      <c r="C52" s="177"/>
      <c r="D52" s="307"/>
    </row>
    <row r="53" spans="1:4" ht="12.75">
      <c r="A53" s="295" t="s">
        <v>409</v>
      </c>
      <c r="B53" s="177"/>
      <c r="C53" s="177"/>
      <c r="D53" s="307"/>
    </row>
    <row r="54" spans="1:4" ht="12.75">
      <c r="A54" s="297" t="s">
        <v>236</v>
      </c>
      <c r="B54" s="208">
        <f>+B45</f>
        <v>6998008.270465487</v>
      </c>
      <c r="C54" s="208">
        <f>+C32</f>
        <v>7092443.587968504</v>
      </c>
      <c r="D54" s="308">
        <f>+D32</f>
        <v>7092443.587968504</v>
      </c>
    </row>
    <row r="55" spans="1:4" ht="12.75">
      <c r="A55" s="297"/>
      <c r="B55" s="177"/>
      <c r="C55" s="177"/>
      <c r="D55" s="307"/>
    </row>
    <row r="56" spans="1:4" ht="12.75">
      <c r="A56" s="295" t="s">
        <v>410</v>
      </c>
      <c r="B56" s="177"/>
      <c r="C56" s="177"/>
      <c r="D56" s="307"/>
    </row>
    <row r="57" spans="1:4" ht="12.75">
      <c r="A57" s="297" t="s">
        <v>239</v>
      </c>
      <c r="B57" s="229">
        <f>'Return on Capital'!W11</f>
        <v>0.049553333333333324</v>
      </c>
      <c r="C57" s="229">
        <f>'Return on Capital'!AD11</f>
        <v>0.036415430528449734</v>
      </c>
      <c r="D57" s="306">
        <f>C57</f>
        <v>0.036415430528449734</v>
      </c>
    </row>
    <row r="58" spans="1:4" ht="12.75">
      <c r="A58" s="297" t="s">
        <v>240</v>
      </c>
      <c r="B58" s="229">
        <f>'Return on Capital'!W10</f>
        <v>0.0857</v>
      </c>
      <c r="C58" s="229">
        <f>'Return on Capital'!Q10</f>
        <v>0.0857</v>
      </c>
      <c r="D58" s="306">
        <f>C58</f>
        <v>0.0857</v>
      </c>
    </row>
    <row r="59" spans="1:4" ht="12.75">
      <c r="A59" s="297"/>
      <c r="B59" s="177"/>
      <c r="C59" s="177"/>
      <c r="D59" s="307"/>
    </row>
    <row r="60" spans="1:4" ht="12.75">
      <c r="A60" s="297" t="s">
        <v>241</v>
      </c>
      <c r="B60" s="208">
        <f>'Return on Capital'!W41</f>
        <v>208064.78189747984</v>
      </c>
      <c r="C60" s="208">
        <f>'Return on Capital'!AD41</f>
        <v>154964.63205276954</v>
      </c>
      <c r="D60" s="308">
        <f>C60</f>
        <v>154964.63205276954</v>
      </c>
    </row>
    <row r="61" spans="1:4" ht="12.75">
      <c r="A61" s="297" t="s">
        <v>242</v>
      </c>
      <c r="B61" s="208">
        <f>'Return on Capital'!W42</f>
        <v>239891.7235115569</v>
      </c>
      <c r="C61" s="208">
        <f>'Return on Capital'!AD42</f>
        <v>258732.34208909105</v>
      </c>
      <c r="D61" s="308">
        <f>C61</f>
        <v>258732.34208909105</v>
      </c>
    </row>
    <row r="62" spans="1:4" ht="13.5" thickBot="1">
      <c r="A62" s="302" t="s">
        <v>411</v>
      </c>
      <c r="B62" s="289">
        <f>+B60+B61</f>
        <v>447956.50540903676</v>
      </c>
      <c r="C62" s="289">
        <f>+C60+C61</f>
        <v>413696.9741418606</v>
      </c>
      <c r="D62" s="309">
        <f>+D60+D61</f>
        <v>413696.9741418606</v>
      </c>
    </row>
    <row r="63" spans="1:4" ht="13.5" thickTop="1">
      <c r="A63" s="297"/>
      <c r="B63" s="177"/>
      <c r="C63" s="177"/>
      <c r="D63" s="307"/>
    </row>
    <row r="64" spans="1:4" ht="12.75">
      <c r="A64" s="295" t="s">
        <v>412</v>
      </c>
      <c r="B64" s="229">
        <f>+B62/B54</f>
        <v>0.064012</v>
      </c>
      <c r="C64" s="229">
        <f>+C62/C54</f>
        <v>0.05832925831706985</v>
      </c>
      <c r="D64" s="306">
        <f>+D62/D54</f>
        <v>0.05832925831706985</v>
      </c>
    </row>
    <row r="65" spans="1:4" ht="12.75">
      <c r="A65" s="297"/>
      <c r="B65" s="177"/>
      <c r="C65" s="177"/>
      <c r="D65" s="307"/>
    </row>
    <row r="66" spans="1:4" ht="12.75">
      <c r="A66" s="310" t="s">
        <v>413</v>
      </c>
      <c r="B66" s="230">
        <f>(+B64-B51)*B54</f>
        <v>441009.6162587558</v>
      </c>
      <c r="C66" s="230">
        <f>+C62-C49</f>
        <v>393351.70648587134</v>
      </c>
      <c r="D66" s="311">
        <f>(+D64-D51)*D54</f>
        <v>9.842742715272113E-11</v>
      </c>
    </row>
    <row r="67" spans="1:4" ht="13.5" thickBot="1">
      <c r="A67" s="312" t="s">
        <v>414</v>
      </c>
      <c r="B67" s="313">
        <f>+B66/(1-B42)</f>
        <v>521904.87131213705</v>
      </c>
      <c r="C67" s="314">
        <f>+C66/(1-C42)</f>
        <v>465504.9780897886</v>
      </c>
      <c r="D67" s="315">
        <f>+D66/(1-D42)</f>
        <v>1.1648216231091257E-10</v>
      </c>
    </row>
    <row r="68" spans="2:3" ht="13.5" thickBot="1">
      <c r="B68" s="179"/>
      <c r="C68" s="178"/>
    </row>
    <row r="69" spans="1:4" ht="6" customHeight="1">
      <c r="A69" s="35"/>
      <c r="B69" s="36"/>
      <c r="C69" s="36"/>
      <c r="D69" s="37"/>
    </row>
    <row r="70" spans="1:4" ht="20.25">
      <c r="A70" s="209" t="s">
        <v>258</v>
      </c>
      <c r="B70" s="48"/>
      <c r="C70" s="48"/>
      <c r="D70" s="316">
        <v>2012</v>
      </c>
    </row>
    <row r="71" spans="1:4" ht="12.75">
      <c r="A71" s="38"/>
      <c r="B71" s="48"/>
      <c r="C71" s="48"/>
      <c r="D71" s="47"/>
    </row>
    <row r="72" spans="1:4" ht="12.75">
      <c r="A72" s="38" t="s">
        <v>260</v>
      </c>
      <c r="B72" s="48"/>
      <c r="C72" s="48"/>
      <c r="D72" s="308">
        <f>D29</f>
        <v>258732.34208909096</v>
      </c>
    </row>
    <row r="73" spans="1:4" ht="12.75">
      <c r="A73" s="38" t="str">
        <f>A39</f>
        <v>    Tax Adjustments to Accounting Income</v>
      </c>
      <c r="B73" s="48"/>
      <c r="C73" s="48"/>
      <c r="D73" s="317">
        <f>D39</f>
        <v>-58797.32266266673</v>
      </c>
    </row>
    <row r="74" spans="1:4" ht="12.75">
      <c r="A74" s="206" t="s">
        <v>261</v>
      </c>
      <c r="B74" s="48"/>
      <c r="C74" s="48"/>
      <c r="D74" s="311">
        <f>D72+D73</f>
        <v>199935.01942642423</v>
      </c>
    </row>
    <row r="75" spans="1:4" ht="12.75">
      <c r="A75" s="38" t="s">
        <v>259</v>
      </c>
      <c r="B75" s="48"/>
      <c r="C75" s="48"/>
      <c r="D75" s="318">
        <f>D42</f>
        <v>0.155</v>
      </c>
    </row>
    <row r="76" spans="1:4" ht="12.75">
      <c r="A76" s="38" t="s">
        <v>263</v>
      </c>
      <c r="B76" s="48"/>
      <c r="C76" s="48"/>
      <c r="D76" s="311">
        <f>D74*D75</f>
        <v>30989.928011095755</v>
      </c>
    </row>
    <row r="77" spans="1:4" ht="13.5" thickBot="1">
      <c r="A77" s="206" t="s">
        <v>262</v>
      </c>
      <c r="B77" s="48"/>
      <c r="C77" s="48"/>
      <c r="D77" s="319">
        <f>D76/(1-D75)</f>
        <v>36674.47101904823</v>
      </c>
    </row>
    <row r="78" spans="1:4" ht="8.25" customHeight="1" thickBot="1" thickTop="1">
      <c r="A78" s="41"/>
      <c r="B78" s="42"/>
      <c r="C78" s="42"/>
      <c r="D78" s="43"/>
    </row>
    <row r="80" ht="12.75">
      <c r="D80" s="34"/>
    </row>
  </sheetData>
  <sheetProtection/>
  <mergeCells count="4">
    <mergeCell ref="A3:D3"/>
    <mergeCell ref="A4:D4"/>
    <mergeCell ref="A1:D1"/>
    <mergeCell ref="A2:D2"/>
  </mergeCells>
  <printOptions/>
  <pageMargins left="0.7480314960629921" right="0.7480314960629921" top="0.5905511811023623" bottom="0.1968503937007874" header="0.11811023622047245" footer="0.31496062992125984"/>
  <pageSetup fitToHeight="1" fitToWidth="1" horizontalDpi="600" verticalDpi="600" orientation="portrait" scale="72" r:id="rId1"/>
  <headerFooter alignWithMargins="0">
    <oddFooter>&amp;L&amp;A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7">
      <selection activeCell="F17" sqref="F17:L27"/>
    </sheetView>
  </sheetViews>
  <sheetFormatPr defaultColWidth="9.140625" defaultRowHeight="12.75"/>
  <cols>
    <col min="1" max="1" width="0.71875" style="0" customWidth="1"/>
    <col min="2" max="2" width="25.00390625" style="0" customWidth="1"/>
    <col min="3" max="4" width="11.7109375" style="0" bestFit="1" customWidth="1"/>
    <col min="5" max="5" width="1.1484375" style="0" customWidth="1"/>
    <col min="6" max="6" width="26.8515625" style="0" customWidth="1"/>
    <col min="7" max="7" width="15.8515625" style="0" customWidth="1"/>
    <col min="8" max="8" width="21.57421875" style="0" customWidth="1"/>
    <col min="9" max="9" width="1.28515625" style="0" customWidth="1"/>
    <col min="10" max="10" width="27.421875" style="0" bestFit="1" customWidth="1"/>
    <col min="11" max="11" width="12.421875" style="0" customWidth="1"/>
  </cols>
  <sheetData>
    <row r="1" spans="1:11" ht="12.75">
      <c r="A1" s="519" t="str">
        <f>'Trial Balance'!A1:F1</f>
        <v>Rideau St. Lawrence Distribution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2.75">
      <c r="A2" s="519" t="str">
        <f>'Trial Balance'!A2:F2</f>
        <v> License Number ED-2003-0003, File Number EB-2011-0274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</row>
    <row r="3" ht="7.5" customHeight="1"/>
    <row r="4" spans="2:11" ht="18">
      <c r="B4" s="644" t="s">
        <v>843</v>
      </c>
      <c r="C4" s="644"/>
      <c r="D4" s="644"/>
      <c r="F4" s="645" t="s">
        <v>814</v>
      </c>
      <c r="G4" s="645"/>
      <c r="H4" s="645"/>
      <c r="J4" s="568" t="s">
        <v>844</v>
      </c>
      <c r="K4" s="568"/>
    </row>
    <row r="5" spans="2:11" ht="25.5">
      <c r="B5" s="154" t="s">
        <v>174</v>
      </c>
      <c r="C5" s="155" t="s">
        <v>350</v>
      </c>
      <c r="D5" s="155" t="s">
        <v>351</v>
      </c>
      <c r="F5" s="154" t="s">
        <v>174</v>
      </c>
      <c r="G5" s="128" t="s">
        <v>361</v>
      </c>
      <c r="H5" s="128" t="s">
        <v>359</v>
      </c>
      <c r="J5" s="128" t="s">
        <v>174</v>
      </c>
      <c r="K5" s="128" t="s">
        <v>419</v>
      </c>
    </row>
    <row r="6" spans="2:11" ht="12.75">
      <c r="B6" s="131" t="s">
        <v>179</v>
      </c>
      <c r="C6" s="132">
        <f>'Return on Capital'!W38</f>
        <v>6998008.270465487</v>
      </c>
      <c r="D6" s="133">
        <f>'Return on Capital'!W38</f>
        <v>6998008.270465487</v>
      </c>
      <c r="F6" s="144" t="s">
        <v>403</v>
      </c>
      <c r="G6" s="145" t="s">
        <v>786</v>
      </c>
      <c r="H6" s="146">
        <f>'2012 Rev Deficiency'!B38</f>
        <v>-247368.6199643379</v>
      </c>
      <c r="J6" s="194" t="str">
        <f>F14</f>
        <v>Total PILs</v>
      </c>
      <c r="K6" s="193">
        <f>H14</f>
        <v>-46250.72721713904</v>
      </c>
    </row>
    <row r="7" spans="2:11" ht="15.75" thickBot="1">
      <c r="B7" s="134" t="s">
        <v>352</v>
      </c>
      <c r="C7" s="135">
        <f>-'Tax rates'!B7</f>
        <v>-15000000</v>
      </c>
      <c r="D7" s="136">
        <f>-'Tax rates'!B19</f>
        <v>0</v>
      </c>
      <c r="F7" s="187" t="s">
        <v>417</v>
      </c>
      <c r="G7" s="145" t="s">
        <v>786</v>
      </c>
      <c r="H7" s="149">
        <f>'2012 Rev Deficiency'!B39</f>
        <v>-51023.168533333344</v>
      </c>
      <c r="J7" s="194" t="str">
        <f>B12</f>
        <v>Net Capital Tax Payable</v>
      </c>
      <c r="K7" s="196">
        <f>C12</f>
        <v>0</v>
      </c>
    </row>
    <row r="8" spans="2:11" ht="13.5" thickBot="1">
      <c r="B8" s="137" t="s">
        <v>353</v>
      </c>
      <c r="C8" s="192">
        <f>C6+C7</f>
        <v>-8001991.729534513</v>
      </c>
      <c r="D8" s="192">
        <f>D6+D7</f>
        <v>6998008.270465487</v>
      </c>
      <c r="F8" s="187" t="s">
        <v>381</v>
      </c>
      <c r="G8" s="188"/>
      <c r="H8" s="153">
        <f>SUM(H6:H7)</f>
        <v>-298391.78849767125</v>
      </c>
      <c r="J8" s="195" t="s">
        <v>422</v>
      </c>
      <c r="K8" s="197">
        <f>SUM(K6:K7)</f>
        <v>-46250.72721713904</v>
      </c>
    </row>
    <row r="9" spans="2:8" ht="15">
      <c r="B9" s="134" t="s">
        <v>168</v>
      </c>
      <c r="C9" s="139">
        <f>'Tax rates'!B15</f>
        <v>0</v>
      </c>
      <c r="D9" s="140">
        <f>'Tax rates'!B17</f>
        <v>0</v>
      </c>
      <c r="F9" s="147" t="s">
        <v>358</v>
      </c>
      <c r="G9" s="148" t="s">
        <v>418</v>
      </c>
      <c r="H9" s="191">
        <f>'Tax rates'!B13</f>
        <v>0.155</v>
      </c>
    </row>
    <row r="10" spans="2:8" ht="12.75">
      <c r="B10" s="137" t="s">
        <v>354</v>
      </c>
      <c r="C10" s="138">
        <f>C8*C9</f>
        <v>0</v>
      </c>
      <c r="D10" s="138">
        <f>D8*D9</f>
        <v>0</v>
      </c>
      <c r="F10" s="147" t="s">
        <v>356</v>
      </c>
      <c r="G10" s="150"/>
      <c r="H10" s="153">
        <f>H8*H9</f>
        <v>-46250.72721713904</v>
      </c>
    </row>
    <row r="11" spans="2:8" ht="12.75">
      <c r="B11" s="134" t="s">
        <v>355</v>
      </c>
      <c r="C11" s="138">
        <v>0</v>
      </c>
      <c r="D11" s="141">
        <v>0</v>
      </c>
      <c r="F11" s="147" t="s">
        <v>357</v>
      </c>
      <c r="G11" s="151"/>
      <c r="H11" s="156"/>
    </row>
    <row r="12" spans="2:8" ht="15">
      <c r="B12" s="142" t="s">
        <v>420</v>
      </c>
      <c r="C12" s="143">
        <f>C10+C11</f>
        <v>0</v>
      </c>
      <c r="D12" s="143">
        <f>D10+D11</f>
        <v>0</v>
      </c>
      <c r="F12" s="147" t="s">
        <v>815</v>
      </c>
      <c r="G12" s="152"/>
      <c r="H12" s="156"/>
    </row>
    <row r="13" spans="6:8" ht="15">
      <c r="F13" s="147" t="s">
        <v>819</v>
      </c>
      <c r="G13" s="151"/>
      <c r="H13" s="127">
        <v>0</v>
      </c>
    </row>
    <row r="14" spans="6:8" ht="12.75">
      <c r="F14" s="189" t="s">
        <v>360</v>
      </c>
      <c r="G14" s="190"/>
      <c r="H14" s="153">
        <f>H10-H11-H12-H13</f>
        <v>-46250.72721713904</v>
      </c>
    </row>
    <row r="17" spans="2:11" ht="18">
      <c r="B17" s="644" t="s">
        <v>845</v>
      </c>
      <c r="C17" s="644"/>
      <c r="D17" s="644"/>
      <c r="F17" s="645" t="s">
        <v>846</v>
      </c>
      <c r="G17" s="645"/>
      <c r="H17" s="645"/>
      <c r="J17" s="568" t="s">
        <v>847</v>
      </c>
      <c r="K17" s="568"/>
    </row>
    <row r="18" spans="2:11" ht="25.5">
      <c r="B18" s="154" t="s">
        <v>174</v>
      </c>
      <c r="C18" s="129" t="s">
        <v>350</v>
      </c>
      <c r="D18" s="130" t="s">
        <v>351</v>
      </c>
      <c r="F18" s="154" t="s">
        <v>174</v>
      </c>
      <c r="G18" s="128" t="s">
        <v>361</v>
      </c>
      <c r="H18" s="128" t="s">
        <v>359</v>
      </c>
      <c r="J18" s="128" t="s">
        <v>174</v>
      </c>
      <c r="K18" s="128" t="s">
        <v>419</v>
      </c>
    </row>
    <row r="19" spans="2:11" ht="19.5" customHeight="1">
      <c r="B19" s="131" t="s">
        <v>179</v>
      </c>
      <c r="C19" s="132">
        <f>'Return on Capital'!AD38</f>
        <v>7092443.587968504</v>
      </c>
      <c r="D19" s="132">
        <f>'Return on Capital'!AD38</f>
        <v>7092443.587968504</v>
      </c>
      <c r="F19" s="144" t="s">
        <v>403</v>
      </c>
      <c r="G19" s="145" t="s">
        <v>786</v>
      </c>
      <c r="H19" s="146">
        <f>'2012 Rev Deficiency'!D38</f>
        <v>295406.8131081392</v>
      </c>
      <c r="J19" s="194" t="str">
        <f>F27</f>
        <v>Total PILs</v>
      </c>
      <c r="K19" s="193">
        <f>H27</f>
        <v>36674.47101904824</v>
      </c>
    </row>
    <row r="20" spans="2:11" ht="17.25" customHeight="1" thickBot="1">
      <c r="B20" s="134" t="s">
        <v>352</v>
      </c>
      <c r="C20" s="135">
        <f>-'Tax rates'!C7</f>
        <v>-15000000</v>
      </c>
      <c r="D20" s="136">
        <f>-'Tax rates'!C19</f>
        <v>0</v>
      </c>
      <c r="F20" s="187" t="s">
        <v>417</v>
      </c>
      <c r="G20" s="145" t="s">
        <v>786</v>
      </c>
      <c r="H20" s="149">
        <f>'2012 Rev Deficiency'!D39</f>
        <v>-58797.32266266673</v>
      </c>
      <c r="J20" s="194" t="str">
        <f>B25</f>
        <v>Net Capital Tax Payable</v>
      </c>
      <c r="K20" s="196">
        <f>C25</f>
        <v>0</v>
      </c>
    </row>
    <row r="21" spans="2:11" ht="17.25" customHeight="1" thickBot="1">
      <c r="B21" s="137" t="s">
        <v>353</v>
      </c>
      <c r="C21" s="192">
        <f>C19+C20</f>
        <v>-7907556.412031496</v>
      </c>
      <c r="D21" s="192">
        <f>D19+D20</f>
        <v>7092443.587968504</v>
      </c>
      <c r="F21" s="187" t="s">
        <v>381</v>
      </c>
      <c r="G21" s="188"/>
      <c r="H21" s="153">
        <f>SUM(H19:H20)</f>
        <v>236609.49044547247</v>
      </c>
      <c r="J21" s="195" t="s">
        <v>422</v>
      </c>
      <c r="K21" s="197">
        <f>SUM(K19:K20)</f>
        <v>36674.47101904824</v>
      </c>
    </row>
    <row r="22" spans="2:8" ht="18.75" customHeight="1">
      <c r="B22" s="134" t="s">
        <v>168</v>
      </c>
      <c r="C22" s="139">
        <f>'Tax rates'!C15</f>
        <v>0</v>
      </c>
      <c r="D22" s="140">
        <f>'Tax rates'!C17</f>
        <v>0</v>
      </c>
      <c r="F22" s="147" t="s">
        <v>358</v>
      </c>
      <c r="G22" s="148" t="s">
        <v>418</v>
      </c>
      <c r="H22" s="191">
        <f>'Tax rates'!C13</f>
        <v>0.155</v>
      </c>
    </row>
    <row r="23" spans="2:8" ht="12.75">
      <c r="B23" s="137" t="s">
        <v>354</v>
      </c>
      <c r="C23" s="192">
        <f>C21*C22</f>
        <v>0</v>
      </c>
      <c r="D23" s="138">
        <f>D21*D22</f>
        <v>0</v>
      </c>
      <c r="F23" s="147" t="s">
        <v>356</v>
      </c>
      <c r="G23" s="150"/>
      <c r="H23" s="420">
        <f>H21*H22</f>
        <v>36674.47101904824</v>
      </c>
    </row>
    <row r="24" spans="2:8" ht="12.75">
      <c r="B24" s="134" t="s">
        <v>355</v>
      </c>
      <c r="C24" s="138">
        <v>0</v>
      </c>
      <c r="D24" s="141">
        <v>0</v>
      </c>
      <c r="F24" s="147" t="s">
        <v>357</v>
      </c>
      <c r="G24" s="151"/>
      <c r="H24" s="156"/>
    </row>
    <row r="25" spans="2:8" ht="15">
      <c r="B25" s="142" t="s">
        <v>420</v>
      </c>
      <c r="C25" s="143">
        <f>C23+C24</f>
        <v>0</v>
      </c>
      <c r="D25" s="143">
        <f>D23+D24</f>
        <v>0</v>
      </c>
      <c r="F25" s="147" t="s">
        <v>815</v>
      </c>
      <c r="G25" s="152"/>
      <c r="H25" s="156"/>
    </row>
    <row r="26" spans="6:8" ht="15">
      <c r="F26" s="147" t="s">
        <v>819</v>
      </c>
      <c r="G26" s="151"/>
      <c r="H26" s="127">
        <v>0</v>
      </c>
    </row>
    <row r="27" spans="6:8" ht="12.75">
      <c r="F27" s="189" t="s">
        <v>360</v>
      </c>
      <c r="G27" s="190"/>
      <c r="H27" s="153">
        <f>H23-H24-H25-H26</f>
        <v>36674.47101904824</v>
      </c>
    </row>
  </sheetData>
  <sheetProtection/>
  <mergeCells count="8">
    <mergeCell ref="A1:K1"/>
    <mergeCell ref="A2:K2"/>
    <mergeCell ref="J17:K17"/>
    <mergeCell ref="J4:K4"/>
    <mergeCell ref="B4:D4"/>
    <mergeCell ref="B17:D17"/>
    <mergeCell ref="F4:H4"/>
    <mergeCell ref="F17:H17"/>
  </mergeCells>
  <printOptions/>
  <pageMargins left="0.5511811023622047" right="0.7480314960629921" top="0.984251968503937" bottom="0.984251968503937" header="0.5118110236220472" footer="0.5118110236220472"/>
  <pageSetup fitToHeight="1" fitToWidth="1" horizontalDpi="355" verticalDpi="355" orientation="landscape" scale="81" r:id="rId3"/>
  <headerFooter alignWithMargins="0">
    <oddFooter>&amp;L&amp;A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pane ySplit="9" topLeftCell="A40" activePane="bottomLeft" state="frozen"/>
      <selection pane="topLeft" activeCell="C34" sqref="C34"/>
      <selection pane="bottomLeft" activeCell="A8" sqref="A8:M55"/>
    </sheetView>
  </sheetViews>
  <sheetFormatPr defaultColWidth="9.140625" defaultRowHeight="12.75"/>
  <cols>
    <col min="1" max="1" width="5.57421875" style="20" customWidth="1"/>
    <col min="2" max="2" width="6.28125" style="215" customWidth="1"/>
    <col min="3" max="3" width="36.00390625" style="214" customWidth="1"/>
    <col min="4" max="4" width="11.57421875" style="214" customWidth="1"/>
    <col min="5" max="5" width="10.57421875" style="214" customWidth="1"/>
    <col min="6" max="6" width="9.57421875" style="214" customWidth="1"/>
    <col min="7" max="7" width="10.421875" style="214" customWidth="1"/>
    <col min="8" max="8" width="0.85546875" style="214" customWidth="1"/>
    <col min="9" max="9" width="11.421875" style="214" customWidth="1"/>
    <col min="10" max="11" width="9.421875" style="214" bestFit="1" customWidth="1"/>
    <col min="12" max="12" width="10.57421875" style="214" customWidth="1"/>
    <col min="13" max="13" width="10.00390625" style="214" customWidth="1"/>
    <col min="14" max="14" width="13.7109375" style="0" customWidth="1"/>
  </cols>
  <sheetData>
    <row r="1" spans="1:13" ht="12.75">
      <c r="A1" s="519" t="str">
        <f>'Trial Balance'!A1:F1</f>
        <v>Rideau St. Lawrence Distribution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2.75">
      <c r="A2" s="519" t="str">
        <f>'Trial Balance'!A2:F2</f>
        <v> License Number ED-2003-0003, File Number EB-2011-0274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ht="12.75">
      <c r="A3" s="520"/>
      <c r="B3" s="520"/>
      <c r="C3" s="520"/>
      <c r="D3" s="211"/>
      <c r="E3" s="211"/>
      <c r="F3" s="211"/>
      <c r="G3" s="211"/>
      <c r="H3" s="212"/>
      <c r="I3" s="213"/>
      <c r="J3" s="213"/>
      <c r="K3" s="213"/>
      <c r="L3" s="213"/>
      <c r="M3" s="213"/>
    </row>
    <row r="4" spans="1:13" ht="12.75">
      <c r="A4" s="520" t="s">
        <v>209</v>
      </c>
      <c r="B4" s="520"/>
      <c r="C4" s="520"/>
      <c r="D4" s="211"/>
      <c r="E4" s="211"/>
      <c r="F4" s="211"/>
      <c r="H4" s="212"/>
      <c r="I4" s="213"/>
      <c r="J4" s="213"/>
      <c r="K4" s="213"/>
      <c r="L4" s="213"/>
      <c r="M4" s="213"/>
    </row>
    <row r="5" spans="1:13" ht="12.75">
      <c r="A5" s="520" t="s">
        <v>782</v>
      </c>
      <c r="B5" s="520"/>
      <c r="C5" s="520"/>
      <c r="D5" s="211"/>
      <c r="E5" s="211"/>
      <c r="F5" s="211"/>
      <c r="H5" s="212"/>
      <c r="I5" s="213"/>
      <c r="J5" s="213"/>
      <c r="K5" s="213"/>
      <c r="L5" s="213"/>
      <c r="M5" s="213"/>
    </row>
    <row r="6" spans="4:13" ht="12.75">
      <c r="D6" s="515" t="s">
        <v>248</v>
      </c>
      <c r="E6" s="515"/>
      <c r="F6" s="515"/>
      <c r="G6" s="515"/>
      <c r="H6" s="212"/>
      <c r="I6" s="515" t="s">
        <v>249</v>
      </c>
      <c r="J6" s="515"/>
      <c r="K6" s="515"/>
      <c r="L6" s="515"/>
      <c r="M6" s="213"/>
    </row>
    <row r="7" spans="3:13" ht="12.75">
      <c r="C7" s="210"/>
      <c r="D7" s="517"/>
      <c r="E7" s="517"/>
      <c r="F7" s="517"/>
      <c r="G7" s="517"/>
      <c r="H7" s="212"/>
      <c r="I7" s="517"/>
      <c r="J7" s="517"/>
      <c r="K7" s="517"/>
      <c r="L7" s="517"/>
      <c r="M7" s="213"/>
    </row>
    <row r="8" spans="1:13" s="16" customFormat="1" ht="12.75">
      <c r="A8" s="521" t="s">
        <v>202</v>
      </c>
      <c r="B8" s="521" t="s">
        <v>482</v>
      </c>
      <c r="C8" s="521" t="s">
        <v>174</v>
      </c>
      <c r="D8" s="513" t="s">
        <v>214</v>
      </c>
      <c r="E8" s="513" t="s">
        <v>312</v>
      </c>
      <c r="F8" s="513" t="s">
        <v>313</v>
      </c>
      <c r="G8" s="513" t="s">
        <v>215</v>
      </c>
      <c r="H8" s="518"/>
      <c r="I8" s="513" t="s">
        <v>214</v>
      </c>
      <c r="J8" s="513" t="s">
        <v>312</v>
      </c>
      <c r="K8" s="513" t="s">
        <v>313</v>
      </c>
      <c r="L8" s="513" t="s">
        <v>215</v>
      </c>
      <c r="M8" s="513" t="s">
        <v>216</v>
      </c>
    </row>
    <row r="9" spans="1:13" s="16" customFormat="1" ht="12.75">
      <c r="A9" s="522"/>
      <c r="B9" s="522"/>
      <c r="C9" s="522"/>
      <c r="D9" s="514" t="s">
        <v>250</v>
      </c>
      <c r="E9" s="514" t="s">
        <v>312</v>
      </c>
      <c r="F9" s="514"/>
      <c r="G9" s="514"/>
      <c r="H9" s="518"/>
      <c r="I9" s="514" t="s">
        <v>250</v>
      </c>
      <c r="J9" s="514" t="s">
        <v>312</v>
      </c>
      <c r="K9" s="514"/>
      <c r="L9" s="514"/>
      <c r="M9" s="514"/>
    </row>
    <row r="10" spans="1:14" ht="12.75">
      <c r="A10" s="241" t="s">
        <v>203</v>
      </c>
      <c r="B10" s="484">
        <v>1610</v>
      </c>
      <c r="C10" s="485" t="s">
        <v>848</v>
      </c>
      <c r="D10" s="489">
        <f>'FA Continuity 2008'!G10</f>
        <v>0</v>
      </c>
      <c r="E10" s="489"/>
      <c r="F10" s="489"/>
      <c r="G10" s="489">
        <f>D10+E10-F10</f>
        <v>0</v>
      </c>
      <c r="H10" s="518"/>
      <c r="I10" s="489">
        <f>SUMIF('FA Continuity 2008'!B:B,B10,'FA Continuity 2008'!L:L)</f>
        <v>0</v>
      </c>
      <c r="J10" s="489"/>
      <c r="K10" s="489"/>
      <c r="L10" s="489">
        <f>I10+J10-K10</f>
        <v>0</v>
      </c>
      <c r="M10" s="489">
        <f>G10-L10</f>
        <v>0</v>
      </c>
      <c r="N10" s="237"/>
    </row>
    <row r="11" spans="1:14" ht="12.75">
      <c r="A11" s="241" t="s">
        <v>203</v>
      </c>
      <c r="B11" s="484">
        <v>1805</v>
      </c>
      <c r="C11" s="485" t="s">
        <v>513</v>
      </c>
      <c r="D11" s="489">
        <f>'FA Continuity 2008'!G11</f>
        <v>84205.25</v>
      </c>
      <c r="E11" s="489"/>
      <c r="F11" s="489"/>
      <c r="G11" s="489">
        <f aca="true" t="shared" si="0" ref="G11:G46">D11+E11-F11</f>
        <v>84205.25</v>
      </c>
      <c r="H11" s="518"/>
      <c r="I11" s="489">
        <f>SUMIF('FA Continuity 2008'!B:B,B11,'FA Continuity 2008'!L:L)</f>
        <v>0</v>
      </c>
      <c r="J11" s="489"/>
      <c r="K11" s="489"/>
      <c r="L11" s="489">
        <f aca="true" t="shared" si="1" ref="L11:L46">I11+J11-K11</f>
        <v>0</v>
      </c>
      <c r="M11" s="489">
        <f aca="true" t="shared" si="2" ref="M11:M46">G11-L11</f>
        <v>84205.25</v>
      </c>
      <c r="N11" s="237"/>
    </row>
    <row r="12" spans="1:14" ht="12.75">
      <c r="A12" s="241" t="s">
        <v>470</v>
      </c>
      <c r="B12" s="484">
        <v>1806</v>
      </c>
      <c r="C12" s="485" t="s">
        <v>514</v>
      </c>
      <c r="D12" s="489">
        <f>'FA Continuity 2008'!G12</f>
        <v>0</v>
      </c>
      <c r="E12" s="489"/>
      <c r="F12" s="489"/>
      <c r="G12" s="489">
        <f t="shared" si="0"/>
        <v>0</v>
      </c>
      <c r="H12" s="518"/>
      <c r="I12" s="489">
        <f>SUMIF('FA Continuity 2008'!B:B,B12,'FA Continuity 2008'!L:L)</f>
        <v>0</v>
      </c>
      <c r="J12" s="489"/>
      <c r="K12" s="489"/>
      <c r="L12" s="489">
        <f t="shared" si="1"/>
        <v>0</v>
      </c>
      <c r="M12" s="489">
        <f t="shared" si="2"/>
        <v>0</v>
      </c>
      <c r="N12" s="237"/>
    </row>
    <row r="13" spans="1:14" ht="12.75">
      <c r="A13" s="241">
        <v>47</v>
      </c>
      <c r="B13" s="484">
        <v>1808</v>
      </c>
      <c r="C13" s="485" t="s">
        <v>607</v>
      </c>
      <c r="D13" s="489">
        <f>'FA Continuity 2008'!G13</f>
        <v>75719.51000000001</v>
      </c>
      <c r="E13" s="489">
        <f>'[3]App.2-B_Fixed Asset Continuity'!G84</f>
        <v>6567.9</v>
      </c>
      <c r="F13" s="489"/>
      <c r="G13" s="489">
        <f t="shared" si="0"/>
        <v>82287.41</v>
      </c>
      <c r="H13" s="518"/>
      <c r="I13" s="489">
        <f>SUMIF('FA Continuity 2008'!B:B,B13,'FA Continuity 2008'!L:L)</f>
        <v>3422.2</v>
      </c>
      <c r="J13" s="489">
        <f>-'[3]App.2-B_Fixed Asset Continuity'!L84</f>
        <v>1580.07</v>
      </c>
      <c r="K13" s="489"/>
      <c r="L13" s="489">
        <f t="shared" si="1"/>
        <v>5002.2699999999995</v>
      </c>
      <c r="M13" s="489">
        <f t="shared" si="2"/>
        <v>77285.14</v>
      </c>
      <c r="N13" s="237"/>
    </row>
    <row r="14" spans="1:13" ht="12.75">
      <c r="A14" s="241">
        <v>13</v>
      </c>
      <c r="B14" s="484">
        <v>1810</v>
      </c>
      <c r="C14" s="485" t="s">
        <v>511</v>
      </c>
      <c r="D14" s="489">
        <f>'FA Continuity 2008'!G14</f>
        <v>0</v>
      </c>
      <c r="E14" s="489"/>
      <c r="F14" s="489"/>
      <c r="G14" s="489">
        <f t="shared" si="0"/>
        <v>0</v>
      </c>
      <c r="H14" s="518"/>
      <c r="I14" s="489">
        <f>SUMIF('FA Continuity 2008'!B:B,B14,'FA Continuity 2008'!L:L)</f>
        <v>0</v>
      </c>
      <c r="J14" s="489"/>
      <c r="K14" s="489"/>
      <c r="L14" s="489">
        <f t="shared" si="1"/>
        <v>0</v>
      </c>
      <c r="M14" s="489">
        <f t="shared" si="2"/>
        <v>0</v>
      </c>
    </row>
    <row r="15" spans="1:14" ht="12.75">
      <c r="A15" s="241">
        <v>47</v>
      </c>
      <c r="B15" s="484">
        <v>1815</v>
      </c>
      <c r="C15" s="485" t="s">
        <v>608</v>
      </c>
      <c r="D15" s="489">
        <f>'FA Continuity 2008'!G15</f>
        <v>0</v>
      </c>
      <c r="E15" s="489"/>
      <c r="F15" s="489"/>
      <c r="G15" s="489">
        <f t="shared" si="0"/>
        <v>0</v>
      </c>
      <c r="H15" s="518"/>
      <c r="I15" s="489">
        <f>SUMIF('FA Continuity 2008'!B:B,B15,'FA Continuity 2008'!L:L)</f>
        <v>0</v>
      </c>
      <c r="J15" s="489"/>
      <c r="K15" s="489"/>
      <c r="L15" s="489">
        <f t="shared" si="1"/>
        <v>0</v>
      </c>
      <c r="M15" s="489">
        <f t="shared" si="2"/>
        <v>0</v>
      </c>
      <c r="N15" s="237"/>
    </row>
    <row r="16" spans="1:13" ht="12.75">
      <c r="A16" s="241">
        <v>47</v>
      </c>
      <c r="B16" s="484">
        <v>1820</v>
      </c>
      <c r="C16" s="485" t="s">
        <v>609</v>
      </c>
      <c r="D16" s="489">
        <f>'FA Continuity 2008'!G16</f>
        <v>662340.11</v>
      </c>
      <c r="E16" s="489">
        <f>'[3]App.2-B_Fixed Asset Continuity'!G87</f>
        <v>1120.65</v>
      </c>
      <c r="F16" s="489"/>
      <c r="G16" s="489">
        <f t="shared" si="0"/>
        <v>663460.76</v>
      </c>
      <c r="H16" s="518"/>
      <c r="I16" s="489">
        <f>SUMIF('FA Continuity 2008'!B:B,B16,'FA Continuity 2008'!L:L)</f>
        <v>128726.04999999999</v>
      </c>
      <c r="J16" s="489">
        <f>-'[3]App.2-B_Fixed Asset Continuity'!L87</f>
        <v>26516.02</v>
      </c>
      <c r="K16" s="489"/>
      <c r="L16" s="489">
        <f t="shared" si="1"/>
        <v>155242.06999999998</v>
      </c>
      <c r="M16" s="489">
        <f t="shared" si="2"/>
        <v>508218.69000000006</v>
      </c>
    </row>
    <row r="17" spans="1:14" ht="12.75">
      <c r="A17" s="241">
        <v>47</v>
      </c>
      <c r="B17" s="484">
        <v>1825</v>
      </c>
      <c r="C17" s="485" t="s">
        <v>205</v>
      </c>
      <c r="D17" s="489">
        <f>'FA Continuity 2008'!G17</f>
        <v>0</v>
      </c>
      <c r="E17" s="489">
        <f>'[3]App.2-B_Fixed Asset Continuity'!G88</f>
        <v>0</v>
      </c>
      <c r="F17" s="489"/>
      <c r="G17" s="489">
        <f t="shared" si="0"/>
        <v>0</v>
      </c>
      <c r="H17" s="518"/>
      <c r="I17" s="489">
        <f>SUMIF('FA Continuity 2008'!B:B,B17,'FA Continuity 2008'!L:L)</f>
        <v>0</v>
      </c>
      <c r="J17" s="489"/>
      <c r="K17" s="489"/>
      <c r="L17" s="489">
        <f t="shared" si="1"/>
        <v>0</v>
      </c>
      <c r="M17" s="489">
        <f t="shared" si="2"/>
        <v>0</v>
      </c>
      <c r="N17" s="237"/>
    </row>
    <row r="18" spans="1:14" ht="12.75">
      <c r="A18" s="241">
        <v>47</v>
      </c>
      <c r="B18" s="484">
        <v>1830</v>
      </c>
      <c r="C18" s="485" t="s">
        <v>610</v>
      </c>
      <c r="D18" s="489">
        <f>'FA Continuity 2008'!G18</f>
        <v>370492.70999999996</v>
      </c>
      <c r="E18" s="489">
        <f>'[3]App.2-B_Fixed Asset Continuity'!G89</f>
        <v>57191.16</v>
      </c>
      <c r="F18" s="489"/>
      <c r="G18" s="489">
        <f t="shared" si="0"/>
        <v>427683.87</v>
      </c>
      <c r="H18" s="518"/>
      <c r="I18" s="489">
        <f>SUMIF('FA Continuity 2008'!B:B,B18,'FA Continuity 2008'!L:L)</f>
        <v>50526.520000000004</v>
      </c>
      <c r="J18" s="489">
        <f>-'[3]App.2-B_Fixed Asset Continuity'!L89</f>
        <v>15963.53</v>
      </c>
      <c r="K18" s="489"/>
      <c r="L18" s="489">
        <f t="shared" si="1"/>
        <v>66490.05</v>
      </c>
      <c r="M18" s="489">
        <f t="shared" si="2"/>
        <v>361193.82</v>
      </c>
      <c r="N18" s="237"/>
    </row>
    <row r="19" spans="1:14" ht="12.75">
      <c r="A19" s="241">
        <v>47</v>
      </c>
      <c r="B19" s="484">
        <v>1835</v>
      </c>
      <c r="C19" s="485" t="s">
        <v>611</v>
      </c>
      <c r="D19" s="489">
        <f>'FA Continuity 2008'!G19</f>
        <v>1688815.12</v>
      </c>
      <c r="E19" s="489">
        <f>'[3]App.2-B_Fixed Asset Continuity'!G90</f>
        <v>55864.39</v>
      </c>
      <c r="F19" s="489"/>
      <c r="G19" s="489">
        <f t="shared" si="0"/>
        <v>1744679.51</v>
      </c>
      <c r="H19" s="518"/>
      <c r="I19" s="489">
        <f>SUMIF('FA Continuity 2008'!B:B,B19,'FA Continuity 2008'!L:L)</f>
        <v>490000.18</v>
      </c>
      <c r="J19" s="489">
        <f>-'[3]App.2-B_Fixed Asset Continuity'!L90</f>
        <v>68669.87</v>
      </c>
      <c r="K19" s="489"/>
      <c r="L19" s="489">
        <f t="shared" si="1"/>
        <v>558670.05</v>
      </c>
      <c r="M19" s="489">
        <f t="shared" si="2"/>
        <v>1186009.46</v>
      </c>
      <c r="N19" s="237"/>
    </row>
    <row r="20" spans="1:14" ht="12.75">
      <c r="A20" s="241">
        <v>47</v>
      </c>
      <c r="B20" s="484">
        <v>1840</v>
      </c>
      <c r="C20" s="485" t="s">
        <v>612</v>
      </c>
      <c r="D20" s="489">
        <f>'FA Continuity 2008'!G20</f>
        <v>461238.46</v>
      </c>
      <c r="E20" s="489">
        <f>'[3]App.2-B_Fixed Asset Continuity'!G91</f>
        <v>2588.03</v>
      </c>
      <c r="F20" s="489"/>
      <c r="G20" s="489">
        <f t="shared" si="0"/>
        <v>463826.49000000005</v>
      </c>
      <c r="H20" s="518"/>
      <c r="I20" s="489">
        <f>SUMIF('FA Continuity 2008'!B:B,B20,'FA Continuity 2008'!L:L)</f>
        <v>139386.99</v>
      </c>
      <c r="J20" s="489">
        <f>-'[3]App.2-B_Fixed Asset Continuity'!L91</f>
        <v>18495.3</v>
      </c>
      <c r="K20" s="489"/>
      <c r="L20" s="489">
        <f t="shared" si="1"/>
        <v>157882.28999999998</v>
      </c>
      <c r="M20" s="489">
        <f t="shared" si="2"/>
        <v>305944.20000000007</v>
      </c>
      <c r="N20" s="237"/>
    </row>
    <row r="21" spans="1:14" ht="12.75">
      <c r="A21" s="241">
        <v>47</v>
      </c>
      <c r="B21" s="484">
        <v>1845</v>
      </c>
      <c r="C21" s="485" t="s">
        <v>613</v>
      </c>
      <c r="D21" s="489">
        <f>'FA Continuity 2008'!G21</f>
        <v>340746.85000000003</v>
      </c>
      <c r="E21" s="489">
        <f>'[3]App.2-B_Fixed Asset Continuity'!G92</f>
        <v>10427.03</v>
      </c>
      <c r="F21" s="489"/>
      <c r="G21" s="489">
        <f t="shared" si="0"/>
        <v>351173.88000000006</v>
      </c>
      <c r="H21" s="518"/>
      <c r="I21" s="489">
        <f>SUMIF('FA Continuity 2008'!B:B,B21,'FA Continuity 2008'!L:L)</f>
        <v>78838.08</v>
      </c>
      <c r="J21" s="489">
        <f>-'[3]App.2-B_Fixed Asset Continuity'!L92</f>
        <v>13838.43</v>
      </c>
      <c r="K21" s="489"/>
      <c r="L21" s="489">
        <f t="shared" si="1"/>
        <v>92676.51000000001</v>
      </c>
      <c r="M21" s="489">
        <f t="shared" si="2"/>
        <v>258497.37000000005</v>
      </c>
      <c r="N21" s="237"/>
    </row>
    <row r="22" spans="1:14" ht="12.75">
      <c r="A22" s="241">
        <v>47</v>
      </c>
      <c r="B22" s="484">
        <v>1850</v>
      </c>
      <c r="C22" s="485" t="s">
        <v>512</v>
      </c>
      <c r="D22" s="489">
        <f>'FA Continuity 2008'!G22</f>
        <v>904492.1000000001</v>
      </c>
      <c r="E22" s="489">
        <f>'[3]App.2-B_Fixed Asset Continuity'!G93</f>
        <v>42360.34</v>
      </c>
      <c r="F22" s="489"/>
      <c r="G22" s="489">
        <f t="shared" si="0"/>
        <v>946852.4400000001</v>
      </c>
      <c r="H22" s="518"/>
      <c r="I22" s="489">
        <f>SUMIF('FA Continuity 2008'!B:B,B22,'FA Continuity 2008'!L:L)</f>
        <v>197578.05</v>
      </c>
      <c r="J22" s="489">
        <f>-'[3]App.2-B_Fixed Asset Continuity'!L93</f>
        <v>37026.89</v>
      </c>
      <c r="K22" s="489">
        <f>'[3]App.2-B_Fixed Asset Continuity'!M93</f>
        <v>583.2</v>
      </c>
      <c r="L22" s="489">
        <f t="shared" si="1"/>
        <v>234021.74</v>
      </c>
      <c r="M22" s="489">
        <f t="shared" si="2"/>
        <v>712830.7000000001</v>
      </c>
      <c r="N22" s="237"/>
    </row>
    <row r="23" spans="1:14" ht="12.75">
      <c r="A23" s="241">
        <v>47</v>
      </c>
      <c r="B23" s="484">
        <v>1855</v>
      </c>
      <c r="C23" s="485" t="s">
        <v>538</v>
      </c>
      <c r="D23" s="489">
        <f>'FA Continuity 2008'!G23</f>
        <v>211087.19999999998</v>
      </c>
      <c r="E23" s="489">
        <f>'[3]App.2-B_Fixed Asset Continuity'!G94</f>
        <v>33810.62</v>
      </c>
      <c r="F23" s="489"/>
      <c r="G23" s="489">
        <f t="shared" si="0"/>
        <v>244897.81999999998</v>
      </c>
      <c r="H23" s="518"/>
      <c r="I23" s="489">
        <f>SUMIF('FA Continuity 2008'!B:B,B23,'FA Continuity 2008'!L:L)</f>
        <v>25338.640000000003</v>
      </c>
      <c r="J23" s="489">
        <f>-'[3]App.2-B_Fixed Asset Continuity'!L94</f>
        <v>9119.7</v>
      </c>
      <c r="K23" s="489"/>
      <c r="L23" s="489">
        <f t="shared" si="1"/>
        <v>34458.340000000004</v>
      </c>
      <c r="M23" s="489">
        <f t="shared" si="2"/>
        <v>210439.47999999998</v>
      </c>
      <c r="N23" s="237"/>
    </row>
    <row r="24" spans="1:14" ht="12.75">
      <c r="A24" s="241">
        <v>47</v>
      </c>
      <c r="B24" s="484">
        <v>1860</v>
      </c>
      <c r="C24" s="485" t="s">
        <v>539</v>
      </c>
      <c r="D24" s="489">
        <f>'FA Continuity 2008'!G24</f>
        <v>409373.44</v>
      </c>
      <c r="E24" s="489">
        <f>'[3]App.2-B_Fixed Asset Continuity'!G95</f>
        <v>3484.58</v>
      </c>
      <c r="F24" s="489"/>
      <c r="G24" s="489">
        <f t="shared" si="0"/>
        <v>412858.02</v>
      </c>
      <c r="H24" s="518"/>
      <c r="I24" s="489">
        <f>SUMIF('FA Continuity 2008'!B:B,B24,'FA Continuity 2008'!L:L)</f>
        <v>106609.01</v>
      </c>
      <c r="J24" s="489">
        <f>-'[3]App.2-B_Fixed Asset Continuity'!L95</f>
        <v>16444.63</v>
      </c>
      <c r="K24" s="489"/>
      <c r="L24" s="489">
        <f t="shared" si="1"/>
        <v>123053.64</v>
      </c>
      <c r="M24" s="489">
        <f t="shared" si="2"/>
        <v>289804.38</v>
      </c>
      <c r="N24" s="237"/>
    </row>
    <row r="25" spans="1:14" ht="12.75">
      <c r="A25" s="241" t="s">
        <v>203</v>
      </c>
      <c r="B25" s="484">
        <v>1865</v>
      </c>
      <c r="C25" s="485" t="s">
        <v>614</v>
      </c>
      <c r="D25" s="489">
        <f>'FA Continuity 2008'!G25</f>
        <v>0</v>
      </c>
      <c r="E25" s="489"/>
      <c r="F25" s="489"/>
      <c r="G25" s="489">
        <f t="shared" si="0"/>
        <v>0</v>
      </c>
      <c r="H25" s="518"/>
      <c r="I25" s="489">
        <f>SUMIF('FA Continuity 2008'!B:B,B25,'FA Continuity 2008'!L:L)</f>
        <v>0</v>
      </c>
      <c r="J25" s="489"/>
      <c r="K25" s="489"/>
      <c r="L25" s="489">
        <f t="shared" si="1"/>
        <v>0</v>
      </c>
      <c r="M25" s="489">
        <f t="shared" si="2"/>
        <v>0</v>
      </c>
      <c r="N25" s="237"/>
    </row>
    <row r="26" spans="1:14" ht="12.75">
      <c r="A26" s="241" t="s">
        <v>203</v>
      </c>
      <c r="B26" s="484">
        <v>1905</v>
      </c>
      <c r="C26" s="485" t="s">
        <v>513</v>
      </c>
      <c r="D26" s="489">
        <f>'FA Continuity 2008'!G26</f>
        <v>0</v>
      </c>
      <c r="E26" s="489"/>
      <c r="F26" s="489"/>
      <c r="G26" s="489">
        <f t="shared" si="0"/>
        <v>0</v>
      </c>
      <c r="H26" s="518"/>
      <c r="I26" s="489">
        <f>SUMIF('FA Continuity 2008'!B:B,B26,'FA Continuity 2008'!L:L)</f>
        <v>0</v>
      </c>
      <c r="J26" s="489"/>
      <c r="K26" s="489"/>
      <c r="L26" s="489">
        <f t="shared" si="1"/>
        <v>0</v>
      </c>
      <c r="M26" s="489">
        <f t="shared" si="2"/>
        <v>0</v>
      </c>
      <c r="N26" s="237"/>
    </row>
    <row r="27" spans="1:14" ht="12.75">
      <c r="A27" s="241" t="s">
        <v>470</v>
      </c>
      <c r="B27" s="484">
        <v>1906</v>
      </c>
      <c r="C27" s="485" t="s">
        <v>514</v>
      </c>
      <c r="D27" s="489"/>
      <c r="E27" s="489"/>
      <c r="F27" s="489"/>
      <c r="G27" s="489">
        <f t="shared" si="0"/>
        <v>0</v>
      </c>
      <c r="H27" s="518"/>
      <c r="I27" s="489">
        <f>SUMIF('FA Continuity 2008'!B:B,B27,'FA Continuity 2008'!L:L)</f>
        <v>0</v>
      </c>
      <c r="J27" s="489"/>
      <c r="K27" s="489"/>
      <c r="L27" s="489">
        <f t="shared" si="1"/>
        <v>0</v>
      </c>
      <c r="M27" s="489">
        <f t="shared" si="2"/>
        <v>0</v>
      </c>
      <c r="N27" s="237"/>
    </row>
    <row r="28" spans="1:14" ht="12.75">
      <c r="A28" s="241">
        <v>47</v>
      </c>
      <c r="B28" s="484">
        <v>1908</v>
      </c>
      <c r="C28" s="485" t="s">
        <v>607</v>
      </c>
      <c r="D28" s="489">
        <v>0</v>
      </c>
      <c r="E28" s="489"/>
      <c r="F28" s="489"/>
      <c r="G28" s="489">
        <f t="shared" si="0"/>
        <v>0</v>
      </c>
      <c r="H28" s="518"/>
      <c r="I28" s="489">
        <f>SUMIF('FA Continuity 2008'!B:B,B28,'FA Continuity 2008'!L:L)</f>
        <v>0</v>
      </c>
      <c r="J28" s="489"/>
      <c r="K28" s="489"/>
      <c r="L28" s="489">
        <f t="shared" si="1"/>
        <v>0</v>
      </c>
      <c r="M28" s="489">
        <f t="shared" si="2"/>
        <v>0</v>
      </c>
      <c r="N28" s="237"/>
    </row>
    <row r="29" spans="1:14" ht="12.75">
      <c r="A29" s="241">
        <v>13</v>
      </c>
      <c r="B29" s="484">
        <v>1910</v>
      </c>
      <c r="C29" s="485" t="s">
        <v>511</v>
      </c>
      <c r="D29" s="489">
        <f>'FA Continuity 2008'!G29</f>
        <v>8796.45</v>
      </c>
      <c r="E29" s="489"/>
      <c r="F29" s="489"/>
      <c r="G29" s="489">
        <f t="shared" si="0"/>
        <v>8796.45</v>
      </c>
      <c r="H29" s="518"/>
      <c r="I29" s="489">
        <f>SUMIF('FA Continuity 2008'!B:B,B29,'FA Continuity 2008'!L:L)</f>
        <v>439.82</v>
      </c>
      <c r="J29" s="489">
        <f>-'[3]App.2-B_Fixed Asset Continuity'!L100</f>
        <v>879.65</v>
      </c>
      <c r="K29" s="489"/>
      <c r="L29" s="489">
        <f t="shared" si="1"/>
        <v>1319.47</v>
      </c>
      <c r="M29" s="489">
        <f t="shared" si="2"/>
        <v>7476.9800000000005</v>
      </c>
      <c r="N29" s="237"/>
    </row>
    <row r="30" spans="1:14" ht="12.75">
      <c r="A30" s="241">
        <v>8</v>
      </c>
      <c r="B30" s="484">
        <v>1915</v>
      </c>
      <c r="C30" s="485" t="s">
        <v>615</v>
      </c>
      <c r="D30" s="489">
        <f>'FA Continuity 2008'!G30</f>
        <v>0</v>
      </c>
      <c r="E30" s="489"/>
      <c r="F30" s="489"/>
      <c r="G30" s="489">
        <f t="shared" si="0"/>
        <v>0</v>
      </c>
      <c r="H30" s="518"/>
      <c r="I30" s="489">
        <f>SUMIF('FA Continuity 2008'!B:B,B30,'FA Continuity 2008'!L:L)</f>
        <v>0</v>
      </c>
      <c r="J30" s="489"/>
      <c r="K30" s="489"/>
      <c r="L30" s="489">
        <f>I30+J30-K30</f>
        <v>0</v>
      </c>
      <c r="M30" s="489">
        <f>G30-L30</f>
        <v>0</v>
      </c>
      <c r="N30" s="237"/>
    </row>
    <row r="31" spans="1:14" ht="12.75">
      <c r="A31" s="241">
        <v>10</v>
      </c>
      <c r="B31" s="484">
        <v>1920</v>
      </c>
      <c r="C31" s="485" t="s">
        <v>616</v>
      </c>
      <c r="D31" s="489">
        <f>'FA Continuity 2008'!G31</f>
        <v>134070.38999999998</v>
      </c>
      <c r="E31" s="489">
        <f>'[3]App.2-B_Fixed Asset Continuity'!$G$103+'[3]App.2-B_Fixed Asset Continuity'!$G$104+'[3]App.2-B_Fixed Asset Continuity'!$G$105</f>
        <v>18112.33</v>
      </c>
      <c r="F31" s="489">
        <f>-'[3]App.2-B_Fixed Asset Continuity'!H104</f>
        <v>800</v>
      </c>
      <c r="G31" s="489">
        <f t="shared" si="0"/>
        <v>151382.71999999997</v>
      </c>
      <c r="H31" s="518"/>
      <c r="I31" s="489">
        <f>SUMIF('FA Continuity 2008'!B:B,B31,'FA Continuity 2008'!L:L)</f>
        <v>103523.25</v>
      </c>
      <c r="J31" s="489">
        <f>-'[3]App.2-B_Fixed Asset Continuity'!$L$103-'[3]App.2-B_Fixed Asset Continuity'!$L$104-'[3]App.2-B_Fixed Asset Continuity'!$L$105</f>
        <v>28785.31</v>
      </c>
      <c r="K31" s="489">
        <f>'[3]App.2-B_Fixed Asset Continuity'!$M$103+'[3]App.2-B_Fixed Asset Continuity'!$M$104+'[3]App.2-B_Fixed Asset Continuity'!$M$105</f>
        <v>800</v>
      </c>
      <c r="L31" s="489">
        <f t="shared" si="1"/>
        <v>131508.56</v>
      </c>
      <c r="M31" s="489">
        <f t="shared" si="2"/>
        <v>19874.159999999974</v>
      </c>
      <c r="N31" s="237"/>
    </row>
    <row r="32" spans="1:14" ht="12.75">
      <c r="A32" s="241">
        <v>12</v>
      </c>
      <c r="B32" s="484">
        <v>1925</v>
      </c>
      <c r="C32" s="485" t="s">
        <v>505</v>
      </c>
      <c r="D32" s="489">
        <f>'FA Continuity 2008'!G32</f>
        <v>81210</v>
      </c>
      <c r="E32" s="489">
        <f>'[3]App.2-B_Fixed Asset Continuity'!G106</f>
        <v>38392.53</v>
      </c>
      <c r="F32" s="489"/>
      <c r="G32" s="489">
        <f t="shared" si="0"/>
        <v>119602.53</v>
      </c>
      <c r="H32" s="518"/>
      <c r="I32" s="489">
        <f>SUMIF('FA Continuity 2008'!B:B,B32,'FA Continuity 2008'!L:L)</f>
        <v>19653.7</v>
      </c>
      <c r="J32" s="489">
        <f>-'[3]App.2-B_Fixed Asset Continuity'!L106</f>
        <v>20081.25</v>
      </c>
      <c r="K32" s="489"/>
      <c r="L32" s="489">
        <f t="shared" si="1"/>
        <v>39734.95</v>
      </c>
      <c r="M32" s="489">
        <f t="shared" si="2"/>
        <v>79867.58</v>
      </c>
      <c r="N32" s="237"/>
    </row>
    <row r="33" spans="1:14" ht="12.75">
      <c r="A33" s="241">
        <v>10</v>
      </c>
      <c r="B33" s="484">
        <v>1930</v>
      </c>
      <c r="C33" s="485" t="s">
        <v>515</v>
      </c>
      <c r="D33" s="489">
        <f>'FA Continuity 2008'!G33</f>
        <v>22126.36</v>
      </c>
      <c r="E33" s="489">
        <f>'[3]App.2-B_Fixed Asset Continuity'!G107</f>
        <v>267034.42</v>
      </c>
      <c r="F33" s="489"/>
      <c r="G33" s="489">
        <f t="shared" si="0"/>
        <v>289160.77999999997</v>
      </c>
      <c r="H33" s="518"/>
      <c r="I33" s="489">
        <f>SUMIF('FA Continuity 2008'!B:B,B33,'FA Continuity 2008'!L:L)</f>
        <v>2765.8</v>
      </c>
      <c r="J33" s="489">
        <f>-'[3]App.2-B_Fixed Asset Continuity'!L107</f>
        <v>22221.24</v>
      </c>
      <c r="K33" s="489"/>
      <c r="L33" s="489">
        <f t="shared" si="1"/>
        <v>24987.04</v>
      </c>
      <c r="M33" s="489">
        <f t="shared" si="2"/>
        <v>264173.74</v>
      </c>
      <c r="N33" s="237"/>
    </row>
    <row r="34" spans="1:14" ht="12.75">
      <c r="A34" s="241">
        <v>8</v>
      </c>
      <c r="B34" s="484">
        <v>1935</v>
      </c>
      <c r="C34" s="485" t="s">
        <v>516</v>
      </c>
      <c r="D34" s="489">
        <f>'FA Continuity 2008'!G34</f>
        <v>0</v>
      </c>
      <c r="E34" s="489"/>
      <c r="F34" s="489"/>
      <c r="G34" s="489">
        <f t="shared" si="0"/>
        <v>0</v>
      </c>
      <c r="H34" s="518"/>
      <c r="I34" s="489">
        <f>SUMIF('FA Continuity 2008'!B:B,B34,'FA Continuity 2008'!L:L)</f>
        <v>0</v>
      </c>
      <c r="J34" s="489"/>
      <c r="K34" s="489"/>
      <c r="L34" s="489">
        <f t="shared" si="1"/>
        <v>0</v>
      </c>
      <c r="M34" s="489">
        <f t="shared" si="2"/>
        <v>0</v>
      </c>
      <c r="N34" s="237"/>
    </row>
    <row r="35" spans="1:14" ht="12.75">
      <c r="A35" s="241">
        <v>8</v>
      </c>
      <c r="B35" s="484">
        <v>1940</v>
      </c>
      <c r="C35" s="485" t="s">
        <v>617</v>
      </c>
      <c r="D35" s="489">
        <f>'FA Continuity 2008'!G35</f>
        <v>122568.85</v>
      </c>
      <c r="E35" s="489">
        <f>'[3]App.2-B_Fixed Asset Continuity'!G109</f>
        <v>6639.68</v>
      </c>
      <c r="F35" s="489"/>
      <c r="G35" s="489">
        <f t="shared" si="0"/>
        <v>129208.53</v>
      </c>
      <c r="H35" s="518"/>
      <c r="I35" s="489">
        <f>SUMIF('FA Continuity 2008'!B:B,B35,'FA Continuity 2008'!L:L)</f>
        <v>71898.99</v>
      </c>
      <c r="J35" s="489">
        <f>-'[3]App.2-B_Fixed Asset Continuity'!L109</f>
        <v>12588.87</v>
      </c>
      <c r="K35" s="489"/>
      <c r="L35" s="489">
        <f t="shared" si="1"/>
        <v>84487.86</v>
      </c>
      <c r="M35" s="489">
        <f t="shared" si="2"/>
        <v>44720.67</v>
      </c>
      <c r="N35" s="237"/>
    </row>
    <row r="36" spans="1:14" ht="12.75">
      <c r="A36" s="241">
        <v>8</v>
      </c>
      <c r="B36" s="484">
        <v>1945</v>
      </c>
      <c r="C36" s="485" t="s">
        <v>618</v>
      </c>
      <c r="D36" s="489">
        <f>'FA Continuity 2008'!G38</f>
        <v>0</v>
      </c>
      <c r="E36" s="489"/>
      <c r="F36" s="489"/>
      <c r="G36" s="489">
        <f t="shared" si="0"/>
        <v>0</v>
      </c>
      <c r="H36" s="518"/>
      <c r="I36" s="489">
        <f>SUMIF('FA Continuity 2008'!B:B,B36,'FA Continuity 2008'!L:L)</f>
        <v>0</v>
      </c>
      <c r="J36" s="489"/>
      <c r="K36" s="489"/>
      <c r="L36" s="489">
        <f t="shared" si="1"/>
        <v>0</v>
      </c>
      <c r="M36" s="489">
        <f t="shared" si="2"/>
        <v>0</v>
      </c>
      <c r="N36" s="237"/>
    </row>
    <row r="37" spans="1:14" ht="12.75">
      <c r="A37" s="241">
        <v>8</v>
      </c>
      <c r="B37" s="484">
        <v>1950</v>
      </c>
      <c r="C37" s="485" t="s">
        <v>619</v>
      </c>
      <c r="D37" s="489">
        <f>'FA Continuity 2008'!G39</f>
        <v>0</v>
      </c>
      <c r="E37" s="489"/>
      <c r="F37" s="489"/>
      <c r="G37" s="489">
        <f t="shared" si="0"/>
        <v>0</v>
      </c>
      <c r="H37" s="518"/>
      <c r="I37" s="489">
        <f>SUMIF('FA Continuity 2008'!B:B,B37,'FA Continuity 2008'!L:L)</f>
        <v>0</v>
      </c>
      <c r="J37" s="489"/>
      <c r="K37" s="489"/>
      <c r="L37" s="489">
        <f t="shared" si="1"/>
        <v>0</v>
      </c>
      <c r="M37" s="489">
        <f t="shared" si="2"/>
        <v>0</v>
      </c>
      <c r="N37" s="237"/>
    </row>
    <row r="38" spans="1:14" ht="12.75">
      <c r="A38" s="241">
        <v>8</v>
      </c>
      <c r="B38" s="484">
        <v>1955</v>
      </c>
      <c r="C38" s="485" t="s">
        <v>620</v>
      </c>
      <c r="D38" s="489">
        <f>'FA Continuity 2008'!G40</f>
        <v>0</v>
      </c>
      <c r="E38" s="489"/>
      <c r="F38" s="489"/>
      <c r="G38" s="489">
        <f t="shared" si="0"/>
        <v>0</v>
      </c>
      <c r="H38" s="518"/>
      <c r="I38" s="489">
        <f>SUMIF('FA Continuity 2008'!B:B,B38,'FA Continuity 2008'!L:L)</f>
        <v>0</v>
      </c>
      <c r="J38" s="489"/>
      <c r="K38" s="489"/>
      <c r="L38" s="489">
        <f t="shared" si="1"/>
        <v>0</v>
      </c>
      <c r="M38" s="489">
        <f t="shared" si="2"/>
        <v>0</v>
      </c>
      <c r="N38" s="237"/>
    </row>
    <row r="39" spans="1:14" ht="12.75">
      <c r="A39" s="241">
        <v>8</v>
      </c>
      <c r="B39" s="484">
        <v>1960</v>
      </c>
      <c r="C39" s="485" t="s">
        <v>517</v>
      </c>
      <c r="D39" s="489">
        <f>'FA Continuity 2008'!G41</f>
        <v>0</v>
      </c>
      <c r="E39" s="489"/>
      <c r="F39" s="489"/>
      <c r="G39" s="489">
        <f t="shared" si="0"/>
        <v>0</v>
      </c>
      <c r="H39" s="518"/>
      <c r="I39" s="489">
        <f>SUMIF('FA Continuity 2008'!B:B,B39,'FA Continuity 2008'!L:L)</f>
        <v>0</v>
      </c>
      <c r="J39" s="489"/>
      <c r="K39" s="489"/>
      <c r="L39" s="489">
        <f>I39+J39-K39</f>
        <v>0</v>
      </c>
      <c r="M39" s="489">
        <f>G39-L39</f>
        <v>0</v>
      </c>
      <c r="N39" s="237"/>
    </row>
    <row r="40" spans="1:14" ht="12.75">
      <c r="A40" s="241">
        <v>47</v>
      </c>
      <c r="B40" s="484">
        <v>1970</v>
      </c>
      <c r="C40" s="485" t="s">
        <v>621</v>
      </c>
      <c r="D40" s="489">
        <v>0</v>
      </c>
      <c r="E40" s="489"/>
      <c r="F40" s="489"/>
      <c r="G40" s="489">
        <f t="shared" si="0"/>
        <v>0</v>
      </c>
      <c r="H40" s="518"/>
      <c r="I40" s="489">
        <f>SUMIF('FA Continuity 2008'!B:B,B40,'FA Continuity 2008'!L:L)</f>
        <v>0</v>
      </c>
      <c r="J40" s="489"/>
      <c r="K40" s="489"/>
      <c r="L40" s="489">
        <f>I40+J40-K40</f>
        <v>0</v>
      </c>
      <c r="M40" s="489">
        <f>G40-L40</f>
        <v>0</v>
      </c>
      <c r="N40" s="237"/>
    </row>
    <row r="41" spans="1:14" ht="12.75">
      <c r="A41" s="241">
        <v>47</v>
      </c>
      <c r="B41" s="484">
        <v>1975</v>
      </c>
      <c r="C41" s="485" t="s">
        <v>622</v>
      </c>
      <c r="D41" s="489">
        <f>'FA Continuity 2008'!G43</f>
        <v>0</v>
      </c>
      <c r="E41" s="489"/>
      <c r="F41" s="489"/>
      <c r="G41" s="489">
        <f t="shared" si="0"/>
        <v>0</v>
      </c>
      <c r="H41" s="518"/>
      <c r="I41" s="489">
        <f>SUMIF('FA Continuity 2008'!B:B,B41,'FA Continuity 2008'!L:L)</f>
        <v>0</v>
      </c>
      <c r="J41" s="489"/>
      <c r="K41" s="489"/>
      <c r="L41" s="489">
        <f>I41+J41-K41</f>
        <v>0</v>
      </c>
      <c r="M41" s="489">
        <f>G41-L41</f>
        <v>0</v>
      </c>
      <c r="N41" s="237"/>
    </row>
    <row r="42" spans="1:14" ht="12.75">
      <c r="A42" s="241">
        <v>47</v>
      </c>
      <c r="B42" s="484">
        <v>1980</v>
      </c>
      <c r="C42" s="485" t="s">
        <v>518</v>
      </c>
      <c r="D42" s="489">
        <f>'FA Continuity 2008'!G42</f>
        <v>0</v>
      </c>
      <c r="E42" s="489"/>
      <c r="F42" s="489"/>
      <c r="G42" s="489">
        <f t="shared" si="0"/>
        <v>0</v>
      </c>
      <c r="H42" s="518"/>
      <c r="I42" s="489">
        <f>SUMIF('FA Continuity 2008'!B:B,B42,'FA Continuity 2008'!L:L)</f>
        <v>0</v>
      </c>
      <c r="J42" s="489"/>
      <c r="K42" s="489"/>
      <c r="L42" s="489">
        <f>I42+J42-K42</f>
        <v>0</v>
      </c>
      <c r="M42" s="489">
        <f>G42-L42</f>
        <v>0</v>
      </c>
      <c r="N42" s="237"/>
    </row>
    <row r="43" spans="1:14" ht="12.75">
      <c r="A43" s="241">
        <v>47</v>
      </c>
      <c r="B43" s="484">
        <v>1985</v>
      </c>
      <c r="C43" s="485" t="s">
        <v>623</v>
      </c>
      <c r="D43" s="489">
        <f>'FA Continuity 2008'!D43</f>
        <v>0</v>
      </c>
      <c r="E43" s="489"/>
      <c r="F43" s="489"/>
      <c r="G43" s="489">
        <f t="shared" si="0"/>
        <v>0</v>
      </c>
      <c r="H43" s="518"/>
      <c r="I43" s="489">
        <f>SUMIF('FA Continuity 2008'!B:B,B43,'FA Continuity 2008'!L:L)</f>
        <v>0</v>
      </c>
      <c r="J43" s="489"/>
      <c r="K43" s="489"/>
      <c r="L43" s="489">
        <f>I43+J43-K43</f>
        <v>0</v>
      </c>
      <c r="M43" s="489">
        <f>G43-L43</f>
        <v>0</v>
      </c>
      <c r="N43" s="237"/>
    </row>
    <row r="44" spans="1:14" ht="12.75">
      <c r="A44" s="241">
        <v>47</v>
      </c>
      <c r="B44" s="484">
        <v>1990</v>
      </c>
      <c r="C44" s="485" t="s">
        <v>624</v>
      </c>
      <c r="D44" s="489">
        <f>'FA Continuity 2008'!D44</f>
        <v>0</v>
      </c>
      <c r="E44" s="489"/>
      <c r="F44" s="489"/>
      <c r="G44" s="489">
        <f t="shared" si="0"/>
        <v>0</v>
      </c>
      <c r="H44" s="518"/>
      <c r="I44" s="489">
        <f>SUMIF('FA Continuity 2008'!B:B,B44,'FA Continuity 2008'!L:L)</f>
        <v>0</v>
      </c>
      <c r="J44" s="489"/>
      <c r="K44" s="489"/>
      <c r="L44" s="489">
        <f t="shared" si="1"/>
        <v>0</v>
      </c>
      <c r="M44" s="489">
        <f t="shared" si="2"/>
        <v>0</v>
      </c>
      <c r="N44" s="237"/>
    </row>
    <row r="45" spans="1:14" ht="12.75">
      <c r="A45" s="241">
        <v>47</v>
      </c>
      <c r="B45" s="484">
        <v>1995</v>
      </c>
      <c r="C45" s="485" t="s">
        <v>625</v>
      </c>
      <c r="D45" s="489">
        <f>'FA Continuity 2008'!G45</f>
        <v>-361203.58999999997</v>
      </c>
      <c r="E45" s="489">
        <f>'[3]App.2-B_Fixed Asset Continuity'!G118</f>
        <v>216</v>
      </c>
      <c r="F45" s="489"/>
      <c r="G45" s="489">
        <f t="shared" si="0"/>
        <v>-360987.58999999997</v>
      </c>
      <c r="H45" s="518"/>
      <c r="I45" s="489">
        <f>SUMIF('FA Continuity 2008'!B:B,B45,'FA Continuity 2008'!L:L)</f>
        <v>-51107.670000000006</v>
      </c>
      <c r="J45" s="489">
        <f>-'[3]App.2-B_Fixed Asset Continuity'!L118</f>
        <v>-14443.82</v>
      </c>
      <c r="K45" s="489"/>
      <c r="L45" s="489">
        <f t="shared" si="1"/>
        <v>-65551.49</v>
      </c>
      <c r="M45" s="489">
        <f t="shared" si="2"/>
        <v>-295436.1</v>
      </c>
      <c r="N45" s="237"/>
    </row>
    <row r="46" spans="1:14" ht="12.75">
      <c r="A46" s="241">
        <f>'FA Continuity 2008'!A46</f>
        <v>0</v>
      </c>
      <c r="B46" s="484">
        <f>'FA Continuity 2008'!B46</f>
        <v>2005</v>
      </c>
      <c r="C46" s="485" t="str">
        <f>'FA Continuity 2008'!C46</f>
        <v>Property under Capital Lease</v>
      </c>
      <c r="D46" s="489">
        <f>'FA Continuity 2008'!D46</f>
        <v>0</v>
      </c>
      <c r="E46" s="489"/>
      <c r="F46" s="489"/>
      <c r="G46" s="489">
        <f t="shared" si="0"/>
        <v>0</v>
      </c>
      <c r="H46" s="518"/>
      <c r="I46" s="489">
        <f>SUMIF('FA Continuity 2008'!B:B,B46,'FA Continuity 2008'!L:L)</f>
        <v>0</v>
      </c>
      <c r="J46" s="489"/>
      <c r="K46" s="489"/>
      <c r="L46" s="489">
        <f t="shared" si="1"/>
        <v>0</v>
      </c>
      <c r="M46" s="489">
        <f t="shared" si="2"/>
        <v>0</v>
      </c>
      <c r="N46" s="237"/>
    </row>
    <row r="47" spans="1:14" ht="12.75">
      <c r="A47" s="241"/>
      <c r="B47" s="492"/>
      <c r="C47" s="493" t="s">
        <v>217</v>
      </c>
      <c r="D47" s="494">
        <f>SUM(D10:D46)</f>
        <v>5216079.210000001</v>
      </c>
      <c r="E47" s="494">
        <f>SUM(E10:E46)</f>
        <v>543809.66</v>
      </c>
      <c r="F47" s="494">
        <f>SUM(F10:F46)</f>
        <v>800</v>
      </c>
      <c r="G47" s="494">
        <f>SUM(G10:G46)</f>
        <v>5759088.870000002</v>
      </c>
      <c r="H47" s="518"/>
      <c r="I47" s="494">
        <f>SUM(I10:I46)</f>
        <v>1367599.6099999999</v>
      </c>
      <c r="J47" s="494">
        <f>SUM(J10:J46)</f>
        <v>277766.94</v>
      </c>
      <c r="K47" s="494">
        <f>SUM(K10:K46)</f>
        <v>1383.2</v>
      </c>
      <c r="L47" s="494">
        <f>SUM(L10:L46)</f>
        <v>1643983.35</v>
      </c>
      <c r="M47" s="494">
        <f>SUM(M10:M46)</f>
        <v>4115105.520000001</v>
      </c>
      <c r="N47" s="237"/>
    </row>
    <row r="48" spans="1:14" ht="12.75">
      <c r="A48" s="241"/>
      <c r="B48" s="492"/>
      <c r="C48" s="485"/>
      <c r="D48" s="489"/>
      <c r="E48" s="489"/>
      <c r="F48" s="489"/>
      <c r="G48" s="489"/>
      <c r="H48" s="518"/>
      <c r="I48" s="489"/>
      <c r="J48" s="489"/>
      <c r="K48" s="489"/>
      <c r="L48" s="489"/>
      <c r="M48" s="489"/>
      <c r="N48" s="237"/>
    </row>
    <row r="49" spans="1:14" ht="12.75">
      <c r="A49" s="241" t="s">
        <v>204</v>
      </c>
      <c r="B49" s="492"/>
      <c r="C49" s="485" t="s">
        <v>251</v>
      </c>
      <c r="D49" s="489">
        <f>'FA Continuity 2008'!G49</f>
        <v>7063.760000000002</v>
      </c>
      <c r="E49" s="489">
        <v>-7063.76</v>
      </c>
      <c r="F49" s="489"/>
      <c r="G49" s="489">
        <f>D49+E49-F49</f>
        <v>1.8189894035458565E-12</v>
      </c>
      <c r="H49" s="518"/>
      <c r="I49" s="489">
        <f>'FA Continuity 2008'!L49</f>
        <v>0</v>
      </c>
      <c r="J49" s="489"/>
      <c r="K49" s="489"/>
      <c r="L49" s="489">
        <f>I49+J49-K49</f>
        <v>0</v>
      </c>
      <c r="M49" s="489">
        <f>G49-L49</f>
        <v>1.8189894035458565E-12</v>
      </c>
      <c r="N49" s="237"/>
    </row>
    <row r="50" spans="1:14" ht="12.75">
      <c r="A50" s="241"/>
      <c r="B50" s="492"/>
      <c r="C50" s="493" t="s">
        <v>218</v>
      </c>
      <c r="D50" s="494">
        <f>SUM(D47:D49)</f>
        <v>5223142.970000001</v>
      </c>
      <c r="E50" s="494">
        <f>SUM(E47:E49)</f>
        <v>536745.9</v>
      </c>
      <c r="F50" s="494">
        <f>SUM(F47:F49)</f>
        <v>800</v>
      </c>
      <c r="G50" s="494">
        <f>SUM(G47:G49)</f>
        <v>5759088.870000002</v>
      </c>
      <c r="H50" s="518"/>
      <c r="I50" s="494">
        <f>SUM(I47:I49)</f>
        <v>1367599.6099999999</v>
      </c>
      <c r="J50" s="494">
        <f>SUM(J47:J49)</f>
        <v>277766.94</v>
      </c>
      <c r="K50" s="494">
        <f>SUM(K47:K49)</f>
        <v>1383.2</v>
      </c>
      <c r="L50" s="494">
        <f>SUM(L47:L49)</f>
        <v>1643983.35</v>
      </c>
      <c r="M50" s="494">
        <f>SUM(M47:M49)</f>
        <v>4115105.520000001</v>
      </c>
      <c r="N50" s="237"/>
    </row>
    <row r="51" spans="1:13" ht="12.75">
      <c r="A51" s="240"/>
      <c r="B51" s="477"/>
      <c r="C51" s="495"/>
      <c r="D51" s="440"/>
      <c r="E51" s="440"/>
      <c r="F51" s="440"/>
      <c r="G51" s="440"/>
      <c r="H51" s="401"/>
      <c r="I51" s="401"/>
      <c r="J51" s="401"/>
      <c r="K51" s="401"/>
      <c r="L51" s="401"/>
      <c r="M51" s="401"/>
    </row>
    <row r="52" spans="1:13" ht="12.75">
      <c r="A52" s="477"/>
      <c r="B52" s="477"/>
      <c r="C52" s="495"/>
      <c r="D52" s="440"/>
      <c r="E52" s="440"/>
      <c r="F52" s="440"/>
      <c r="G52" s="440"/>
      <c r="H52" s="516" t="s">
        <v>252</v>
      </c>
      <c r="I52" s="516"/>
      <c r="J52" s="516"/>
      <c r="K52" s="401"/>
      <c r="L52" s="18"/>
      <c r="M52" s="401"/>
    </row>
    <row r="53" spans="1:13" ht="12.75">
      <c r="A53" s="484"/>
      <c r="B53" s="484">
        <f>B32</f>
        <v>1925</v>
      </c>
      <c r="C53" s="485" t="s">
        <v>253</v>
      </c>
      <c r="D53" s="440"/>
      <c r="E53" s="440"/>
      <c r="F53" s="440"/>
      <c r="G53" s="440"/>
      <c r="H53" s="523" t="s">
        <v>253</v>
      </c>
      <c r="I53" s="523"/>
      <c r="J53" s="498"/>
      <c r="K53" s="401"/>
      <c r="L53" s="18"/>
      <c r="M53" s="401"/>
    </row>
    <row r="54" spans="1:13" ht="12.75">
      <c r="A54" s="484"/>
      <c r="B54" s="484">
        <f>B33</f>
        <v>1930</v>
      </c>
      <c r="C54" s="485" t="s">
        <v>516</v>
      </c>
      <c r="D54" s="440"/>
      <c r="E54" s="440"/>
      <c r="F54" s="440"/>
      <c r="G54" s="440"/>
      <c r="H54" s="523" t="s">
        <v>777</v>
      </c>
      <c r="I54" s="523"/>
      <c r="J54" s="498"/>
      <c r="K54" s="401"/>
      <c r="L54" s="18"/>
      <c r="M54" s="401"/>
    </row>
    <row r="55" spans="1:13" ht="13.5" thickBot="1">
      <c r="A55" s="477"/>
      <c r="B55" s="477"/>
      <c r="C55" s="495"/>
      <c r="D55" s="440"/>
      <c r="E55" s="440"/>
      <c r="F55" s="440"/>
      <c r="G55" s="440"/>
      <c r="H55" s="523" t="s">
        <v>254</v>
      </c>
      <c r="I55" s="523"/>
      <c r="J55" s="499">
        <f>J50-J53-J54</f>
        <v>277766.94</v>
      </c>
      <c r="K55" s="401"/>
      <c r="L55" s="18"/>
      <c r="M55" s="401"/>
    </row>
    <row r="56" spans="1:13" ht="13.5" thickTop="1">
      <c r="A56" s="477"/>
      <c r="B56" s="477"/>
      <c r="C56" s="495"/>
      <c r="D56" s="440"/>
      <c r="E56" s="440"/>
      <c r="F56" s="440"/>
      <c r="G56" s="440"/>
      <c r="H56" s="401"/>
      <c r="I56" s="401"/>
      <c r="J56" s="401"/>
      <c r="K56" s="401"/>
      <c r="L56" s="18"/>
      <c r="M56" s="401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3:13" ht="12.75">
      <c r="C64" s="210"/>
      <c r="D64" s="211"/>
      <c r="E64" s="211"/>
      <c r="F64" s="211"/>
      <c r="G64" s="211"/>
      <c r="H64" s="212"/>
      <c r="I64" s="213"/>
      <c r="J64" s="213"/>
      <c r="K64" s="213"/>
      <c r="L64" s="213"/>
      <c r="M64" s="213"/>
    </row>
    <row r="65" spans="3:13" ht="12.75">
      <c r="C65" s="210"/>
      <c r="D65" s="211"/>
      <c r="E65" s="211"/>
      <c r="F65" s="211"/>
      <c r="G65" s="211"/>
      <c r="H65" s="212"/>
      <c r="I65" s="213"/>
      <c r="J65" s="213"/>
      <c r="K65" s="213"/>
      <c r="L65" s="213"/>
      <c r="M65" s="213"/>
    </row>
  </sheetData>
  <sheetProtection/>
  <mergeCells count="26">
    <mergeCell ref="A1:M1"/>
    <mergeCell ref="A2:M2"/>
    <mergeCell ref="H53:I53"/>
    <mergeCell ref="H54:I54"/>
    <mergeCell ref="K8:K9"/>
    <mergeCell ref="L8:L9"/>
    <mergeCell ref="M8:M9"/>
    <mergeCell ref="I8:I9"/>
    <mergeCell ref="A8:A9"/>
    <mergeCell ref="B8:B9"/>
    <mergeCell ref="H55:I55"/>
    <mergeCell ref="H8:H50"/>
    <mergeCell ref="A3:C3"/>
    <mergeCell ref="A4:C4"/>
    <mergeCell ref="A5:C5"/>
    <mergeCell ref="H52:J52"/>
    <mergeCell ref="J8:J9"/>
    <mergeCell ref="E8:E9"/>
    <mergeCell ref="F8:F9"/>
    <mergeCell ref="G8:G9"/>
    <mergeCell ref="C8:C9"/>
    <mergeCell ref="D8:D9"/>
    <mergeCell ref="I7:L7"/>
    <mergeCell ref="D6:G6"/>
    <mergeCell ref="I6:L6"/>
    <mergeCell ref="D7:G7"/>
  </mergeCells>
  <printOptions/>
  <pageMargins left="0.4330708661417323" right="0.3937007874015748" top="0.7480314960629921" bottom="0.5511811023622047" header="0.5118110236220472" footer="0.2362204724409449"/>
  <pageSetup fitToHeight="1" fitToWidth="1" horizontalDpi="355" verticalDpi="355" orientation="landscape" scale="76" r:id="rId1"/>
  <headerFooter alignWithMargins="0">
    <oddFooter>&amp;L&amp;A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120" zoomScaleNormal="120" zoomScalePageLayoutView="0" workbookViewId="0" topLeftCell="B40">
      <selection activeCell="C52" sqref="C52:E55"/>
    </sheetView>
  </sheetViews>
  <sheetFormatPr defaultColWidth="9.140625" defaultRowHeight="12.75"/>
  <cols>
    <col min="1" max="1" width="1.421875" style="0" customWidth="1"/>
    <col min="2" max="2" width="29.7109375" style="0" customWidth="1"/>
    <col min="3" max="3" width="55.7109375" style="0" customWidth="1"/>
    <col min="4" max="4" width="10.8515625" style="0" customWidth="1"/>
    <col min="5" max="5" width="9.57421875" style="0" bestFit="1" customWidth="1"/>
    <col min="6" max="6" width="10.00390625" style="0" bestFit="1" customWidth="1"/>
    <col min="7" max="7" width="1.28515625" style="0" customWidth="1"/>
    <col min="8" max="8" width="2.00390625" style="0" customWidth="1"/>
    <col min="9" max="9" width="11.7109375" style="0" customWidth="1"/>
  </cols>
  <sheetData>
    <row r="1" spans="1:7" ht="12.75">
      <c r="A1" s="519" t="str">
        <f>'Trial Balance'!A1:F1</f>
        <v>Rideau St. Lawrence Distribution Inc.</v>
      </c>
      <c r="B1" s="519"/>
      <c r="C1" s="519"/>
      <c r="D1" s="519"/>
      <c r="E1" s="519"/>
      <c r="F1" s="519"/>
      <c r="G1" s="519"/>
    </row>
    <row r="2" spans="1:7" ht="12.75">
      <c r="A2" s="519" t="str">
        <f>'Trial Balance'!A2:F2</f>
        <v> License Number ED-2003-0003, File Number EB-2011-0274</v>
      </c>
      <c r="B2" s="519"/>
      <c r="C2" s="519"/>
      <c r="D2" s="519"/>
      <c r="E2" s="519"/>
      <c r="F2" s="519"/>
      <c r="G2" s="519"/>
    </row>
    <row r="3" ht="8.25" customHeight="1"/>
    <row r="4" spans="2:3" ht="18.75" thickBot="1">
      <c r="B4" s="646" t="s">
        <v>427</v>
      </c>
      <c r="C4" s="646"/>
    </row>
    <row r="5" spans="2:3" ht="12.75">
      <c r="B5" s="158" t="s">
        <v>382</v>
      </c>
      <c r="C5" s="159">
        <f>'Return on Capital'!AD25</f>
        <v>1843300</v>
      </c>
    </row>
    <row r="6" spans="2:3" ht="12.75">
      <c r="B6" s="160" t="s">
        <v>383</v>
      </c>
      <c r="C6" s="161">
        <f>'FA Continuity 2012'!J55</f>
        <v>337176.76335881406</v>
      </c>
    </row>
    <row r="7" spans="2:3" ht="12.75">
      <c r="B7" s="162" t="s">
        <v>384</v>
      </c>
      <c r="C7" s="231">
        <f>C5+C6</f>
        <v>2180476.763358814</v>
      </c>
    </row>
    <row r="8" spans="2:3" ht="12.75">
      <c r="B8" s="160" t="s">
        <v>180</v>
      </c>
      <c r="C8" s="161">
        <f>'Return on Capital'!AD40</f>
        <v>413696.9741418606</v>
      </c>
    </row>
    <row r="9" spans="2:6" ht="12.75">
      <c r="B9" s="160" t="s">
        <v>421</v>
      </c>
      <c r="C9" s="161">
        <f>'Capital Tax &amp; Expense Schedules'!K21</f>
        <v>36674.47101904824</v>
      </c>
      <c r="E9" s="283"/>
      <c r="F9" s="264"/>
    </row>
    <row r="10" spans="2:9" ht="13.5" thickBot="1">
      <c r="B10" s="163" t="s">
        <v>427</v>
      </c>
      <c r="C10" s="164">
        <f>C7+C8+C9</f>
        <v>2630848.2085197233</v>
      </c>
      <c r="D10" s="279">
        <f>C10-'2012 Rev Deficiency'!D10</f>
        <v>0</v>
      </c>
      <c r="I10" s="475">
        <f>+C10</f>
        <v>2630848.2085197233</v>
      </c>
    </row>
    <row r="11" ht="8.25" customHeight="1" thickBot="1"/>
    <row r="12" spans="1:7" ht="8.25" customHeight="1">
      <c r="A12" s="35"/>
      <c r="B12" s="36"/>
      <c r="C12" s="36"/>
      <c r="D12" s="36"/>
      <c r="E12" s="36"/>
      <c r="F12" s="36"/>
      <c r="G12" s="37"/>
    </row>
    <row r="13" spans="1:7" ht="18">
      <c r="A13" s="38"/>
      <c r="B13" s="624" t="s">
        <v>388</v>
      </c>
      <c r="C13" s="624"/>
      <c r="D13" s="624"/>
      <c r="E13" s="624"/>
      <c r="F13" s="624"/>
      <c r="G13" s="47"/>
    </row>
    <row r="14" spans="1:7" ht="12.75">
      <c r="A14" s="38"/>
      <c r="B14" s="167" t="s">
        <v>482</v>
      </c>
      <c r="C14" s="167" t="s">
        <v>510</v>
      </c>
      <c r="D14" s="165" t="s">
        <v>385</v>
      </c>
      <c r="E14" s="166" t="s">
        <v>386</v>
      </c>
      <c r="F14" s="165" t="s">
        <v>387</v>
      </c>
      <c r="G14" s="47"/>
    </row>
    <row r="15" spans="1:7" ht="12.75">
      <c r="A15" s="38"/>
      <c r="B15" s="168" t="s">
        <v>137</v>
      </c>
      <c r="C15" s="169" t="str">
        <f>+'2011 Income Statement'!A27</f>
        <v>4080-Distribution Services Revenue</v>
      </c>
      <c r="D15" s="385">
        <f>'[3]App.2-C_Other_Oper_Rev'!$I$17</f>
        <v>-21528</v>
      </c>
      <c r="E15" s="171">
        <v>1</v>
      </c>
      <c r="F15" s="170">
        <f>D15*E15</f>
        <v>-21528</v>
      </c>
      <c r="G15" s="47"/>
    </row>
    <row r="16" spans="1:7" ht="12.75">
      <c r="A16" s="38"/>
      <c r="B16" s="168">
        <v>4082</v>
      </c>
      <c r="C16" s="169" t="str">
        <f>+'2011 Income Statement'!A28</f>
        <v>4082-RS Rev</v>
      </c>
      <c r="D16" s="385">
        <f>'2012 Income Statement'!B28</f>
        <v>-8550</v>
      </c>
      <c r="E16" s="171">
        <v>1</v>
      </c>
      <c r="F16" s="170">
        <f aca="true" t="shared" si="0" ref="F16:F48">D16*E16</f>
        <v>-8550</v>
      </c>
      <c r="G16" s="47"/>
    </row>
    <row r="17" spans="1:7" ht="12.75">
      <c r="A17" s="38"/>
      <c r="B17" s="168">
        <v>4084</v>
      </c>
      <c r="C17" s="169" t="str">
        <f>+'2011 Income Statement'!A29</f>
        <v>4084-Serv Tx Requests</v>
      </c>
      <c r="D17" s="385">
        <f>'2012 Income Statement'!B29</f>
        <v>-136</v>
      </c>
      <c r="E17" s="171">
        <v>1</v>
      </c>
      <c r="F17" s="170">
        <f t="shared" si="0"/>
        <v>-136</v>
      </c>
      <c r="G17" s="47"/>
    </row>
    <row r="18" spans="1:7" ht="12.75">
      <c r="A18" s="38"/>
      <c r="B18" s="168">
        <v>4090</v>
      </c>
      <c r="C18" s="169" t="str">
        <f>+'2011 Income Statement'!A30</f>
        <v>4090-Electric Services Incidental to Energy Sales</v>
      </c>
      <c r="D18" s="385">
        <f>'2012 Income Statement'!B30</f>
        <v>0</v>
      </c>
      <c r="E18" s="171">
        <v>1</v>
      </c>
      <c r="F18" s="170">
        <f t="shared" si="0"/>
        <v>0</v>
      </c>
      <c r="G18" s="47"/>
    </row>
    <row r="19" spans="1:7" ht="12.75">
      <c r="A19" s="38"/>
      <c r="B19" s="168">
        <v>4205</v>
      </c>
      <c r="C19" s="169" t="str">
        <f>+'2011 Income Statement'!A34</f>
        <v>4205-Interdepartmental Rents</v>
      </c>
      <c r="D19" s="385">
        <f>'2012 Income Statement'!B34</f>
        <v>0</v>
      </c>
      <c r="E19" s="171">
        <v>1</v>
      </c>
      <c r="F19" s="170">
        <f t="shared" si="0"/>
        <v>0</v>
      </c>
      <c r="G19" s="47"/>
    </row>
    <row r="20" spans="1:7" ht="12.75">
      <c r="A20" s="38"/>
      <c r="B20" s="168">
        <v>4210</v>
      </c>
      <c r="C20" s="169" t="str">
        <f>+'2011 Income Statement'!A35</f>
        <v>4210-Rent from Electric Property</v>
      </c>
      <c r="D20" s="385">
        <f>'2012 Income Statement'!B35</f>
        <v>-44029</v>
      </c>
      <c r="E20" s="171">
        <v>1</v>
      </c>
      <c r="F20" s="170">
        <f t="shared" si="0"/>
        <v>-44029</v>
      </c>
      <c r="G20" s="47"/>
    </row>
    <row r="21" spans="1:7" ht="12.75">
      <c r="A21" s="38"/>
      <c r="B21" s="168">
        <v>4215</v>
      </c>
      <c r="C21" s="169" t="str">
        <f>+'2011 Income Statement'!A36</f>
        <v>4215-Other Utility Operating Income</v>
      </c>
      <c r="D21" s="385">
        <f>'2012 Income Statement'!B36</f>
        <v>0</v>
      </c>
      <c r="E21" s="171">
        <v>1</v>
      </c>
      <c r="F21" s="170">
        <f t="shared" si="0"/>
        <v>0</v>
      </c>
      <c r="G21" s="47"/>
    </row>
    <row r="22" spans="1:7" ht="12.75">
      <c r="A22" s="38"/>
      <c r="B22" s="168">
        <v>4220</v>
      </c>
      <c r="C22" s="169" t="str">
        <f>+'2011 Income Statement'!A37</f>
        <v>4220-Other Electric Revenues</v>
      </c>
      <c r="D22" s="385">
        <f>'2012 Income Statement'!B37</f>
        <v>0</v>
      </c>
      <c r="E22" s="171">
        <v>1</v>
      </c>
      <c r="F22" s="170">
        <f t="shared" si="0"/>
        <v>0</v>
      </c>
      <c r="G22" s="47"/>
    </row>
    <row r="23" spans="1:7" ht="12.75">
      <c r="A23" s="38"/>
      <c r="B23" s="168">
        <v>4225</v>
      </c>
      <c r="C23" s="169" t="str">
        <f>+'2011 Income Statement'!A38</f>
        <v>4225-Late Payment Charges</v>
      </c>
      <c r="D23" s="385">
        <f>'2012 Income Statement'!B38</f>
        <v>-32400</v>
      </c>
      <c r="E23" s="171">
        <v>1</v>
      </c>
      <c r="F23" s="170">
        <f t="shared" si="0"/>
        <v>-32400</v>
      </c>
      <c r="G23" s="47"/>
    </row>
    <row r="24" spans="1:7" ht="12.75">
      <c r="A24" s="38"/>
      <c r="B24" s="168">
        <v>4230</v>
      </c>
      <c r="C24" s="169" t="str">
        <f>+'2011 Income Statement'!A39</f>
        <v>4230-Sales of Water and Water Power</v>
      </c>
      <c r="D24" s="385">
        <f>'2012 Income Statement'!B39</f>
        <v>0</v>
      </c>
      <c r="E24" s="171">
        <v>1</v>
      </c>
      <c r="F24" s="170">
        <f t="shared" si="0"/>
        <v>0</v>
      </c>
      <c r="G24" s="47"/>
    </row>
    <row r="25" spans="1:7" ht="12.75">
      <c r="A25" s="38"/>
      <c r="B25" s="168">
        <v>4235</v>
      </c>
      <c r="C25" s="169" t="str">
        <f>+'2011 Income Statement'!A40</f>
        <v>4235-Miscellaneous Service Revenues</v>
      </c>
      <c r="D25" s="385">
        <f>'2012 Income Statement'!B40</f>
        <v>-88900</v>
      </c>
      <c r="E25" s="171">
        <v>1</v>
      </c>
      <c r="F25" s="170">
        <f t="shared" si="0"/>
        <v>-88900</v>
      </c>
      <c r="G25" s="47"/>
    </row>
    <row r="26" spans="1:7" ht="12.75">
      <c r="A26" s="38"/>
      <c r="B26" s="168">
        <v>4240</v>
      </c>
      <c r="C26" s="169" t="str">
        <f>+'2011 Income Statement'!A41</f>
        <v>4240-Provision for Rate Refunds</v>
      </c>
      <c r="D26" s="385">
        <f>'2012 Income Statement'!B41</f>
        <v>0</v>
      </c>
      <c r="E26" s="171">
        <v>1</v>
      </c>
      <c r="F26" s="170">
        <f t="shared" si="0"/>
        <v>0</v>
      </c>
      <c r="G26" s="47"/>
    </row>
    <row r="27" spans="1:7" ht="12.75">
      <c r="A27" s="38"/>
      <c r="B27" s="168">
        <v>4245</v>
      </c>
      <c r="C27" s="169" t="str">
        <f>+'2011 Income Statement'!A42</f>
        <v>4245-Government Assistance Directly Credited to Income</v>
      </c>
      <c r="D27" s="385">
        <f>'2012 Income Statement'!B42</f>
        <v>0</v>
      </c>
      <c r="E27" s="171">
        <v>1</v>
      </c>
      <c r="F27" s="170">
        <f t="shared" si="0"/>
        <v>0</v>
      </c>
      <c r="G27" s="47"/>
    </row>
    <row r="28" spans="1:7" ht="12.75">
      <c r="A28" s="38"/>
      <c r="B28" s="168">
        <v>4305</v>
      </c>
      <c r="C28" s="169" t="str">
        <f>+'2011 Income Statement'!A46</f>
        <v>4305-Regulatory Debits</v>
      </c>
      <c r="D28" s="385">
        <f>'2012 Income Statement'!B46</f>
        <v>0</v>
      </c>
      <c r="E28" s="171">
        <v>1</v>
      </c>
      <c r="F28" s="170">
        <f t="shared" si="0"/>
        <v>0</v>
      </c>
      <c r="G28" s="47"/>
    </row>
    <row r="29" spans="1:7" ht="12.75">
      <c r="A29" s="38"/>
      <c r="B29" s="168">
        <v>4310</v>
      </c>
      <c r="C29" s="169" t="str">
        <f>+'2011 Income Statement'!A47</f>
        <v>4310-Regulatory Credits</v>
      </c>
      <c r="D29" s="385">
        <f>'2012 Income Statement'!B47</f>
        <v>0</v>
      </c>
      <c r="E29" s="171">
        <v>1</v>
      </c>
      <c r="F29" s="170">
        <f t="shared" si="0"/>
        <v>0</v>
      </c>
      <c r="G29" s="47"/>
    </row>
    <row r="30" spans="1:7" ht="12.75">
      <c r="A30" s="38"/>
      <c r="B30" s="168">
        <v>4315</v>
      </c>
      <c r="C30" s="169" t="str">
        <f>+'2011 Income Statement'!A48</f>
        <v>4315-Revenues from Electric Plant Leased to Others</v>
      </c>
      <c r="D30" s="385">
        <f>'2012 Income Statement'!B48</f>
        <v>0</v>
      </c>
      <c r="E30" s="171">
        <v>1</v>
      </c>
      <c r="F30" s="170">
        <f t="shared" si="0"/>
        <v>0</v>
      </c>
      <c r="G30" s="47"/>
    </row>
    <row r="31" spans="1:7" ht="12.75">
      <c r="A31" s="38"/>
      <c r="B31" s="168">
        <v>4320</v>
      </c>
      <c r="C31" s="169" t="str">
        <f>+'2011 Income Statement'!A49</f>
        <v>4320-Expenses of Electric Plant Leased to Others</v>
      </c>
      <c r="D31" s="385">
        <f>'2012 Income Statement'!B49</f>
        <v>0</v>
      </c>
      <c r="E31" s="171">
        <v>1</v>
      </c>
      <c r="F31" s="170">
        <f t="shared" si="0"/>
        <v>0</v>
      </c>
      <c r="G31" s="47"/>
    </row>
    <row r="32" spans="1:7" ht="12.75">
      <c r="A32" s="38"/>
      <c r="B32" s="168">
        <v>4325</v>
      </c>
      <c r="C32" s="169" t="str">
        <f>+'2011 Income Statement'!A50</f>
        <v>4325-Revenues from Merchandise, Jobbing, Etc.</v>
      </c>
      <c r="D32" s="385">
        <f>'2012 Income Statement'!B50</f>
        <v>0</v>
      </c>
      <c r="E32" s="171">
        <v>1</v>
      </c>
      <c r="F32" s="170">
        <f t="shared" si="0"/>
        <v>0</v>
      </c>
      <c r="G32" s="47"/>
    </row>
    <row r="33" spans="1:7" ht="12.75">
      <c r="A33" s="38"/>
      <c r="B33" s="168">
        <v>4330</v>
      </c>
      <c r="C33" s="169" t="str">
        <f>+'2011 Income Statement'!A51</f>
        <v>4330-Costs and Expenses of Merchandising, Jobbing, Etc</v>
      </c>
      <c r="D33" s="385">
        <f>'2012 Income Statement'!B51</f>
        <v>0</v>
      </c>
      <c r="E33" s="171">
        <v>1</v>
      </c>
      <c r="F33" s="170">
        <f t="shared" si="0"/>
        <v>0</v>
      </c>
      <c r="G33" s="47"/>
    </row>
    <row r="34" spans="1:7" ht="12.75">
      <c r="A34" s="38"/>
      <c r="B34" s="168">
        <v>4335</v>
      </c>
      <c r="C34" s="169" t="str">
        <f>+'2011 Income Statement'!A52</f>
        <v>4335-Profits and Losses from Financial Instrument Hedges</v>
      </c>
      <c r="D34" s="385">
        <f>'2012 Income Statement'!B52</f>
        <v>0</v>
      </c>
      <c r="E34" s="171">
        <v>1</v>
      </c>
      <c r="F34" s="170">
        <f t="shared" si="0"/>
        <v>0</v>
      </c>
      <c r="G34" s="47"/>
    </row>
    <row r="35" spans="1:7" ht="12.75">
      <c r="A35" s="38"/>
      <c r="B35" s="168">
        <v>4340</v>
      </c>
      <c r="C35" s="169" t="str">
        <f>+'2011 Income Statement'!A53</f>
        <v>4340-Profits and Losses from Financial Instrument Investments</v>
      </c>
      <c r="D35" s="385">
        <f>'2012 Income Statement'!B53</f>
        <v>0</v>
      </c>
      <c r="E35" s="171">
        <v>1</v>
      </c>
      <c r="F35" s="170">
        <f t="shared" si="0"/>
        <v>0</v>
      </c>
      <c r="G35" s="47"/>
    </row>
    <row r="36" spans="1:7" ht="12.75">
      <c r="A36" s="38"/>
      <c r="B36" s="168">
        <v>4345</v>
      </c>
      <c r="C36" s="169" t="str">
        <f>+'2011 Income Statement'!A54</f>
        <v>4345-Gains from Disposition of Future Use Utility Plant</v>
      </c>
      <c r="D36" s="385">
        <f>'2012 Income Statement'!B54</f>
        <v>0</v>
      </c>
      <c r="E36" s="171">
        <v>0.5</v>
      </c>
      <c r="F36" s="170">
        <f t="shared" si="0"/>
        <v>0</v>
      </c>
      <c r="G36" s="47"/>
    </row>
    <row r="37" spans="1:7" ht="12.75">
      <c r="A37" s="38"/>
      <c r="B37" s="168">
        <v>4350</v>
      </c>
      <c r="C37" s="169" t="str">
        <f>+'2011 Income Statement'!A55</f>
        <v>4350-Losses from Disposition of Future Use Utility Plant</v>
      </c>
      <c r="D37" s="385">
        <f>'2012 Income Statement'!B55</f>
        <v>0</v>
      </c>
      <c r="E37" s="171">
        <v>0.5</v>
      </c>
      <c r="F37" s="170">
        <f t="shared" si="0"/>
        <v>0</v>
      </c>
      <c r="G37" s="47"/>
    </row>
    <row r="38" spans="1:7" ht="12.75">
      <c r="A38" s="38"/>
      <c r="B38" s="168">
        <v>4355</v>
      </c>
      <c r="C38" s="169" t="str">
        <f>+'2011 Income Statement'!A56</f>
        <v>4355-Gain on Disposition of Utility and Other Property</v>
      </c>
      <c r="D38" s="385">
        <f>'2012 Income Statement'!B56</f>
        <v>0</v>
      </c>
      <c r="E38" s="171">
        <v>0.5</v>
      </c>
      <c r="F38" s="170">
        <f t="shared" si="0"/>
        <v>0</v>
      </c>
      <c r="G38" s="47"/>
    </row>
    <row r="39" spans="1:7" ht="12.75">
      <c r="A39" s="38"/>
      <c r="B39" s="168">
        <v>4360</v>
      </c>
      <c r="C39" s="169" t="str">
        <f>+'2011 Income Statement'!A57</f>
        <v>4360-Loss on Disposition of Utility and Other Property</v>
      </c>
      <c r="D39" s="385">
        <f>'2012 Income Statement'!B57</f>
        <v>0</v>
      </c>
      <c r="E39" s="171">
        <v>0.5</v>
      </c>
      <c r="F39" s="170">
        <f t="shared" si="0"/>
        <v>0</v>
      </c>
      <c r="G39" s="47"/>
    </row>
    <row r="40" spans="1:7" ht="12.75">
      <c r="A40" s="38"/>
      <c r="B40" s="168">
        <v>4365</v>
      </c>
      <c r="C40" s="169" t="str">
        <f>+'2011 Income Statement'!A58</f>
        <v>4365-Gains from Disposition of Allowances for Emission</v>
      </c>
      <c r="D40" s="385">
        <f>'2012 Income Statement'!B58</f>
        <v>0</v>
      </c>
      <c r="E40" s="171">
        <v>1</v>
      </c>
      <c r="F40" s="170">
        <f t="shared" si="0"/>
        <v>0</v>
      </c>
      <c r="G40" s="47"/>
    </row>
    <row r="41" spans="1:7" ht="12.75">
      <c r="A41" s="38"/>
      <c r="B41" s="168">
        <v>4370</v>
      </c>
      <c r="C41" s="169" t="str">
        <f>+'2011 Income Statement'!A59</f>
        <v>4370-Losses from Disposition of Allowances for Emission</v>
      </c>
      <c r="D41" s="385">
        <f>'2012 Income Statement'!B59</f>
        <v>0</v>
      </c>
      <c r="E41" s="171">
        <v>1</v>
      </c>
      <c r="F41" s="170">
        <f t="shared" si="0"/>
        <v>0</v>
      </c>
      <c r="G41" s="47"/>
    </row>
    <row r="42" spans="1:7" ht="12.75">
      <c r="A42" s="38"/>
      <c r="B42" s="168">
        <v>4375</v>
      </c>
      <c r="C42" s="169" t="str">
        <f>+'2011 Income Statement'!A60</f>
        <v>4375-Revenues from Non-Utility Operations</v>
      </c>
      <c r="D42" s="385">
        <f>'2012 Income Statement'!B60</f>
        <v>0</v>
      </c>
      <c r="E42" s="171">
        <v>1</v>
      </c>
      <c r="F42" s="170">
        <f t="shared" si="0"/>
        <v>0</v>
      </c>
      <c r="G42" s="47"/>
    </row>
    <row r="43" spans="1:9" ht="12.75">
      <c r="A43" s="38"/>
      <c r="B43" s="168">
        <v>4380</v>
      </c>
      <c r="C43" s="169" t="str">
        <f>+'2011 Income Statement'!A61</f>
        <v>4380-Expenses of Non-Utility Operations</v>
      </c>
      <c r="D43" s="385">
        <f>'2012 Income Statement'!B61</f>
        <v>0</v>
      </c>
      <c r="E43" s="171">
        <v>1</v>
      </c>
      <c r="F43" s="170">
        <f t="shared" si="0"/>
        <v>0</v>
      </c>
      <c r="G43" s="47"/>
      <c r="I43" s="280"/>
    </row>
    <row r="44" spans="1:7" ht="12.75">
      <c r="A44" s="38"/>
      <c r="B44" s="168">
        <v>4385</v>
      </c>
      <c r="C44" s="169" t="str">
        <f>+'2011 Income Statement'!A62</f>
        <v>4385-Expenses of Non-Utility Operations</v>
      </c>
      <c r="D44" s="385">
        <f>'2012 Income Statement'!B62</f>
        <v>0</v>
      </c>
      <c r="E44" s="171">
        <v>1</v>
      </c>
      <c r="F44" s="170">
        <f t="shared" si="0"/>
        <v>0</v>
      </c>
      <c r="G44" s="47"/>
    </row>
    <row r="45" spans="1:7" ht="12.75">
      <c r="A45" s="38"/>
      <c r="B45" s="168">
        <v>4390</v>
      </c>
      <c r="C45" s="169" t="str">
        <f>+'2011 Income Statement'!A63</f>
        <v>4390-Miscellaneous Non-Operating Income</v>
      </c>
      <c r="D45" s="385">
        <f>'2012 Income Statement'!B63</f>
        <v>0</v>
      </c>
      <c r="E45" s="171">
        <v>1</v>
      </c>
      <c r="F45" s="170">
        <f t="shared" si="0"/>
        <v>0</v>
      </c>
      <c r="G45" s="47"/>
    </row>
    <row r="46" spans="1:7" ht="12.75">
      <c r="A46" s="38"/>
      <c r="B46" s="168">
        <v>4395</v>
      </c>
      <c r="C46" s="169" t="str">
        <f>+'2011 Income Statement'!A64</f>
        <v>4395-Rate-Payer Benefit Including Interest</v>
      </c>
      <c r="D46" s="385">
        <f>'2012 Income Statement'!B64</f>
        <v>0</v>
      </c>
      <c r="E46" s="171">
        <v>1</v>
      </c>
      <c r="F46" s="170">
        <f t="shared" si="0"/>
        <v>0</v>
      </c>
      <c r="G46" s="47"/>
    </row>
    <row r="47" spans="1:7" ht="12.75">
      <c r="A47" s="38"/>
      <c r="B47" s="168">
        <v>4398</v>
      </c>
      <c r="C47" s="169" t="str">
        <f>+'2011 Income Statement'!A65</f>
        <v>4398-Foreign Exchange Gains and Losses, Including Amortization</v>
      </c>
      <c r="D47" s="385">
        <f>'2012 Income Statement'!B65</f>
        <v>0</v>
      </c>
      <c r="E47" s="171">
        <v>1</v>
      </c>
      <c r="F47" s="170">
        <f t="shared" si="0"/>
        <v>0</v>
      </c>
      <c r="G47" s="47"/>
    </row>
    <row r="48" spans="1:7" ht="12.75">
      <c r="A48" s="38"/>
      <c r="B48" s="168">
        <v>4405</v>
      </c>
      <c r="C48" s="169" t="str">
        <f>+'2011 Income Statement'!A69</f>
        <v>4405-Interest and Dividend Income</v>
      </c>
      <c r="D48" s="385">
        <f>'2012 Income Statement'!B69</f>
        <v>-12000</v>
      </c>
      <c r="E48" s="171">
        <v>1</v>
      </c>
      <c r="F48" s="170">
        <f t="shared" si="0"/>
        <v>-12000</v>
      </c>
      <c r="G48" s="47"/>
    </row>
    <row r="49" spans="1:9" ht="25.5" customHeight="1" thickBot="1">
      <c r="A49" s="38"/>
      <c r="B49" s="647" t="s">
        <v>389</v>
      </c>
      <c r="C49" s="647"/>
      <c r="D49" s="647"/>
      <c r="E49" s="647"/>
      <c r="F49" s="232">
        <f>SUM(F15:F48)</f>
        <v>-207543</v>
      </c>
      <c r="G49" s="47"/>
      <c r="I49" s="237"/>
    </row>
    <row r="50" spans="1:7" ht="7.5" customHeight="1" thickBot="1" thickTop="1">
      <c r="A50" s="41"/>
      <c r="B50" s="174"/>
      <c r="C50" s="174"/>
      <c r="D50" s="174"/>
      <c r="E50" s="174"/>
      <c r="F50" s="175"/>
      <c r="G50" s="43"/>
    </row>
    <row r="51" ht="8.25" customHeight="1"/>
    <row r="52" spans="3:5" ht="18.75" thickBot="1">
      <c r="C52" s="619" t="s">
        <v>426</v>
      </c>
      <c r="D52" s="619"/>
      <c r="E52" s="619"/>
    </row>
    <row r="53" spans="2:5" ht="12.75">
      <c r="B53" s="48"/>
      <c r="C53" s="158" t="s">
        <v>427</v>
      </c>
      <c r="D53" s="379">
        <f>C10</f>
        <v>2630848.2085197233</v>
      </c>
      <c r="E53" s="380"/>
    </row>
    <row r="54" spans="2:9" ht="12.75">
      <c r="B54" s="48"/>
      <c r="C54" s="172" t="s">
        <v>390</v>
      </c>
      <c r="D54" s="381">
        <f>-F49</f>
        <v>207543</v>
      </c>
      <c r="E54" s="382"/>
      <c r="I54" s="476">
        <f>+D54</f>
        <v>207543</v>
      </c>
    </row>
    <row r="55" spans="2:9" ht="13.5" thickBot="1">
      <c r="B55" s="48"/>
      <c r="C55" s="173" t="s">
        <v>426</v>
      </c>
      <c r="D55" s="383"/>
      <c r="E55" s="384">
        <f>D53-D54</f>
        <v>2423305.2085197233</v>
      </c>
      <c r="I55" s="476">
        <f>+E55</f>
        <v>2423305.2085197233</v>
      </c>
    </row>
    <row r="56" ht="12.75">
      <c r="B56" s="48"/>
    </row>
  </sheetData>
  <sheetProtection/>
  <mergeCells count="6">
    <mergeCell ref="A1:G1"/>
    <mergeCell ref="A2:G2"/>
    <mergeCell ref="C52:E52"/>
    <mergeCell ref="B4:C4"/>
    <mergeCell ref="B13:F13"/>
    <mergeCell ref="B49:E49"/>
  </mergeCells>
  <printOptions/>
  <pageMargins left="0.7480314960629921" right="0.2755905511811024" top="0.3937007874015748" bottom="0.3937007874015748" header="0.2755905511811024" footer="0.15748031496062992"/>
  <pageSetup fitToHeight="1" fitToWidth="1" horizontalDpi="600" verticalDpi="600" orientation="landscape" scale="80" r:id="rId3"/>
  <headerFooter alignWithMargins="0">
    <oddFooter>&amp;L&amp;A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45.28125" style="0" customWidth="1"/>
    <col min="2" max="2" width="9.7109375" style="0" bestFit="1" customWidth="1"/>
  </cols>
  <sheetData>
    <row r="1" spans="1:2" ht="12.75">
      <c r="A1" s="158" t="s">
        <v>382</v>
      </c>
      <c r="B1" s="159">
        <f>'Revenue Requirement'!C5</f>
        <v>1843300</v>
      </c>
    </row>
    <row r="2" spans="1:2" ht="12.75">
      <c r="A2" s="160" t="s">
        <v>383</v>
      </c>
      <c r="B2" s="161">
        <f>'Revenue Requirement'!C6</f>
        <v>337176.76335881406</v>
      </c>
    </row>
    <row r="3" spans="1:2" ht="12.75">
      <c r="A3" s="430" t="s">
        <v>384</v>
      </c>
      <c r="B3" s="433">
        <f>SUM(B1:B2)</f>
        <v>2180476.763358814</v>
      </c>
    </row>
    <row r="4" spans="1:2" ht="12.75">
      <c r="A4" s="160" t="s">
        <v>180</v>
      </c>
      <c r="B4" s="161">
        <f>'Revenue Requirement'!C8</f>
        <v>413696.9741418606</v>
      </c>
    </row>
    <row r="5" spans="1:2" ht="12.75">
      <c r="A5" s="160" t="s">
        <v>421</v>
      </c>
      <c r="B5" s="161">
        <f>'Revenue Requirement'!C9</f>
        <v>36674.47101904824</v>
      </c>
    </row>
    <row r="6" spans="1:2" ht="12.75">
      <c r="A6" s="431" t="s">
        <v>427</v>
      </c>
      <c r="B6" s="433">
        <f>B3+B4+B5</f>
        <v>2630848.2085197233</v>
      </c>
    </row>
    <row r="7" spans="1:2" ht="12.75">
      <c r="A7" s="429" t="s">
        <v>879</v>
      </c>
      <c r="B7" s="435">
        <f>'Revenue Requirement'!I54</f>
        <v>207543</v>
      </c>
    </row>
    <row r="8" spans="1:2" ht="13.5" thickBot="1">
      <c r="A8" s="432" t="s">
        <v>880</v>
      </c>
      <c r="B8" s="434">
        <f>B6-B7</f>
        <v>2423305.2085197233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90" zoomScaleNormal="90" zoomScalePageLayoutView="0" workbookViewId="0" topLeftCell="A1">
      <pane xSplit="3" ySplit="9" topLeftCell="D2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9" sqref="A9:IV9"/>
    </sheetView>
  </sheetViews>
  <sheetFormatPr defaultColWidth="9.140625" defaultRowHeight="12.75"/>
  <cols>
    <col min="1" max="1" width="7.140625" style="20" customWidth="1"/>
    <col min="2" max="2" width="7.421875" style="215" customWidth="1"/>
    <col min="3" max="3" width="30.7109375" style="214" customWidth="1"/>
    <col min="4" max="5" width="11.00390625" style="214" customWidth="1"/>
    <col min="6" max="6" width="9.7109375" style="214" customWidth="1"/>
    <col min="7" max="7" width="10.8515625" style="214" customWidth="1"/>
    <col min="8" max="8" width="0.85546875" style="214" customWidth="1"/>
    <col min="9" max="9" width="12.00390625" style="214" customWidth="1"/>
    <col min="10" max="10" width="9.28125" style="214" customWidth="1"/>
    <col min="11" max="11" width="6.8515625" style="214" customWidth="1"/>
    <col min="12" max="12" width="10.28125" style="214" customWidth="1"/>
    <col min="13" max="13" width="10.140625" style="214" customWidth="1"/>
    <col min="14" max="14" width="15.28125" style="0" customWidth="1"/>
    <col min="15" max="15" width="9.57421875" style="0" bestFit="1" customWidth="1"/>
  </cols>
  <sheetData>
    <row r="1" spans="1:13" ht="12.75">
      <c r="A1" s="519" t="str">
        <f>'Trial Balance'!A1:F1</f>
        <v>Rideau St. Lawrence Distribution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2.75">
      <c r="A2" s="519" t="str">
        <f>'Trial Balance'!A2:F2</f>
        <v> License Number ED-2003-0003, File Number EB-2011-0274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ht="12.75">
      <c r="A3" s="520"/>
      <c r="B3" s="520"/>
      <c r="C3" s="520"/>
      <c r="D3" s="211"/>
      <c r="E3" s="211"/>
      <c r="F3" s="211"/>
      <c r="G3" s="211"/>
      <c r="H3" s="212"/>
      <c r="I3" s="213"/>
      <c r="J3" s="213"/>
      <c r="K3" s="213"/>
      <c r="L3" s="213"/>
      <c r="M3" s="213"/>
    </row>
    <row r="4" spans="1:13" ht="12.75">
      <c r="A4" s="520" t="s">
        <v>209</v>
      </c>
      <c r="B4" s="520"/>
      <c r="C4" s="520"/>
      <c r="D4" s="211"/>
      <c r="E4" s="211"/>
      <c r="F4" s="211"/>
      <c r="H4" s="212"/>
      <c r="I4" s="213"/>
      <c r="J4" s="213"/>
      <c r="K4" s="213"/>
      <c r="L4" s="213"/>
      <c r="M4" s="213"/>
    </row>
    <row r="5" spans="1:13" ht="12.75">
      <c r="A5" s="520" t="s">
        <v>783</v>
      </c>
      <c r="B5" s="520"/>
      <c r="C5" s="520"/>
      <c r="D5" s="211"/>
      <c r="E5" s="211"/>
      <c r="F5" s="211"/>
      <c r="H5" s="212"/>
      <c r="I5" s="213"/>
      <c r="J5" s="213"/>
      <c r="K5" s="213"/>
      <c r="L5" s="213"/>
      <c r="M5" s="213"/>
    </row>
    <row r="6" spans="4:13" ht="12.75">
      <c r="D6" s="515" t="s">
        <v>248</v>
      </c>
      <c r="E6" s="515"/>
      <c r="F6" s="515"/>
      <c r="G6" s="515"/>
      <c r="H6" s="212"/>
      <c r="I6" s="515" t="s">
        <v>249</v>
      </c>
      <c r="J6" s="515"/>
      <c r="K6" s="515"/>
      <c r="L6" s="515"/>
      <c r="M6" s="213"/>
    </row>
    <row r="7" spans="3:13" ht="12.75">
      <c r="C7" s="210"/>
      <c r="D7" s="517"/>
      <c r="E7" s="517"/>
      <c r="F7" s="517"/>
      <c r="G7" s="517"/>
      <c r="H7" s="212"/>
      <c r="I7" s="517"/>
      <c r="J7" s="517"/>
      <c r="K7" s="517"/>
      <c r="L7" s="517"/>
      <c r="M7" s="213"/>
    </row>
    <row r="8" spans="1:13" s="16" customFormat="1" ht="12.75">
      <c r="A8" s="521" t="s">
        <v>202</v>
      </c>
      <c r="B8" s="521" t="s">
        <v>482</v>
      </c>
      <c r="C8" s="513" t="s">
        <v>174</v>
      </c>
      <c r="D8" s="513" t="s">
        <v>214</v>
      </c>
      <c r="E8" s="513" t="s">
        <v>312</v>
      </c>
      <c r="F8" s="513" t="s">
        <v>313</v>
      </c>
      <c r="G8" s="513" t="s">
        <v>215</v>
      </c>
      <c r="H8" s="518"/>
      <c r="I8" s="513" t="s">
        <v>214</v>
      </c>
      <c r="J8" s="513" t="s">
        <v>312</v>
      </c>
      <c r="K8" s="513" t="s">
        <v>313</v>
      </c>
      <c r="L8" s="513" t="s">
        <v>215</v>
      </c>
      <c r="M8" s="513" t="s">
        <v>216</v>
      </c>
    </row>
    <row r="9" spans="1:13" s="16" customFormat="1" ht="12.75">
      <c r="A9" s="522"/>
      <c r="B9" s="522"/>
      <c r="C9" s="514"/>
      <c r="D9" s="514" t="s">
        <v>250</v>
      </c>
      <c r="E9" s="514" t="s">
        <v>312</v>
      </c>
      <c r="F9" s="514"/>
      <c r="G9" s="514"/>
      <c r="H9" s="518"/>
      <c r="I9" s="514" t="s">
        <v>250</v>
      </c>
      <c r="J9" s="514" t="s">
        <v>312</v>
      </c>
      <c r="K9" s="514"/>
      <c r="L9" s="514"/>
      <c r="M9" s="514"/>
    </row>
    <row r="10" spans="1:14" ht="12.75">
      <c r="A10" s="241" t="s">
        <v>203</v>
      </c>
      <c r="B10" s="484">
        <v>1610</v>
      </c>
      <c r="C10" s="503" t="s">
        <v>848</v>
      </c>
      <c r="D10" s="486">
        <f>'FA Continuity 2009'!G10</f>
        <v>0</v>
      </c>
      <c r="E10" s="488"/>
      <c r="F10" s="488"/>
      <c r="G10" s="489">
        <f>D10+E10-F10</f>
        <v>0</v>
      </c>
      <c r="H10" s="518"/>
      <c r="I10" s="489">
        <f>'FA Continuity 2009'!L10</f>
        <v>0</v>
      </c>
      <c r="J10" s="489"/>
      <c r="K10" s="489"/>
      <c r="L10" s="489">
        <f>I10+J10-K10</f>
        <v>0</v>
      </c>
      <c r="M10" s="489">
        <f>G10-L10</f>
        <v>0</v>
      </c>
      <c r="N10" s="237"/>
    </row>
    <row r="11" spans="1:14" ht="12.75">
      <c r="A11" s="241" t="s">
        <v>203</v>
      </c>
      <c r="B11" s="484">
        <v>1805</v>
      </c>
      <c r="C11" s="503" t="s">
        <v>513</v>
      </c>
      <c r="D11" s="486">
        <f>'FA Continuity 2009'!G11</f>
        <v>84205.25</v>
      </c>
      <c r="E11" s="488"/>
      <c r="F11" s="488"/>
      <c r="G11" s="489">
        <f aca="true" t="shared" si="0" ref="G11:G46">D11+E11-F11</f>
        <v>84205.25</v>
      </c>
      <c r="H11" s="518"/>
      <c r="I11" s="489">
        <f>'FA Continuity 2009'!L11</f>
        <v>0</v>
      </c>
      <c r="J11" s="489"/>
      <c r="K11" s="489"/>
      <c r="L11" s="489">
        <f aca="true" t="shared" si="1" ref="L11:L45">I11+J11-K11</f>
        <v>0</v>
      </c>
      <c r="M11" s="489">
        <f aca="true" t="shared" si="2" ref="M11:M45">G11-L11</f>
        <v>84205.25</v>
      </c>
      <c r="N11" s="237"/>
    </row>
    <row r="12" spans="1:14" ht="12.75">
      <c r="A12" s="241" t="s">
        <v>470</v>
      </c>
      <c r="B12" s="484">
        <v>1806</v>
      </c>
      <c r="C12" s="503" t="s">
        <v>514</v>
      </c>
      <c r="D12" s="486">
        <f>'FA Continuity 2009'!G12</f>
        <v>0</v>
      </c>
      <c r="E12" s="488"/>
      <c r="F12" s="488"/>
      <c r="G12" s="489">
        <f t="shared" si="0"/>
        <v>0</v>
      </c>
      <c r="H12" s="518"/>
      <c r="I12" s="489">
        <f>'FA Continuity 2009'!L12</f>
        <v>0</v>
      </c>
      <c r="J12" s="489"/>
      <c r="K12" s="489"/>
      <c r="L12" s="489">
        <f t="shared" si="1"/>
        <v>0</v>
      </c>
      <c r="M12" s="489">
        <f t="shared" si="2"/>
        <v>0</v>
      </c>
      <c r="N12" s="237"/>
    </row>
    <row r="13" spans="1:14" ht="12.75">
      <c r="A13" s="241">
        <v>47</v>
      </c>
      <c r="B13" s="484">
        <v>1808</v>
      </c>
      <c r="C13" s="503" t="s">
        <v>607</v>
      </c>
      <c r="D13" s="486">
        <f>'FA Continuity 2009'!G13</f>
        <v>82287.41</v>
      </c>
      <c r="E13" s="489"/>
      <c r="F13" s="488"/>
      <c r="G13" s="489">
        <f t="shared" si="0"/>
        <v>82287.41</v>
      </c>
      <c r="H13" s="518"/>
      <c r="I13" s="489">
        <f>'FA Continuity 2009'!L13</f>
        <v>5002.2699999999995</v>
      </c>
      <c r="J13" s="489">
        <f>-'[3]App.2-B_Fixed Asset Continuity'!L17</f>
        <v>1645.75</v>
      </c>
      <c r="K13" s="489"/>
      <c r="L13" s="489">
        <f t="shared" si="1"/>
        <v>6648.0199999999995</v>
      </c>
      <c r="M13" s="489">
        <f t="shared" si="2"/>
        <v>75639.39</v>
      </c>
      <c r="N13" s="237"/>
    </row>
    <row r="14" spans="1:13" ht="12.75">
      <c r="A14" s="241">
        <v>13</v>
      </c>
      <c r="B14" s="484">
        <v>1810</v>
      </c>
      <c r="C14" s="503" t="s">
        <v>511</v>
      </c>
      <c r="D14" s="486">
        <f>'FA Continuity 2009'!G14</f>
        <v>0</v>
      </c>
      <c r="E14" s="489"/>
      <c r="F14" s="488"/>
      <c r="G14" s="489">
        <f t="shared" si="0"/>
        <v>0</v>
      </c>
      <c r="H14" s="518"/>
      <c r="I14" s="489">
        <f>'FA Continuity 2009'!L14</f>
        <v>0</v>
      </c>
      <c r="J14" s="489"/>
      <c r="K14" s="489"/>
      <c r="L14" s="489">
        <f t="shared" si="1"/>
        <v>0</v>
      </c>
      <c r="M14" s="489">
        <f t="shared" si="2"/>
        <v>0</v>
      </c>
    </row>
    <row r="15" spans="1:14" ht="12.75">
      <c r="A15" s="241">
        <v>47</v>
      </c>
      <c r="B15" s="484">
        <v>1815</v>
      </c>
      <c r="C15" s="503" t="s">
        <v>608</v>
      </c>
      <c r="D15" s="486">
        <f>'FA Continuity 2009'!G15</f>
        <v>0</v>
      </c>
      <c r="E15" s="489"/>
      <c r="F15" s="488"/>
      <c r="G15" s="489">
        <f t="shared" si="0"/>
        <v>0</v>
      </c>
      <c r="H15" s="518"/>
      <c r="I15" s="489">
        <f>'FA Continuity 2009'!L15</f>
        <v>0</v>
      </c>
      <c r="J15" s="489"/>
      <c r="K15" s="489"/>
      <c r="L15" s="489">
        <f t="shared" si="1"/>
        <v>0</v>
      </c>
      <c r="M15" s="489">
        <f t="shared" si="2"/>
        <v>0</v>
      </c>
      <c r="N15" s="237"/>
    </row>
    <row r="16" spans="1:15" ht="12.75">
      <c r="A16" s="241">
        <v>47</v>
      </c>
      <c r="B16" s="484">
        <v>1820</v>
      </c>
      <c r="C16" s="503" t="s">
        <v>609</v>
      </c>
      <c r="D16" s="486">
        <f>'FA Continuity 2009'!G16</f>
        <v>663460.76</v>
      </c>
      <c r="E16" s="489">
        <f>'[3]App.2-B_Fixed Asset Continuity'!G20</f>
        <v>26423.13</v>
      </c>
      <c r="F16" s="488"/>
      <c r="G16" s="489">
        <f t="shared" si="0"/>
        <v>689883.89</v>
      </c>
      <c r="H16" s="518"/>
      <c r="I16" s="489">
        <f>'FA Continuity 2009'!L16</f>
        <v>155242.06999999998</v>
      </c>
      <c r="J16" s="489">
        <f>-'[3]App.2-B_Fixed Asset Continuity'!L20</f>
        <v>27066.9</v>
      </c>
      <c r="K16" s="489"/>
      <c r="L16" s="489">
        <f t="shared" si="1"/>
        <v>182308.96999999997</v>
      </c>
      <c r="M16" s="489">
        <f t="shared" si="2"/>
        <v>507574.92000000004</v>
      </c>
      <c r="O16" s="237"/>
    </row>
    <row r="17" spans="1:14" s="427" customFormat="1" ht="12.75">
      <c r="A17" s="241">
        <v>47</v>
      </c>
      <c r="B17" s="484">
        <v>1860</v>
      </c>
      <c r="C17" s="503" t="s">
        <v>874</v>
      </c>
      <c r="D17" s="486">
        <f>'FA Continuity 2009'!G17</f>
        <v>0</v>
      </c>
      <c r="E17" s="489">
        <f>'[4]2. Smart_Meter_Costs'!$G$109+'[4]2. Smart_Meter_Costs'!$I$109+'[4]2. Smart_Meter_Costs'!$K$109+'[4]2. Smart_Meter_Costs'!$M$109+'[4]2. Smart_Meter_Costs'!$O$109</f>
        <v>1142778.7899999998</v>
      </c>
      <c r="F17" s="488"/>
      <c r="G17" s="489">
        <f t="shared" si="0"/>
        <v>1142778.7899999998</v>
      </c>
      <c r="H17" s="518"/>
      <c r="I17" s="489">
        <f>'FA Continuity 2009'!L17</f>
        <v>0</v>
      </c>
      <c r="J17" s="489">
        <f>-'[4]4. SM_Assets_and_Rate_Base'!$O$31-'[4]4. SM_Assets_and_Rate_Base'!$O$50-'[4]4. SM_Assets_and_Rate_Base'!$O$69</f>
        <v>118840.6443333333</v>
      </c>
      <c r="K17" s="489"/>
      <c r="L17" s="489">
        <f t="shared" si="1"/>
        <v>118840.6443333333</v>
      </c>
      <c r="M17" s="489">
        <f t="shared" si="2"/>
        <v>1023938.1456666666</v>
      </c>
      <c r="N17" s="426"/>
    </row>
    <row r="18" spans="1:14" ht="12.75">
      <c r="A18" s="241">
        <v>47</v>
      </c>
      <c r="B18" s="484">
        <v>1830</v>
      </c>
      <c r="C18" s="503" t="s">
        <v>610</v>
      </c>
      <c r="D18" s="486">
        <f>'FA Continuity 2009'!G18</f>
        <v>427683.87</v>
      </c>
      <c r="E18" s="489">
        <f>'[3]App.2-B_Fixed Asset Continuity'!G22</f>
        <v>24408.03</v>
      </c>
      <c r="F18" s="489"/>
      <c r="G18" s="489">
        <f t="shared" si="0"/>
        <v>452091.9</v>
      </c>
      <c r="H18" s="518"/>
      <c r="I18" s="489">
        <f>'FA Continuity 2009'!L18</f>
        <v>66490.05</v>
      </c>
      <c r="J18" s="489">
        <f>-'[3]App.2-B_Fixed Asset Continuity'!L22</f>
        <v>17595.52</v>
      </c>
      <c r="K18" s="489"/>
      <c r="L18" s="489">
        <f t="shared" si="1"/>
        <v>84085.57</v>
      </c>
      <c r="M18" s="489">
        <f t="shared" si="2"/>
        <v>368006.33</v>
      </c>
      <c r="N18" s="237"/>
    </row>
    <row r="19" spans="1:14" ht="12.75">
      <c r="A19" s="241">
        <v>47</v>
      </c>
      <c r="B19" s="484">
        <v>1835</v>
      </c>
      <c r="C19" s="503" t="s">
        <v>611</v>
      </c>
      <c r="D19" s="486">
        <f>'FA Continuity 2009'!G19</f>
        <v>1744679.51</v>
      </c>
      <c r="E19" s="489">
        <f>'[3]App.2-B_Fixed Asset Continuity'!G23</f>
        <v>49750.59</v>
      </c>
      <c r="F19" s="489"/>
      <c r="G19" s="489">
        <f t="shared" si="0"/>
        <v>1794430.1</v>
      </c>
      <c r="H19" s="518"/>
      <c r="I19" s="489">
        <f>'FA Continuity 2009'!L19</f>
        <v>558670.05</v>
      </c>
      <c r="J19" s="489">
        <f>-'[3]App.2-B_Fixed Asset Continuity'!L23</f>
        <v>70782.17</v>
      </c>
      <c r="K19" s="489"/>
      <c r="L19" s="489">
        <f t="shared" si="1"/>
        <v>629452.2200000001</v>
      </c>
      <c r="M19" s="489">
        <f t="shared" si="2"/>
        <v>1164977.88</v>
      </c>
      <c r="N19" s="237"/>
    </row>
    <row r="20" spans="1:14" ht="12.75">
      <c r="A20" s="241">
        <v>47</v>
      </c>
      <c r="B20" s="484">
        <v>1840</v>
      </c>
      <c r="C20" s="503" t="s">
        <v>612</v>
      </c>
      <c r="D20" s="486">
        <f>'FA Continuity 2009'!G20</f>
        <v>463826.49000000005</v>
      </c>
      <c r="E20" s="489">
        <f>'[3]App.2-B_Fixed Asset Continuity'!G24</f>
        <v>0</v>
      </c>
      <c r="F20" s="489"/>
      <c r="G20" s="489">
        <f t="shared" si="0"/>
        <v>463826.49000000005</v>
      </c>
      <c r="H20" s="518"/>
      <c r="I20" s="489">
        <f>'FA Continuity 2009'!L20</f>
        <v>157882.28999999998</v>
      </c>
      <c r="J20" s="489">
        <f>-'[3]App.2-B_Fixed Asset Continuity'!L24</f>
        <v>18553.06</v>
      </c>
      <c r="K20" s="489"/>
      <c r="L20" s="489">
        <f t="shared" si="1"/>
        <v>176435.34999999998</v>
      </c>
      <c r="M20" s="489">
        <f t="shared" si="2"/>
        <v>287391.1400000001</v>
      </c>
      <c r="N20" s="237"/>
    </row>
    <row r="21" spans="1:14" ht="12.75">
      <c r="A21" s="241">
        <v>47</v>
      </c>
      <c r="B21" s="484">
        <v>1845</v>
      </c>
      <c r="C21" s="503" t="s">
        <v>613</v>
      </c>
      <c r="D21" s="486">
        <f>'FA Continuity 2009'!G21</f>
        <v>351173.88000000006</v>
      </c>
      <c r="E21" s="489">
        <f>'[3]App.2-B_Fixed Asset Continuity'!G25</f>
        <v>9110.3</v>
      </c>
      <c r="F21" s="489"/>
      <c r="G21" s="489">
        <f t="shared" si="0"/>
        <v>360284.18000000005</v>
      </c>
      <c r="H21" s="518"/>
      <c r="I21" s="489">
        <f>'FA Continuity 2009'!L21</f>
        <v>92676.51000000001</v>
      </c>
      <c r="J21" s="489">
        <f>-'[3]App.2-B_Fixed Asset Continuity'!L25</f>
        <v>14229.18</v>
      </c>
      <c r="K21" s="489"/>
      <c r="L21" s="489">
        <f t="shared" si="1"/>
        <v>106905.69</v>
      </c>
      <c r="M21" s="489">
        <f t="shared" si="2"/>
        <v>253378.49000000005</v>
      </c>
      <c r="N21" s="237"/>
    </row>
    <row r="22" spans="1:14" ht="12.75">
      <c r="A22" s="241">
        <v>47</v>
      </c>
      <c r="B22" s="484">
        <v>1850</v>
      </c>
      <c r="C22" s="503" t="s">
        <v>512</v>
      </c>
      <c r="D22" s="486">
        <f>'FA Continuity 2009'!G22</f>
        <v>946852.4400000001</v>
      </c>
      <c r="E22" s="489">
        <f>'[3]App.2-B_Fixed Asset Continuity'!G26</f>
        <v>44370.84</v>
      </c>
      <c r="F22" s="489"/>
      <c r="G22" s="489">
        <f t="shared" si="0"/>
        <v>991223.28</v>
      </c>
      <c r="H22" s="518"/>
      <c r="I22" s="489">
        <f>'FA Continuity 2009'!L22</f>
        <v>234021.74</v>
      </c>
      <c r="J22" s="489">
        <f>-'[3]App.2-B_Fixed Asset Continuity'!L26</f>
        <v>38761.51</v>
      </c>
      <c r="K22" s="489"/>
      <c r="L22" s="489">
        <f t="shared" si="1"/>
        <v>272783.25</v>
      </c>
      <c r="M22" s="489">
        <f t="shared" si="2"/>
        <v>718440.03</v>
      </c>
      <c r="N22" s="237"/>
    </row>
    <row r="23" spans="1:14" ht="12.75">
      <c r="A23" s="241">
        <v>47</v>
      </c>
      <c r="B23" s="484">
        <v>1855</v>
      </c>
      <c r="C23" s="503" t="s">
        <v>538</v>
      </c>
      <c r="D23" s="486">
        <f>'FA Continuity 2009'!G23</f>
        <v>244897.81999999998</v>
      </c>
      <c r="E23" s="489">
        <f>'[3]App.2-B_Fixed Asset Continuity'!G27</f>
        <v>16738.72</v>
      </c>
      <c r="F23" s="489"/>
      <c r="G23" s="489">
        <f t="shared" si="0"/>
        <v>261636.53999999998</v>
      </c>
      <c r="H23" s="518"/>
      <c r="I23" s="489">
        <f>'FA Continuity 2009'!L23</f>
        <v>34458.340000000004</v>
      </c>
      <c r="J23" s="489">
        <f>-'[3]App.2-B_Fixed Asset Continuity'!L27</f>
        <v>10130.69</v>
      </c>
      <c r="K23" s="489"/>
      <c r="L23" s="489">
        <f t="shared" si="1"/>
        <v>44589.030000000006</v>
      </c>
      <c r="M23" s="489">
        <f t="shared" si="2"/>
        <v>217047.50999999998</v>
      </c>
      <c r="N23" s="237"/>
    </row>
    <row r="24" spans="1:14" ht="12.75">
      <c r="A24" s="241">
        <v>47</v>
      </c>
      <c r="B24" s="484">
        <v>1860</v>
      </c>
      <c r="C24" s="503" t="s">
        <v>539</v>
      </c>
      <c r="D24" s="486">
        <f>'FA Continuity 2009'!G24</f>
        <v>412858.02</v>
      </c>
      <c r="E24" s="489">
        <f>'[3]App.2-B_Fixed Asset Continuity'!G28</f>
        <v>19068.25</v>
      </c>
      <c r="F24" s="489"/>
      <c r="G24" s="489">
        <f t="shared" si="0"/>
        <v>431926.27</v>
      </c>
      <c r="H24" s="518"/>
      <c r="I24" s="489">
        <f>'FA Continuity 2009'!L24</f>
        <v>123053.64</v>
      </c>
      <c r="J24" s="489">
        <f>-'[3]App.2-B_Fixed Asset Continuity'!L28</f>
        <v>16895.69</v>
      </c>
      <c r="K24" s="489"/>
      <c r="L24" s="489">
        <f t="shared" si="1"/>
        <v>139949.33</v>
      </c>
      <c r="M24" s="489">
        <f t="shared" si="2"/>
        <v>291976.94000000006</v>
      </c>
      <c r="N24" s="237"/>
    </row>
    <row r="25" spans="1:14" ht="12.75">
      <c r="A25" s="241" t="s">
        <v>203</v>
      </c>
      <c r="B25" s="484">
        <v>1865</v>
      </c>
      <c r="C25" s="503" t="s">
        <v>614</v>
      </c>
      <c r="D25" s="486">
        <f>'FA Continuity 2009'!G25</f>
        <v>0</v>
      </c>
      <c r="E25" s="489"/>
      <c r="F25" s="489"/>
      <c r="G25" s="489">
        <f t="shared" si="0"/>
        <v>0</v>
      </c>
      <c r="H25" s="518"/>
      <c r="I25" s="489">
        <f>'FA Continuity 2009'!L25</f>
        <v>0</v>
      </c>
      <c r="J25" s="489"/>
      <c r="K25" s="489"/>
      <c r="L25" s="489">
        <f t="shared" si="1"/>
        <v>0</v>
      </c>
      <c r="M25" s="489">
        <f t="shared" si="2"/>
        <v>0</v>
      </c>
      <c r="N25" s="237"/>
    </row>
    <row r="26" spans="1:14" ht="12.75">
      <c r="A26" s="241" t="s">
        <v>203</v>
      </c>
      <c r="B26" s="484">
        <v>1905</v>
      </c>
      <c r="C26" s="503" t="s">
        <v>513</v>
      </c>
      <c r="D26" s="486">
        <f>'FA Continuity 2009'!G26</f>
        <v>0</v>
      </c>
      <c r="E26" s="489"/>
      <c r="F26" s="489"/>
      <c r="G26" s="489">
        <f t="shared" si="0"/>
        <v>0</v>
      </c>
      <c r="H26" s="518"/>
      <c r="I26" s="489">
        <f>'FA Continuity 2009'!L26</f>
        <v>0</v>
      </c>
      <c r="J26" s="489"/>
      <c r="K26" s="489"/>
      <c r="L26" s="489">
        <f t="shared" si="1"/>
        <v>0</v>
      </c>
      <c r="M26" s="489">
        <f t="shared" si="2"/>
        <v>0</v>
      </c>
      <c r="N26" s="237"/>
    </row>
    <row r="27" spans="1:14" ht="12.75">
      <c r="A27" s="241" t="s">
        <v>470</v>
      </c>
      <c r="B27" s="484">
        <v>1906</v>
      </c>
      <c r="C27" s="503" t="s">
        <v>514</v>
      </c>
      <c r="D27" s="486">
        <f>'FA Continuity 2009'!G27</f>
        <v>0</v>
      </c>
      <c r="E27" s="489"/>
      <c r="F27" s="489"/>
      <c r="G27" s="489">
        <f t="shared" si="0"/>
        <v>0</v>
      </c>
      <c r="H27" s="518"/>
      <c r="I27" s="489">
        <f>'FA Continuity 2009'!L27</f>
        <v>0</v>
      </c>
      <c r="J27" s="489">
        <f>-'[3]App.2-B_Fixed Asset Continuity'!L31</f>
        <v>0</v>
      </c>
      <c r="K27" s="489"/>
      <c r="L27" s="489">
        <f t="shared" si="1"/>
        <v>0</v>
      </c>
      <c r="M27" s="489">
        <f t="shared" si="2"/>
        <v>0</v>
      </c>
      <c r="N27" s="237"/>
    </row>
    <row r="28" spans="1:14" ht="12.75">
      <c r="A28" s="241">
        <v>47</v>
      </c>
      <c r="B28" s="484">
        <v>1908</v>
      </c>
      <c r="C28" s="503" t="s">
        <v>607</v>
      </c>
      <c r="D28" s="486">
        <f>'FA Continuity 2009'!G28</f>
        <v>0</v>
      </c>
      <c r="E28" s="489"/>
      <c r="F28" s="489"/>
      <c r="G28" s="489">
        <f t="shared" si="0"/>
        <v>0</v>
      </c>
      <c r="H28" s="518"/>
      <c r="I28" s="489">
        <f>'FA Continuity 2009'!L28</f>
        <v>0</v>
      </c>
      <c r="J28" s="489"/>
      <c r="K28" s="489"/>
      <c r="L28" s="489">
        <f t="shared" si="1"/>
        <v>0</v>
      </c>
      <c r="M28" s="489">
        <f t="shared" si="2"/>
        <v>0</v>
      </c>
      <c r="N28" s="237"/>
    </row>
    <row r="29" spans="1:14" ht="12.75">
      <c r="A29" s="241">
        <v>13</v>
      </c>
      <c r="B29" s="484">
        <v>1910</v>
      </c>
      <c r="C29" s="503" t="s">
        <v>511</v>
      </c>
      <c r="D29" s="486">
        <f>'FA Continuity 2009'!G29</f>
        <v>8796.45</v>
      </c>
      <c r="E29" s="489"/>
      <c r="F29" s="489"/>
      <c r="G29" s="489">
        <f t="shared" si="0"/>
        <v>8796.45</v>
      </c>
      <c r="H29" s="518"/>
      <c r="I29" s="489">
        <f>'FA Continuity 2009'!L29</f>
        <v>1319.47</v>
      </c>
      <c r="J29" s="489">
        <f>-'[3]App.2-B_Fixed Asset Continuity'!L33</f>
        <v>879.65</v>
      </c>
      <c r="K29" s="489"/>
      <c r="L29" s="489">
        <f t="shared" si="1"/>
        <v>2199.12</v>
      </c>
      <c r="M29" s="489">
        <f t="shared" si="2"/>
        <v>6597.330000000001</v>
      </c>
      <c r="N29" s="237"/>
    </row>
    <row r="30" spans="1:14" ht="12.75">
      <c r="A30" s="241">
        <v>8</v>
      </c>
      <c r="B30" s="484">
        <v>1915</v>
      </c>
      <c r="C30" s="503" t="s">
        <v>615</v>
      </c>
      <c r="D30" s="486">
        <f>'FA Continuity 2009'!G30</f>
        <v>0</v>
      </c>
      <c r="E30" s="489"/>
      <c r="F30" s="489"/>
      <c r="G30" s="489">
        <f t="shared" si="0"/>
        <v>0</v>
      </c>
      <c r="H30" s="518"/>
      <c r="I30" s="489">
        <f>'FA Continuity 2009'!L30</f>
        <v>0</v>
      </c>
      <c r="J30" s="489"/>
      <c r="K30" s="489"/>
      <c r="L30" s="489">
        <f t="shared" si="1"/>
        <v>0</v>
      </c>
      <c r="M30" s="489">
        <f t="shared" si="2"/>
        <v>0</v>
      </c>
      <c r="N30" s="237"/>
    </row>
    <row r="31" spans="1:14" ht="12.75">
      <c r="A31" s="241">
        <v>10</v>
      </c>
      <c r="B31" s="484">
        <v>1920</v>
      </c>
      <c r="C31" s="503" t="s">
        <v>616</v>
      </c>
      <c r="D31" s="486">
        <f>'FA Continuity 2009'!G31</f>
        <v>151382.71999999997</v>
      </c>
      <c r="E31" s="489">
        <f>'[3]App.2-B_Fixed Asset Continuity'!G38</f>
        <v>2304.94</v>
      </c>
      <c r="F31" s="489"/>
      <c r="G31" s="489">
        <f t="shared" si="0"/>
        <v>153687.65999999997</v>
      </c>
      <c r="H31" s="518"/>
      <c r="I31" s="489">
        <f>'FA Continuity 2009'!L31</f>
        <v>131508.56</v>
      </c>
      <c r="J31" s="489">
        <f>-'[3]App.2-B_Fixed Asset Continuity'!L36</f>
        <v>-19004.61</v>
      </c>
      <c r="K31" s="489"/>
      <c r="L31" s="489">
        <f t="shared" si="1"/>
        <v>112503.95</v>
      </c>
      <c r="M31" s="489">
        <f t="shared" si="2"/>
        <v>41183.70999999998</v>
      </c>
      <c r="N31" s="237"/>
    </row>
    <row r="32" spans="1:14" ht="12.75">
      <c r="A32" s="241">
        <v>12</v>
      </c>
      <c r="B32" s="484">
        <v>1925</v>
      </c>
      <c r="C32" s="503" t="s">
        <v>505</v>
      </c>
      <c r="D32" s="486">
        <f>'FA Continuity 2009'!G32</f>
        <v>119602.53</v>
      </c>
      <c r="E32" s="489">
        <f>'[3]App.2-B_Fixed Asset Continuity'!G39</f>
        <v>35224.13</v>
      </c>
      <c r="F32" s="489"/>
      <c r="G32" s="489">
        <f t="shared" si="0"/>
        <v>154826.66</v>
      </c>
      <c r="H32" s="518"/>
      <c r="I32" s="489">
        <f>'FA Continuity 2009'!L32</f>
        <v>39734.95</v>
      </c>
      <c r="J32" s="489">
        <f>-'[3]App.2-B_Fixed Asset Continuity'!L39</f>
        <v>22859.09</v>
      </c>
      <c r="K32" s="489"/>
      <c r="L32" s="489">
        <f t="shared" si="1"/>
        <v>62594.03999999999</v>
      </c>
      <c r="M32" s="489">
        <f t="shared" si="2"/>
        <v>92232.62000000001</v>
      </c>
      <c r="N32" s="237"/>
    </row>
    <row r="33" spans="1:14" ht="12.75">
      <c r="A33" s="241">
        <v>10</v>
      </c>
      <c r="B33" s="484">
        <v>1930</v>
      </c>
      <c r="C33" s="503" t="s">
        <v>515</v>
      </c>
      <c r="D33" s="486">
        <f>'FA Continuity 2009'!G33</f>
        <v>289160.77999999997</v>
      </c>
      <c r="E33" s="489">
        <f>'[3]App.2-B_Fixed Asset Continuity'!G40</f>
        <v>37934.6</v>
      </c>
      <c r="F33" s="489"/>
      <c r="G33" s="489">
        <f t="shared" si="0"/>
        <v>327095.37999999995</v>
      </c>
      <c r="H33" s="518"/>
      <c r="I33" s="489">
        <f>'FA Continuity 2009'!L33</f>
        <v>24987.04</v>
      </c>
      <c r="J33" s="489">
        <f>-'[3]App.2-B_Fixed Asset Continuity'!L40</f>
        <v>41495.69</v>
      </c>
      <c r="K33" s="489"/>
      <c r="L33" s="489">
        <f t="shared" si="1"/>
        <v>66482.73000000001</v>
      </c>
      <c r="M33" s="489">
        <f t="shared" si="2"/>
        <v>260612.64999999994</v>
      </c>
      <c r="N33" s="237"/>
    </row>
    <row r="34" spans="1:14" ht="12.75">
      <c r="A34" s="241">
        <v>8</v>
      </c>
      <c r="B34" s="484">
        <v>1935</v>
      </c>
      <c r="C34" s="503" t="s">
        <v>516</v>
      </c>
      <c r="D34" s="486">
        <f>'FA Continuity 2009'!G34</f>
        <v>0</v>
      </c>
      <c r="E34" s="489"/>
      <c r="F34" s="489"/>
      <c r="G34" s="489">
        <f t="shared" si="0"/>
        <v>0</v>
      </c>
      <c r="H34" s="518"/>
      <c r="I34" s="489">
        <f>'FA Continuity 2009'!L34</f>
        <v>0</v>
      </c>
      <c r="J34" s="489"/>
      <c r="K34" s="489"/>
      <c r="L34" s="489">
        <f t="shared" si="1"/>
        <v>0</v>
      </c>
      <c r="M34" s="489">
        <f t="shared" si="2"/>
        <v>0</v>
      </c>
      <c r="N34" s="237"/>
    </row>
    <row r="35" spans="1:14" ht="12.75">
      <c r="A35" s="241">
        <v>8</v>
      </c>
      <c r="B35" s="484">
        <v>1940</v>
      </c>
      <c r="C35" s="503" t="s">
        <v>617</v>
      </c>
      <c r="D35" s="486">
        <f>'FA Continuity 2009'!G35</f>
        <v>129208.53</v>
      </c>
      <c r="E35" s="489">
        <f>'[3]App.2-B_Fixed Asset Continuity'!G42</f>
        <v>3775.43</v>
      </c>
      <c r="F35" s="489"/>
      <c r="G35" s="489">
        <f t="shared" si="0"/>
        <v>132983.96</v>
      </c>
      <c r="H35" s="518"/>
      <c r="I35" s="489">
        <f>'FA Continuity 2009'!L35</f>
        <v>84487.86</v>
      </c>
      <c r="J35" s="489">
        <f>-'[3]App.2-B_Fixed Asset Continuity'!L42</f>
        <v>13109.62</v>
      </c>
      <c r="K35" s="489"/>
      <c r="L35" s="489">
        <f t="shared" si="1"/>
        <v>97597.48</v>
      </c>
      <c r="M35" s="489">
        <f t="shared" si="2"/>
        <v>35386.479999999996</v>
      </c>
      <c r="N35" s="237"/>
    </row>
    <row r="36" spans="1:14" ht="12.75">
      <c r="A36" s="241">
        <v>8</v>
      </c>
      <c r="B36" s="484">
        <v>1945</v>
      </c>
      <c r="C36" s="503" t="s">
        <v>618</v>
      </c>
      <c r="D36" s="486">
        <f>'FA Continuity 2009'!G36</f>
        <v>0</v>
      </c>
      <c r="E36" s="489"/>
      <c r="F36" s="489"/>
      <c r="G36" s="489">
        <f t="shared" si="0"/>
        <v>0</v>
      </c>
      <c r="H36" s="518"/>
      <c r="I36" s="489">
        <f>'FA Continuity 2009'!L36</f>
        <v>0</v>
      </c>
      <c r="J36" s="489"/>
      <c r="K36" s="489"/>
      <c r="L36" s="489">
        <f t="shared" si="1"/>
        <v>0</v>
      </c>
      <c r="M36" s="489">
        <f t="shared" si="2"/>
        <v>0</v>
      </c>
      <c r="N36" s="237"/>
    </row>
    <row r="37" spans="1:14" ht="12.75">
      <c r="A37" s="241">
        <v>8</v>
      </c>
      <c r="B37" s="484">
        <v>1950</v>
      </c>
      <c r="C37" s="503" t="s">
        <v>619</v>
      </c>
      <c r="D37" s="486">
        <f>'FA Continuity 2009'!G37</f>
        <v>0</v>
      </c>
      <c r="E37" s="489"/>
      <c r="F37" s="489"/>
      <c r="G37" s="489">
        <f t="shared" si="0"/>
        <v>0</v>
      </c>
      <c r="H37" s="518"/>
      <c r="I37" s="489">
        <f>'FA Continuity 2009'!L37</f>
        <v>0</v>
      </c>
      <c r="J37" s="489"/>
      <c r="K37" s="489"/>
      <c r="L37" s="489">
        <f t="shared" si="1"/>
        <v>0</v>
      </c>
      <c r="M37" s="489">
        <f t="shared" si="2"/>
        <v>0</v>
      </c>
      <c r="N37" s="237"/>
    </row>
    <row r="38" spans="1:14" ht="12.75">
      <c r="A38" s="241">
        <v>8</v>
      </c>
      <c r="B38" s="484">
        <v>1955</v>
      </c>
      <c r="C38" s="503" t="s">
        <v>620</v>
      </c>
      <c r="D38" s="486">
        <f>'FA Continuity 2009'!G38</f>
        <v>0</v>
      </c>
      <c r="E38" s="489"/>
      <c r="F38" s="489"/>
      <c r="G38" s="489">
        <f t="shared" si="0"/>
        <v>0</v>
      </c>
      <c r="H38" s="518"/>
      <c r="I38" s="489">
        <f>'FA Continuity 2009'!L38</f>
        <v>0</v>
      </c>
      <c r="J38" s="489"/>
      <c r="K38" s="489"/>
      <c r="L38" s="489">
        <f t="shared" si="1"/>
        <v>0</v>
      </c>
      <c r="M38" s="489">
        <f t="shared" si="2"/>
        <v>0</v>
      </c>
      <c r="N38" s="237"/>
    </row>
    <row r="39" spans="1:14" ht="12.75">
      <c r="A39" s="241">
        <v>8</v>
      </c>
      <c r="B39" s="484">
        <v>1960</v>
      </c>
      <c r="C39" s="503" t="s">
        <v>517</v>
      </c>
      <c r="D39" s="486">
        <f>'FA Continuity 2009'!G39</f>
        <v>0</v>
      </c>
      <c r="E39" s="489"/>
      <c r="F39" s="489"/>
      <c r="G39" s="489">
        <f t="shared" si="0"/>
        <v>0</v>
      </c>
      <c r="H39" s="518"/>
      <c r="I39" s="489">
        <f>'FA Continuity 2009'!L39</f>
        <v>0</v>
      </c>
      <c r="J39" s="489"/>
      <c r="K39" s="489"/>
      <c r="L39" s="489">
        <f t="shared" si="1"/>
        <v>0</v>
      </c>
      <c r="M39" s="489">
        <f t="shared" si="2"/>
        <v>0</v>
      </c>
      <c r="N39" s="237"/>
    </row>
    <row r="40" spans="1:14" ht="12.75">
      <c r="A40" s="241">
        <v>47</v>
      </c>
      <c r="B40" s="484">
        <v>1970</v>
      </c>
      <c r="C40" s="503" t="s">
        <v>621</v>
      </c>
      <c r="D40" s="486">
        <f>'FA Continuity 2009'!G40</f>
        <v>0</v>
      </c>
      <c r="E40" s="489"/>
      <c r="F40" s="489"/>
      <c r="G40" s="489">
        <f t="shared" si="0"/>
        <v>0</v>
      </c>
      <c r="H40" s="518"/>
      <c r="I40" s="489">
        <f>'FA Continuity 2009'!L40</f>
        <v>0</v>
      </c>
      <c r="J40" s="489"/>
      <c r="K40" s="489"/>
      <c r="L40" s="489">
        <f t="shared" si="1"/>
        <v>0</v>
      </c>
      <c r="M40" s="489">
        <f t="shared" si="2"/>
        <v>0</v>
      </c>
      <c r="N40" s="237"/>
    </row>
    <row r="41" spans="1:14" ht="12.75">
      <c r="A41" s="241">
        <v>47</v>
      </c>
      <c r="B41" s="484">
        <v>1975</v>
      </c>
      <c r="C41" s="503" t="s">
        <v>622</v>
      </c>
      <c r="D41" s="486">
        <f>'FA Continuity 2009'!G41</f>
        <v>0</v>
      </c>
      <c r="E41" s="489"/>
      <c r="F41" s="489"/>
      <c r="G41" s="489">
        <f t="shared" si="0"/>
        <v>0</v>
      </c>
      <c r="H41" s="518"/>
      <c r="I41" s="489">
        <f>'FA Continuity 2009'!L41</f>
        <v>0</v>
      </c>
      <c r="J41" s="489"/>
      <c r="K41" s="489"/>
      <c r="L41" s="489">
        <f t="shared" si="1"/>
        <v>0</v>
      </c>
      <c r="M41" s="489">
        <f t="shared" si="2"/>
        <v>0</v>
      </c>
      <c r="N41" s="237"/>
    </row>
    <row r="42" spans="1:14" ht="12.75">
      <c r="A42" s="241">
        <v>47</v>
      </c>
      <c r="B42" s="484">
        <v>1980</v>
      </c>
      <c r="C42" s="503" t="s">
        <v>518</v>
      </c>
      <c r="D42" s="486">
        <f>'FA Continuity 2009'!G42</f>
        <v>0</v>
      </c>
      <c r="E42" s="489"/>
      <c r="F42" s="489"/>
      <c r="G42" s="489">
        <f t="shared" si="0"/>
        <v>0</v>
      </c>
      <c r="H42" s="518"/>
      <c r="I42" s="489">
        <f>'FA Continuity 2009'!L42</f>
        <v>0</v>
      </c>
      <c r="J42" s="489"/>
      <c r="K42" s="489"/>
      <c r="L42" s="489">
        <f t="shared" si="1"/>
        <v>0</v>
      </c>
      <c r="M42" s="489">
        <f t="shared" si="2"/>
        <v>0</v>
      </c>
      <c r="N42" s="237"/>
    </row>
    <row r="43" spans="1:14" ht="12.75">
      <c r="A43" s="241">
        <v>47</v>
      </c>
      <c r="B43" s="484">
        <v>1985</v>
      </c>
      <c r="C43" s="503" t="s">
        <v>623</v>
      </c>
      <c r="D43" s="486">
        <f>'FA Continuity 2009'!G43</f>
        <v>0</v>
      </c>
      <c r="E43" s="489"/>
      <c r="F43" s="489"/>
      <c r="G43" s="489">
        <f t="shared" si="0"/>
        <v>0</v>
      </c>
      <c r="H43" s="518"/>
      <c r="I43" s="489">
        <f>'FA Continuity 2009'!L43</f>
        <v>0</v>
      </c>
      <c r="J43" s="489"/>
      <c r="K43" s="489"/>
      <c r="L43" s="489">
        <f t="shared" si="1"/>
        <v>0</v>
      </c>
      <c r="M43" s="489">
        <f t="shared" si="2"/>
        <v>0</v>
      </c>
      <c r="N43" s="237"/>
    </row>
    <row r="44" spans="1:14" ht="12.75">
      <c r="A44" s="241">
        <v>47</v>
      </c>
      <c r="B44" s="484">
        <v>1990</v>
      </c>
      <c r="C44" s="503" t="s">
        <v>624</v>
      </c>
      <c r="D44" s="486">
        <f>'FA Continuity 2009'!G44</f>
        <v>0</v>
      </c>
      <c r="E44" s="489"/>
      <c r="F44" s="489"/>
      <c r="G44" s="489">
        <f t="shared" si="0"/>
        <v>0</v>
      </c>
      <c r="H44" s="518"/>
      <c r="I44" s="489">
        <f>'FA Continuity 2009'!L44</f>
        <v>0</v>
      </c>
      <c r="J44" s="489"/>
      <c r="K44" s="489"/>
      <c r="L44" s="489">
        <f t="shared" si="1"/>
        <v>0</v>
      </c>
      <c r="M44" s="489">
        <f t="shared" si="2"/>
        <v>0</v>
      </c>
      <c r="N44" s="237"/>
    </row>
    <row r="45" spans="1:14" ht="12.75">
      <c r="A45" s="241">
        <v>47</v>
      </c>
      <c r="B45" s="484">
        <v>1995</v>
      </c>
      <c r="C45" s="503" t="s">
        <v>625</v>
      </c>
      <c r="D45" s="486">
        <f>'FA Continuity 2009'!G45</f>
        <v>-360987.58999999997</v>
      </c>
      <c r="E45" s="489">
        <f>'[3]App.2-B_Fixed Asset Continuity'!G51</f>
        <v>0</v>
      </c>
      <c r="F45" s="489"/>
      <c r="G45" s="489">
        <f t="shared" si="0"/>
        <v>-360987.58999999997</v>
      </c>
      <c r="H45" s="518"/>
      <c r="I45" s="489">
        <f>'FA Continuity 2009'!L45</f>
        <v>-65551.49</v>
      </c>
      <c r="J45" s="489">
        <f>-'[3]App.2-B_Fixed Asset Continuity'!L51</f>
        <v>-14439.5</v>
      </c>
      <c r="K45" s="489"/>
      <c r="L45" s="489">
        <f t="shared" si="1"/>
        <v>-79990.99</v>
      </c>
      <c r="M45" s="489">
        <f t="shared" si="2"/>
        <v>-280996.6</v>
      </c>
      <c r="N45" s="237"/>
    </row>
    <row r="46" spans="1:14" ht="12.75">
      <c r="A46" s="241"/>
      <c r="B46" s="484">
        <v>2005</v>
      </c>
      <c r="C46" s="488" t="str">
        <f>'FA Continuity 2008'!C46</f>
        <v>Property under Capital Lease</v>
      </c>
      <c r="D46" s="503">
        <f>'FA Continuity 2008'!D46</f>
        <v>0</v>
      </c>
      <c r="E46" s="489"/>
      <c r="F46" s="489"/>
      <c r="G46" s="489">
        <f t="shared" si="0"/>
        <v>0</v>
      </c>
      <c r="H46" s="518"/>
      <c r="I46" s="489">
        <f>'FA Continuity 2009'!L46</f>
        <v>0</v>
      </c>
      <c r="J46" s="489"/>
      <c r="K46" s="489"/>
      <c r="L46" s="489">
        <f>I46+J46-K46</f>
        <v>0</v>
      </c>
      <c r="M46" s="489">
        <f>G46-L46</f>
        <v>0</v>
      </c>
      <c r="N46" s="237"/>
    </row>
    <row r="47" spans="1:14" ht="12.75">
      <c r="A47" s="241"/>
      <c r="B47" s="492"/>
      <c r="C47" s="504" t="s">
        <v>217</v>
      </c>
      <c r="D47" s="494">
        <f>SUM(D10:D46)</f>
        <v>5759088.870000002</v>
      </c>
      <c r="E47" s="494">
        <f>SUM(E10:E46)</f>
        <v>1411887.7499999998</v>
      </c>
      <c r="F47" s="494">
        <f>SUM(F10:F46)</f>
        <v>0</v>
      </c>
      <c r="G47" s="494">
        <f>SUM(G10:G46)</f>
        <v>7170976.62</v>
      </c>
      <c r="H47" s="518"/>
      <c r="I47" s="494">
        <f>SUM(I10:I46)</f>
        <v>1643983.35</v>
      </c>
      <c r="J47" s="494">
        <f>SUM(J10:J46)</f>
        <v>379401.05433333333</v>
      </c>
      <c r="K47" s="494">
        <f>SUM(K10:K46)</f>
        <v>0</v>
      </c>
      <c r="L47" s="494">
        <f>SUM(L10:L46)</f>
        <v>2023384.4043333333</v>
      </c>
      <c r="M47" s="494">
        <f>SUM(M10:M46)</f>
        <v>5147592.2156666685</v>
      </c>
      <c r="N47" s="237"/>
    </row>
    <row r="48" spans="1:14" ht="12.75">
      <c r="A48" s="241"/>
      <c r="B48" s="492"/>
      <c r="C48" s="503"/>
      <c r="D48" s="489"/>
      <c r="E48" s="489"/>
      <c r="F48" s="489"/>
      <c r="G48" s="489"/>
      <c r="H48" s="518"/>
      <c r="I48" s="489"/>
      <c r="J48" s="489"/>
      <c r="K48" s="489"/>
      <c r="L48" s="489"/>
      <c r="M48" s="489"/>
      <c r="N48" s="237"/>
    </row>
    <row r="49" spans="1:14" ht="12.75">
      <c r="A49" s="241" t="s">
        <v>204</v>
      </c>
      <c r="B49" s="492"/>
      <c r="C49" s="503" t="s">
        <v>251</v>
      </c>
      <c r="D49" s="489">
        <f>'FA Continuity 2009'!G49</f>
        <v>1.8189894035458565E-12</v>
      </c>
      <c r="E49" s="489"/>
      <c r="F49" s="489"/>
      <c r="G49" s="489">
        <f>D49+E49-F49</f>
        <v>1.8189894035458565E-12</v>
      </c>
      <c r="H49" s="518"/>
      <c r="I49" s="489">
        <f>'FA Continuity 2009'!L49</f>
        <v>0</v>
      </c>
      <c r="J49" s="489"/>
      <c r="K49" s="489"/>
      <c r="L49" s="489">
        <f>I49+J49-K49</f>
        <v>0</v>
      </c>
      <c r="M49" s="489">
        <f>G49-L49</f>
        <v>1.8189894035458565E-12</v>
      </c>
      <c r="N49" s="237"/>
    </row>
    <row r="50" spans="1:14" ht="12.75">
      <c r="A50" s="241"/>
      <c r="B50" s="492"/>
      <c r="C50" s="504" t="s">
        <v>218</v>
      </c>
      <c r="D50" s="494">
        <f>SUM(D47:D49)</f>
        <v>5759088.870000002</v>
      </c>
      <c r="E50" s="494">
        <f>SUM(E47:E49)</f>
        <v>1411887.7499999998</v>
      </c>
      <c r="F50" s="494">
        <f>SUM(F47:F49)</f>
        <v>0</v>
      </c>
      <c r="G50" s="494">
        <f>SUM(G47:G49)</f>
        <v>7170976.62</v>
      </c>
      <c r="H50" s="518"/>
      <c r="I50" s="494">
        <f>SUM(I47:I49)</f>
        <v>1643983.35</v>
      </c>
      <c r="J50" s="494">
        <f>SUM(J47:J49)</f>
        <v>379401.05433333333</v>
      </c>
      <c r="K50" s="494">
        <f>SUM(K47:K49)</f>
        <v>0</v>
      </c>
      <c r="L50" s="494">
        <f>SUM(L47:L49)</f>
        <v>2023384.4043333333</v>
      </c>
      <c r="M50" s="494">
        <f>SUM(M47:M49)</f>
        <v>5147592.2156666685</v>
      </c>
      <c r="N50" s="237"/>
    </row>
    <row r="51" spans="1:13" ht="12.75">
      <c r="A51" s="240"/>
      <c r="B51" s="477"/>
      <c r="C51" s="495"/>
      <c r="D51" s="505"/>
      <c r="E51" s="505"/>
      <c r="F51" s="505"/>
      <c r="G51" s="505"/>
      <c r="H51" s="479"/>
      <c r="I51" s="479"/>
      <c r="J51" s="479"/>
      <c r="K51" s="479"/>
      <c r="L51" s="479"/>
      <c r="M51" s="479"/>
    </row>
    <row r="52" spans="1:14" ht="12.75">
      <c r="A52" s="477"/>
      <c r="B52" s="477"/>
      <c r="C52" s="495"/>
      <c r="D52" s="505"/>
      <c r="E52" s="440"/>
      <c r="F52" s="440"/>
      <c r="G52" s="440"/>
      <c r="H52" s="516" t="s">
        <v>252</v>
      </c>
      <c r="I52" s="516"/>
      <c r="J52" s="516"/>
      <c r="K52" s="401"/>
      <c r="L52" s="18"/>
      <c r="M52" s="479"/>
      <c r="N52" s="237"/>
    </row>
    <row r="53" spans="1:14" ht="12.75">
      <c r="A53" s="484"/>
      <c r="B53" s="484">
        <f>B32</f>
        <v>1925</v>
      </c>
      <c r="C53" s="485" t="s">
        <v>253</v>
      </c>
      <c r="D53" s="505"/>
      <c r="E53" s="440"/>
      <c r="F53" s="440"/>
      <c r="G53" s="440"/>
      <c r="H53" s="523" t="s">
        <v>253</v>
      </c>
      <c r="I53" s="523"/>
      <c r="J53" s="498"/>
      <c r="K53" s="401"/>
      <c r="L53" s="18"/>
      <c r="M53" s="479"/>
      <c r="N53" s="248"/>
    </row>
    <row r="54" spans="1:14" ht="12.75">
      <c r="A54" s="484"/>
      <c r="B54" s="484">
        <f>B33</f>
        <v>1930</v>
      </c>
      <c r="C54" s="485" t="s">
        <v>516</v>
      </c>
      <c r="D54" s="505"/>
      <c r="E54" s="440"/>
      <c r="F54" s="440"/>
      <c r="G54" s="440"/>
      <c r="H54" s="523" t="s">
        <v>777</v>
      </c>
      <c r="I54" s="523"/>
      <c r="J54" s="498"/>
      <c r="K54" s="401"/>
      <c r="L54" s="18"/>
      <c r="M54" s="479"/>
      <c r="N54" s="248"/>
    </row>
    <row r="55" spans="1:14" ht="13.5" thickBot="1">
      <c r="A55" s="477"/>
      <c r="B55" s="477"/>
      <c r="C55" s="495"/>
      <c r="D55" s="505"/>
      <c r="E55" s="440"/>
      <c r="F55" s="440"/>
      <c r="G55" s="440"/>
      <c r="H55" s="523" t="s">
        <v>254</v>
      </c>
      <c r="I55" s="523"/>
      <c r="J55" s="499">
        <f>J50-J53-J54</f>
        <v>379401.05433333333</v>
      </c>
      <c r="K55" s="401"/>
      <c r="L55" s="18"/>
      <c r="M55" s="479"/>
      <c r="N55" s="250"/>
    </row>
    <row r="56" spans="1:13" ht="13.5" thickTop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3:13" ht="12.75">
      <c r="C62" s="210"/>
      <c r="D62" s="211"/>
      <c r="E62" s="211"/>
      <c r="F62" s="211"/>
      <c r="G62" s="211"/>
      <c r="H62" s="212"/>
      <c r="I62" s="213"/>
      <c r="J62" s="213"/>
      <c r="K62" s="213"/>
      <c r="L62" s="213"/>
      <c r="M62" s="213"/>
    </row>
    <row r="63" spans="3:13" ht="12.75">
      <c r="C63" s="210"/>
      <c r="D63" s="211"/>
      <c r="E63" s="211"/>
      <c r="F63" s="211"/>
      <c r="G63" s="211"/>
      <c r="H63" s="212"/>
      <c r="I63" s="213"/>
      <c r="J63" s="213"/>
      <c r="K63" s="213"/>
      <c r="L63" s="213"/>
      <c r="M63" s="213"/>
    </row>
    <row r="64" spans="3:13" ht="12.75">
      <c r="C64" s="210"/>
      <c r="D64" s="211"/>
      <c r="E64" s="211"/>
      <c r="F64" s="211"/>
      <c r="G64" s="211"/>
      <c r="H64" s="212"/>
      <c r="I64" s="213"/>
      <c r="J64" s="213"/>
      <c r="K64" s="213"/>
      <c r="L64" s="213"/>
      <c r="M64" s="213"/>
    </row>
    <row r="65" spans="3:13" ht="12.75">
      <c r="C65" s="210"/>
      <c r="D65" s="211"/>
      <c r="E65" s="211"/>
      <c r="F65" s="211"/>
      <c r="G65" s="211"/>
      <c r="H65" s="212"/>
      <c r="I65" s="213"/>
      <c r="J65" s="213"/>
      <c r="K65" s="213"/>
      <c r="L65" s="213"/>
      <c r="M65" s="213"/>
    </row>
  </sheetData>
  <sheetProtection/>
  <mergeCells count="26">
    <mergeCell ref="H55:I55"/>
    <mergeCell ref="H8:H50"/>
    <mergeCell ref="A3:C3"/>
    <mergeCell ref="A4:C4"/>
    <mergeCell ref="A5:C5"/>
    <mergeCell ref="H52:J52"/>
    <mergeCell ref="J8:J9"/>
    <mergeCell ref="E8:E9"/>
    <mergeCell ref="F8:F9"/>
    <mergeCell ref="G8:G9"/>
    <mergeCell ref="C8:C9"/>
    <mergeCell ref="D8:D9"/>
    <mergeCell ref="I7:L7"/>
    <mergeCell ref="D6:G6"/>
    <mergeCell ref="I6:L6"/>
    <mergeCell ref="D7:G7"/>
    <mergeCell ref="A1:M1"/>
    <mergeCell ref="A2:M2"/>
    <mergeCell ref="H53:I53"/>
    <mergeCell ref="H54:I54"/>
    <mergeCell ref="K8:K9"/>
    <mergeCell ref="L8:L9"/>
    <mergeCell ref="M8:M9"/>
    <mergeCell ref="I8:I9"/>
    <mergeCell ref="A8:A9"/>
    <mergeCell ref="B8:B9"/>
  </mergeCells>
  <printOptions/>
  <pageMargins left="0.7480314960629921" right="0.7480314960629921" top="0.7874015748031497" bottom="0.4724409448818898" header="0.5118110236220472" footer="0.15748031496062992"/>
  <pageSetup fitToHeight="1" fitToWidth="1" horizontalDpi="355" verticalDpi="355" orientation="landscape" scale="76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25">
      <selection activeCell="A8" sqref="A8:M55"/>
    </sheetView>
  </sheetViews>
  <sheetFormatPr defaultColWidth="9.140625" defaultRowHeight="12.75"/>
  <cols>
    <col min="1" max="1" width="5.421875" style="20" customWidth="1"/>
    <col min="2" max="2" width="6.140625" style="215" customWidth="1"/>
    <col min="3" max="3" width="38.421875" style="214" customWidth="1"/>
    <col min="4" max="4" width="10.140625" style="214" customWidth="1"/>
    <col min="5" max="5" width="9.00390625" style="214" customWidth="1"/>
    <col min="6" max="6" width="9.28125" style="214" customWidth="1"/>
    <col min="7" max="7" width="10.28125" style="214" customWidth="1"/>
    <col min="8" max="8" width="0.85546875" style="214" customWidth="1"/>
    <col min="9" max="9" width="11.7109375" style="214" customWidth="1"/>
    <col min="10" max="10" width="9.28125" style="214" customWidth="1"/>
    <col min="11" max="11" width="9.140625" style="214" customWidth="1"/>
    <col min="12" max="12" width="10.28125" style="214" customWidth="1"/>
    <col min="13" max="13" width="10.140625" style="214" customWidth="1"/>
    <col min="14" max="14" width="15.28125" style="0" customWidth="1"/>
    <col min="15" max="15" width="9.57421875" style="0" bestFit="1" customWidth="1"/>
  </cols>
  <sheetData>
    <row r="1" spans="1:13" ht="12.75">
      <c r="A1" s="519" t="str">
        <f>Notes!B4</f>
        <v>Rideau St. Lawrence Distribution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2.75">
      <c r="A2" s="519" t="str">
        <f>'FA Continuity 2008'!A2:M2</f>
        <v> License Number ED-2003-0003, File Number EB-2011-0274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ht="12.75">
      <c r="A3" s="520"/>
      <c r="B3" s="520"/>
      <c r="C3" s="520"/>
      <c r="D3" s="211"/>
      <c r="E3" s="211"/>
      <c r="F3" s="211"/>
      <c r="G3" s="211"/>
      <c r="H3" s="212"/>
      <c r="I3" s="213"/>
      <c r="J3" s="213"/>
      <c r="K3" s="213"/>
      <c r="L3" s="213"/>
      <c r="M3" s="213"/>
    </row>
    <row r="4" spans="1:13" ht="12.75">
      <c r="A4" s="520" t="s">
        <v>209</v>
      </c>
      <c r="B4" s="520"/>
      <c r="C4" s="520"/>
      <c r="D4" s="211"/>
      <c r="E4" s="211"/>
      <c r="F4" s="211"/>
      <c r="H4" s="212"/>
      <c r="I4" s="213"/>
      <c r="J4" s="213"/>
      <c r="K4" s="213"/>
      <c r="L4" s="213"/>
      <c r="M4" s="213"/>
    </row>
    <row r="5" spans="1:13" ht="12.75">
      <c r="A5" s="520" t="s">
        <v>803</v>
      </c>
      <c r="B5" s="520"/>
      <c r="C5" s="520"/>
      <c r="D5" s="211"/>
      <c r="E5" s="211"/>
      <c r="F5" s="211"/>
      <c r="H5" s="212"/>
      <c r="I5" s="213"/>
      <c r="J5" s="213"/>
      <c r="K5" s="213"/>
      <c r="L5" s="213"/>
      <c r="M5" s="213"/>
    </row>
    <row r="6" spans="4:13" ht="12.75">
      <c r="D6" s="515" t="s">
        <v>248</v>
      </c>
      <c r="E6" s="515"/>
      <c r="F6" s="515"/>
      <c r="G6" s="515"/>
      <c r="H6" s="212"/>
      <c r="I6" s="515" t="s">
        <v>249</v>
      </c>
      <c r="J6" s="515"/>
      <c r="K6" s="515"/>
      <c r="L6" s="515"/>
      <c r="M6" s="213"/>
    </row>
    <row r="7" spans="3:13" ht="12.75">
      <c r="C7" s="210"/>
      <c r="D7" s="517"/>
      <c r="E7" s="517"/>
      <c r="F7" s="517"/>
      <c r="G7" s="517"/>
      <c r="H7" s="212"/>
      <c r="I7" s="517"/>
      <c r="J7" s="517"/>
      <c r="K7" s="517"/>
      <c r="L7" s="517"/>
      <c r="M7" s="213"/>
    </row>
    <row r="8" spans="1:13" s="16" customFormat="1" ht="12.75">
      <c r="A8" s="521" t="s">
        <v>202</v>
      </c>
      <c r="B8" s="521" t="s">
        <v>482</v>
      </c>
      <c r="C8" s="521" t="s">
        <v>174</v>
      </c>
      <c r="D8" s="513" t="s">
        <v>214</v>
      </c>
      <c r="E8" s="513" t="s">
        <v>312</v>
      </c>
      <c r="F8" s="513" t="s">
        <v>313</v>
      </c>
      <c r="G8" s="513" t="s">
        <v>215</v>
      </c>
      <c r="H8" s="518"/>
      <c r="I8" s="513" t="s">
        <v>214</v>
      </c>
      <c r="J8" s="513" t="s">
        <v>312</v>
      </c>
      <c r="K8" s="513" t="s">
        <v>313</v>
      </c>
      <c r="L8" s="513" t="s">
        <v>215</v>
      </c>
      <c r="M8" s="513" t="s">
        <v>216</v>
      </c>
    </row>
    <row r="9" spans="1:13" s="16" customFormat="1" ht="12.75">
      <c r="A9" s="522"/>
      <c r="B9" s="522"/>
      <c r="C9" s="522"/>
      <c r="D9" s="514" t="s">
        <v>250</v>
      </c>
      <c r="E9" s="514" t="s">
        <v>312</v>
      </c>
      <c r="F9" s="514"/>
      <c r="G9" s="514"/>
      <c r="H9" s="518"/>
      <c r="I9" s="514" t="s">
        <v>250</v>
      </c>
      <c r="J9" s="514" t="s">
        <v>312</v>
      </c>
      <c r="K9" s="514"/>
      <c r="L9" s="514"/>
      <c r="M9" s="514"/>
    </row>
    <row r="10" spans="1:14" ht="12.75">
      <c r="A10" s="241" t="s">
        <v>203</v>
      </c>
      <c r="B10" s="484">
        <v>1610</v>
      </c>
      <c r="C10" s="485" t="s">
        <v>849</v>
      </c>
      <c r="D10" s="486">
        <f>+'FA Continuity 2010'!G10</f>
        <v>0</v>
      </c>
      <c r="E10" s="487"/>
      <c r="F10" s="488"/>
      <c r="G10" s="489">
        <f>D10+E10-F10</f>
        <v>0</v>
      </c>
      <c r="H10" s="518"/>
      <c r="I10" s="489">
        <f>+'FA Continuity 2010'!L10</f>
        <v>0</v>
      </c>
      <c r="J10" s="489">
        <f>'FA Continuity 2010'!J10+(E10/30/2)</f>
        <v>0</v>
      </c>
      <c r="K10" s="489"/>
      <c r="L10" s="489">
        <f>I10+J10-K10</f>
        <v>0</v>
      </c>
      <c r="M10" s="489">
        <f>G10-L10</f>
        <v>0</v>
      </c>
      <c r="N10" s="237"/>
    </row>
    <row r="11" spans="1:14" ht="12.75">
      <c r="A11" s="241" t="s">
        <v>203</v>
      </c>
      <c r="B11" s="484">
        <v>1805</v>
      </c>
      <c r="C11" s="485" t="s">
        <v>513</v>
      </c>
      <c r="D11" s="486">
        <f>+'FA Continuity 2010'!G11</f>
        <v>84205.25</v>
      </c>
      <c r="E11" s="487"/>
      <c r="F11" s="488"/>
      <c r="G11" s="489">
        <f aca="true" t="shared" si="0" ref="G11:G46">D11+E11-F11</f>
        <v>84205.25</v>
      </c>
      <c r="H11" s="518"/>
      <c r="I11" s="489">
        <f>+'FA Continuity 2010'!L11</f>
        <v>0</v>
      </c>
      <c r="J11" s="489">
        <f>'FA Continuity 2010'!J11+(E11/30/2)</f>
        <v>0</v>
      </c>
      <c r="K11" s="489"/>
      <c r="L11" s="489">
        <f aca="true" t="shared" si="1" ref="L11:L46">I11+J11-K11</f>
        <v>0</v>
      </c>
      <c r="M11" s="489">
        <f aca="true" t="shared" si="2" ref="M11:M46">G11-L11</f>
        <v>84205.25</v>
      </c>
      <c r="N11" s="237"/>
    </row>
    <row r="12" spans="1:14" ht="12.75">
      <c r="A12" s="241" t="s">
        <v>470</v>
      </c>
      <c r="B12" s="484">
        <v>1806</v>
      </c>
      <c r="C12" s="485" t="s">
        <v>514</v>
      </c>
      <c r="D12" s="486">
        <f>+'FA Continuity 2010'!G12</f>
        <v>0</v>
      </c>
      <c r="E12" s="487"/>
      <c r="F12" s="488"/>
      <c r="G12" s="489">
        <f t="shared" si="0"/>
        <v>0</v>
      </c>
      <c r="H12" s="518"/>
      <c r="I12" s="489">
        <f>+'FA Continuity 2010'!L12</f>
        <v>0</v>
      </c>
      <c r="J12" s="489">
        <f>'FA Continuity 2010'!J12+(E12/30/2)</f>
        <v>0</v>
      </c>
      <c r="K12" s="489"/>
      <c r="L12" s="489">
        <f t="shared" si="1"/>
        <v>0</v>
      </c>
      <c r="M12" s="489">
        <f t="shared" si="2"/>
        <v>0</v>
      </c>
      <c r="N12" s="237"/>
    </row>
    <row r="13" spans="1:15" ht="12.75">
      <c r="A13" s="241">
        <v>47</v>
      </c>
      <c r="B13" s="484">
        <v>1808</v>
      </c>
      <c r="C13" s="485" t="s">
        <v>607</v>
      </c>
      <c r="D13" s="486">
        <f>+'FA Continuity 2010'!G13</f>
        <v>82287.41</v>
      </c>
      <c r="E13" s="487"/>
      <c r="F13" s="488"/>
      <c r="G13" s="489">
        <f t="shared" si="0"/>
        <v>82287.41</v>
      </c>
      <c r="H13" s="518"/>
      <c r="I13" s="489">
        <f>+'FA Continuity 2010'!L13</f>
        <v>6648.0199999999995</v>
      </c>
      <c r="J13" s="489">
        <f>D13/50+E13/50/2</f>
        <v>1645.7482</v>
      </c>
      <c r="K13" s="489"/>
      <c r="L13" s="489">
        <f t="shared" si="1"/>
        <v>8293.768199999999</v>
      </c>
      <c r="M13" s="489">
        <f t="shared" si="2"/>
        <v>73993.64180000001</v>
      </c>
      <c r="N13" s="237"/>
      <c r="O13">
        <f>+((D13-I13)+(E13/2))/50</f>
        <v>1512.7878</v>
      </c>
    </row>
    <row r="14" spans="1:13" ht="12.75">
      <c r="A14" s="241">
        <v>13</v>
      </c>
      <c r="B14" s="484">
        <v>1810</v>
      </c>
      <c r="C14" s="485" t="s">
        <v>511</v>
      </c>
      <c r="D14" s="486">
        <f>+'FA Continuity 2010'!G14</f>
        <v>0</v>
      </c>
      <c r="E14" s="487"/>
      <c r="F14" s="488"/>
      <c r="G14" s="489">
        <f t="shared" si="0"/>
        <v>0</v>
      </c>
      <c r="H14" s="518"/>
      <c r="I14" s="489">
        <f>+'FA Continuity 2010'!L14</f>
        <v>0</v>
      </c>
      <c r="J14" s="489">
        <f>'FA Continuity 2010'!J14+(E14/30/2)</f>
        <v>0</v>
      </c>
      <c r="K14" s="489"/>
      <c r="L14" s="489">
        <f t="shared" si="1"/>
        <v>0</v>
      </c>
      <c r="M14" s="489">
        <f t="shared" si="2"/>
        <v>0</v>
      </c>
    </row>
    <row r="15" spans="1:14" ht="12.75">
      <c r="A15" s="241">
        <v>47</v>
      </c>
      <c r="B15" s="484">
        <v>1815</v>
      </c>
      <c r="C15" s="485" t="s">
        <v>608</v>
      </c>
      <c r="D15" s="486">
        <f>+'FA Continuity 2010'!G15</f>
        <v>0</v>
      </c>
      <c r="E15" s="487"/>
      <c r="F15" s="488"/>
      <c r="G15" s="489">
        <f t="shared" si="0"/>
        <v>0</v>
      </c>
      <c r="H15" s="518"/>
      <c r="I15" s="489">
        <f>+'FA Continuity 2010'!L15</f>
        <v>0</v>
      </c>
      <c r="J15" s="489">
        <f>'FA Continuity 2010'!J15+(E15/30/2)</f>
        <v>0</v>
      </c>
      <c r="K15" s="489"/>
      <c r="L15" s="489">
        <f t="shared" si="1"/>
        <v>0</v>
      </c>
      <c r="M15" s="489">
        <f t="shared" si="2"/>
        <v>0</v>
      </c>
      <c r="N15" s="237"/>
    </row>
    <row r="16" spans="1:15" ht="12.75">
      <c r="A16" s="241">
        <v>47</v>
      </c>
      <c r="B16" s="484">
        <v>1820</v>
      </c>
      <c r="C16" s="485" t="s">
        <v>609</v>
      </c>
      <c r="D16" s="486">
        <f>+'FA Continuity 2010'!G16</f>
        <v>689883.89</v>
      </c>
      <c r="E16" s="487">
        <v>35000</v>
      </c>
      <c r="F16" s="488"/>
      <c r="G16" s="489">
        <f t="shared" si="0"/>
        <v>724883.89</v>
      </c>
      <c r="H16" s="518"/>
      <c r="I16" s="489">
        <f>+'FA Continuity 2010'!L16</f>
        <v>182308.96999999997</v>
      </c>
      <c r="J16" s="489">
        <f>(311991.85/25)+(377892.12/45)+(15000/25/2)+(20000/45/2)</f>
        <v>21399.498888888887</v>
      </c>
      <c r="K16" s="489"/>
      <c r="L16" s="489">
        <f t="shared" si="1"/>
        <v>203708.46888888886</v>
      </c>
      <c r="M16" s="489">
        <f t="shared" si="2"/>
        <v>521175.4211111112</v>
      </c>
      <c r="O16">
        <f>+((D16-I16)+(E16/2))/25</f>
        <v>21002.9968</v>
      </c>
    </row>
    <row r="17" spans="1:14" s="427" customFormat="1" ht="12.75">
      <c r="A17" s="241">
        <v>47</v>
      </c>
      <c r="B17" s="484">
        <v>1860</v>
      </c>
      <c r="C17" s="485" t="s">
        <v>874</v>
      </c>
      <c r="D17" s="486">
        <f>+'FA Continuity 2010'!G17</f>
        <v>1142778.7899999998</v>
      </c>
      <c r="E17" s="487">
        <f>'[4]2. Smart_Meter_Costs'!$Q$191</f>
        <v>151310.72999999998</v>
      </c>
      <c r="F17" s="488"/>
      <c r="G17" s="489">
        <f t="shared" si="0"/>
        <v>1294089.5199999998</v>
      </c>
      <c r="H17" s="518"/>
      <c r="I17" s="489">
        <f>+'FA Continuity 2010'!L17</f>
        <v>118840.6443333333</v>
      </c>
      <c r="J17" s="489">
        <f>'[4]5. SM_Rev_Reqt'!$Q$58</f>
        <v>101874.09766666664</v>
      </c>
      <c r="K17" s="489"/>
      <c r="L17" s="489">
        <f t="shared" si="1"/>
        <v>220714.74199999994</v>
      </c>
      <c r="M17" s="489">
        <f t="shared" si="2"/>
        <v>1073374.778</v>
      </c>
      <c r="N17" s="426"/>
    </row>
    <row r="18" spans="1:15" ht="12.75">
      <c r="A18" s="241">
        <v>47</v>
      </c>
      <c r="B18" s="484">
        <v>1830</v>
      </c>
      <c r="C18" s="485" t="s">
        <v>610</v>
      </c>
      <c r="D18" s="486">
        <f>+'FA Continuity 2010'!G18</f>
        <v>452091.9</v>
      </c>
      <c r="E18" s="487">
        <v>50000</v>
      </c>
      <c r="F18" s="489"/>
      <c r="G18" s="489">
        <f t="shared" si="0"/>
        <v>502091.9</v>
      </c>
      <c r="H18" s="518"/>
      <c r="I18" s="489">
        <f>+'FA Continuity 2010'!L18</f>
        <v>84085.57</v>
      </c>
      <c r="J18" s="489">
        <f>D18/45+E18/45/2</f>
        <v>10602.042222222222</v>
      </c>
      <c r="K18" s="489"/>
      <c r="L18" s="489">
        <f t="shared" si="1"/>
        <v>94687.61222222223</v>
      </c>
      <c r="M18" s="489">
        <f t="shared" si="2"/>
        <v>407404.28777777776</v>
      </c>
      <c r="N18" s="237"/>
      <c r="O18">
        <f aca="true" t="shared" si="3" ref="O18:O24">+((D18-I18)+(E18/2))/25</f>
        <v>15720.253200000001</v>
      </c>
    </row>
    <row r="19" spans="1:15" ht="12.75">
      <c r="A19" s="241">
        <v>47</v>
      </c>
      <c r="B19" s="484">
        <v>1835</v>
      </c>
      <c r="C19" s="485" t="s">
        <v>611</v>
      </c>
      <c r="D19" s="486">
        <f>+'FA Continuity 2010'!G19</f>
        <v>1794430.1</v>
      </c>
      <c r="E19" s="490">
        <v>45000</v>
      </c>
      <c r="F19" s="489"/>
      <c r="G19" s="489">
        <f t="shared" si="0"/>
        <v>1839430.1</v>
      </c>
      <c r="H19" s="518"/>
      <c r="I19" s="489">
        <f>+'FA Continuity 2010'!L19</f>
        <v>629452.2200000001</v>
      </c>
      <c r="J19" s="489">
        <f>D19/60+E19/60/2</f>
        <v>30282.168333333335</v>
      </c>
      <c r="K19" s="489"/>
      <c r="L19" s="489">
        <f t="shared" si="1"/>
        <v>659734.3883333334</v>
      </c>
      <c r="M19" s="489">
        <f t="shared" si="2"/>
        <v>1179695.7116666667</v>
      </c>
      <c r="N19" s="237"/>
      <c r="O19">
        <f t="shared" si="3"/>
        <v>47499.11519999999</v>
      </c>
    </row>
    <row r="20" spans="1:15" ht="12.75">
      <c r="A20" s="241">
        <v>47</v>
      </c>
      <c r="B20" s="484">
        <v>1840</v>
      </c>
      <c r="C20" s="485" t="s">
        <v>612</v>
      </c>
      <c r="D20" s="486">
        <f>+'FA Continuity 2010'!G20</f>
        <v>463826.49000000005</v>
      </c>
      <c r="E20" s="487"/>
      <c r="F20" s="489">
        <v>426964.14</v>
      </c>
      <c r="G20" s="489">
        <f t="shared" si="0"/>
        <v>36862.350000000035</v>
      </c>
      <c r="H20" s="518"/>
      <c r="I20" s="489">
        <f>+'FA Continuity 2010'!L20</f>
        <v>176435.34999999998</v>
      </c>
      <c r="J20" s="489">
        <f>ROUND((D20-F20)/50,0)</f>
        <v>737</v>
      </c>
      <c r="K20" s="489">
        <v>166758.64</v>
      </c>
      <c r="L20" s="489">
        <f t="shared" si="1"/>
        <v>10413.709999999963</v>
      </c>
      <c r="M20" s="489">
        <f t="shared" si="2"/>
        <v>26448.640000000072</v>
      </c>
      <c r="N20" s="237"/>
      <c r="O20">
        <f t="shared" si="3"/>
        <v>11495.645600000003</v>
      </c>
    </row>
    <row r="21" spans="1:15" ht="12.75">
      <c r="A21" s="241">
        <v>47</v>
      </c>
      <c r="B21" s="484">
        <v>1845</v>
      </c>
      <c r="C21" s="485" t="s">
        <v>613</v>
      </c>
      <c r="D21" s="486">
        <f>+'FA Continuity 2010'!G21</f>
        <v>360284.18000000005</v>
      </c>
      <c r="E21" s="490">
        <v>10000</v>
      </c>
      <c r="F21" s="489">
        <v>-426964.14</v>
      </c>
      <c r="G21" s="489">
        <f t="shared" si="0"/>
        <v>797248.3200000001</v>
      </c>
      <c r="H21" s="518"/>
      <c r="I21" s="489">
        <f>+'FA Continuity 2010'!L21</f>
        <v>106905.69</v>
      </c>
      <c r="J21" s="489">
        <f>ROUND((D21-F21)/40+E21/40/2,0)</f>
        <v>19806</v>
      </c>
      <c r="K21" s="489">
        <v>-166758.64</v>
      </c>
      <c r="L21" s="489">
        <f t="shared" si="1"/>
        <v>293470.33</v>
      </c>
      <c r="M21" s="489">
        <f t="shared" si="2"/>
        <v>503777.99000000005</v>
      </c>
      <c r="N21" s="237"/>
      <c r="O21">
        <f t="shared" si="3"/>
        <v>10335.139600000002</v>
      </c>
    </row>
    <row r="22" spans="1:15" ht="12.75">
      <c r="A22" s="241">
        <v>47</v>
      </c>
      <c r="B22" s="484">
        <v>1850</v>
      </c>
      <c r="C22" s="485" t="s">
        <v>512</v>
      </c>
      <c r="D22" s="486">
        <f>+'FA Continuity 2010'!G22</f>
        <v>991223.28</v>
      </c>
      <c r="E22" s="487">
        <v>40000</v>
      </c>
      <c r="F22" s="489"/>
      <c r="G22" s="489">
        <f t="shared" si="0"/>
        <v>1031223.28</v>
      </c>
      <c r="H22" s="518"/>
      <c r="I22" s="489">
        <f>+'FA Continuity 2010'!L22</f>
        <v>272783.25</v>
      </c>
      <c r="J22" s="489">
        <f>ROUND((D22-F22)/45+E22/45/2,0)</f>
        <v>22472</v>
      </c>
      <c r="K22" s="489"/>
      <c r="L22" s="489">
        <f t="shared" si="1"/>
        <v>295255.25</v>
      </c>
      <c r="M22" s="489">
        <f t="shared" si="2"/>
        <v>735968.03</v>
      </c>
      <c r="N22" s="237"/>
      <c r="O22">
        <f t="shared" si="3"/>
        <v>29537.6012</v>
      </c>
    </row>
    <row r="23" spans="1:15" ht="12.75">
      <c r="A23" s="241">
        <v>47</v>
      </c>
      <c r="B23" s="484">
        <v>1855</v>
      </c>
      <c r="C23" s="485" t="s">
        <v>538</v>
      </c>
      <c r="D23" s="486">
        <f>+'FA Continuity 2010'!G23</f>
        <v>261636.53999999998</v>
      </c>
      <c r="E23" s="487">
        <v>20000</v>
      </c>
      <c r="F23" s="489"/>
      <c r="G23" s="489">
        <f t="shared" si="0"/>
        <v>281636.54</v>
      </c>
      <c r="H23" s="518"/>
      <c r="I23" s="489">
        <f>+'FA Continuity 2010'!L23</f>
        <v>44589.030000000006</v>
      </c>
      <c r="J23" s="489">
        <f>ROUND((D23-F23)/60+E23/60/2,0)</f>
        <v>4527</v>
      </c>
      <c r="K23" s="489"/>
      <c r="L23" s="489">
        <f t="shared" si="1"/>
        <v>49116.030000000006</v>
      </c>
      <c r="M23" s="489">
        <f t="shared" si="2"/>
        <v>232520.50999999998</v>
      </c>
      <c r="N23" s="237"/>
      <c r="O23">
        <f t="shared" si="3"/>
        <v>9081.900399999999</v>
      </c>
    </row>
    <row r="24" spans="1:15" ht="12.75">
      <c r="A24" s="241">
        <v>47</v>
      </c>
      <c r="B24" s="484">
        <v>1860</v>
      </c>
      <c r="C24" s="485" t="s">
        <v>539</v>
      </c>
      <c r="D24" s="486">
        <f>+'FA Continuity 2010'!G24</f>
        <v>431926.27</v>
      </c>
      <c r="E24" s="487">
        <v>40000</v>
      </c>
      <c r="F24" s="489">
        <f>'[4]Stranded'!$D$11</f>
        <v>295771.51000000007</v>
      </c>
      <c r="G24" s="489">
        <f t="shared" si="0"/>
        <v>176154.75999999995</v>
      </c>
      <c r="H24" s="518"/>
      <c r="I24" s="489">
        <f>+'FA Continuity 2010'!L24</f>
        <v>139949.33</v>
      </c>
      <c r="J24" s="489">
        <f>(D24-F24)/25+E24/25/2</f>
        <v>6246.190399999998</v>
      </c>
      <c r="K24" s="489">
        <f>'[4]Stranded'!$D$12</f>
        <v>115329.94165988622</v>
      </c>
      <c r="L24" s="489">
        <f t="shared" si="1"/>
        <v>30865.578740113764</v>
      </c>
      <c r="M24" s="489">
        <f t="shared" si="2"/>
        <v>145289.1812598862</v>
      </c>
      <c r="N24" s="237"/>
      <c r="O24">
        <f t="shared" si="3"/>
        <v>12479.077600000002</v>
      </c>
    </row>
    <row r="25" spans="1:14" ht="12.75">
      <c r="A25" s="241" t="s">
        <v>203</v>
      </c>
      <c r="B25" s="484">
        <v>1865</v>
      </c>
      <c r="C25" s="485" t="s">
        <v>614</v>
      </c>
      <c r="D25" s="486">
        <f>+'FA Continuity 2010'!G25</f>
        <v>0</v>
      </c>
      <c r="E25" s="490"/>
      <c r="F25" s="489"/>
      <c r="G25" s="489">
        <f t="shared" si="0"/>
        <v>0</v>
      </c>
      <c r="H25" s="518"/>
      <c r="I25" s="489">
        <f>+'FA Continuity 2010'!L25</f>
        <v>0</v>
      </c>
      <c r="J25" s="489">
        <f>'FA Continuity 2010'!J25+(E25/30/2)</f>
        <v>0</v>
      </c>
      <c r="K25" s="489"/>
      <c r="L25" s="489">
        <f t="shared" si="1"/>
        <v>0</v>
      </c>
      <c r="M25" s="489">
        <f t="shared" si="2"/>
        <v>0</v>
      </c>
      <c r="N25" s="237"/>
    </row>
    <row r="26" spans="1:14" ht="12.75">
      <c r="A26" s="241" t="s">
        <v>203</v>
      </c>
      <c r="B26" s="484">
        <v>1905</v>
      </c>
      <c r="C26" s="485" t="s">
        <v>513</v>
      </c>
      <c r="D26" s="486">
        <f>+'FA Continuity 2010'!G26</f>
        <v>0</v>
      </c>
      <c r="E26" s="490"/>
      <c r="F26" s="489"/>
      <c r="G26" s="489">
        <f t="shared" si="0"/>
        <v>0</v>
      </c>
      <c r="H26" s="518"/>
      <c r="I26" s="489">
        <f>+'FA Continuity 2010'!L26</f>
        <v>0</v>
      </c>
      <c r="J26" s="489">
        <f>'FA Continuity 2010'!J26+(E26/30/2)</f>
        <v>0</v>
      </c>
      <c r="K26" s="489"/>
      <c r="L26" s="489">
        <f t="shared" si="1"/>
        <v>0</v>
      </c>
      <c r="M26" s="489">
        <f t="shared" si="2"/>
        <v>0</v>
      </c>
      <c r="N26" s="237"/>
    </row>
    <row r="27" spans="1:14" ht="12.75">
      <c r="A27" s="241" t="s">
        <v>470</v>
      </c>
      <c r="B27" s="484">
        <v>1906</v>
      </c>
      <c r="C27" s="485" t="s">
        <v>514</v>
      </c>
      <c r="D27" s="486">
        <f>+'FA Continuity 2010'!G27</f>
        <v>0</v>
      </c>
      <c r="E27" s="490"/>
      <c r="F27" s="489"/>
      <c r="G27" s="489">
        <f t="shared" si="0"/>
        <v>0</v>
      </c>
      <c r="H27" s="518"/>
      <c r="I27" s="489">
        <f>+'FA Continuity 2010'!L27</f>
        <v>0</v>
      </c>
      <c r="J27" s="489">
        <f>'FA Continuity 2010'!J27+(E27/30/2)</f>
        <v>0</v>
      </c>
      <c r="K27" s="489"/>
      <c r="L27" s="489">
        <f t="shared" si="1"/>
        <v>0</v>
      </c>
      <c r="M27" s="489">
        <f t="shared" si="2"/>
        <v>0</v>
      </c>
      <c r="N27" s="237"/>
    </row>
    <row r="28" spans="1:14" ht="12.75">
      <c r="A28" s="241">
        <v>47</v>
      </c>
      <c r="B28" s="484">
        <v>1908</v>
      </c>
      <c r="C28" s="485" t="s">
        <v>607</v>
      </c>
      <c r="D28" s="486">
        <f>+'FA Continuity 2010'!G28</f>
        <v>0</v>
      </c>
      <c r="E28" s="490"/>
      <c r="F28" s="489"/>
      <c r="G28" s="489">
        <f t="shared" si="0"/>
        <v>0</v>
      </c>
      <c r="H28" s="518"/>
      <c r="I28" s="489">
        <f>+'FA Continuity 2010'!L28</f>
        <v>0</v>
      </c>
      <c r="J28" s="489">
        <f>'FA Continuity 2010'!J28+(E28/30/2)</f>
        <v>0</v>
      </c>
      <c r="K28" s="489"/>
      <c r="L28" s="489">
        <f t="shared" si="1"/>
        <v>0</v>
      </c>
      <c r="M28" s="489">
        <f t="shared" si="2"/>
        <v>0</v>
      </c>
      <c r="N28" s="237"/>
    </row>
    <row r="29" spans="1:14" ht="12.75">
      <c r="A29" s="241">
        <v>13</v>
      </c>
      <c r="B29" s="484">
        <v>1910</v>
      </c>
      <c r="C29" s="485" t="s">
        <v>511</v>
      </c>
      <c r="D29" s="486">
        <f>+'FA Continuity 2010'!G29</f>
        <v>8796.45</v>
      </c>
      <c r="E29" s="490"/>
      <c r="F29" s="489"/>
      <c r="G29" s="489">
        <f t="shared" si="0"/>
        <v>8796.45</v>
      </c>
      <c r="H29" s="518"/>
      <c r="I29" s="489">
        <f>+'FA Continuity 2010'!L29</f>
        <v>2199.12</v>
      </c>
      <c r="J29" s="489">
        <f>D29/10</f>
        <v>879.6450000000001</v>
      </c>
      <c r="K29" s="489"/>
      <c r="L29" s="489">
        <f t="shared" si="1"/>
        <v>3078.765</v>
      </c>
      <c r="M29" s="489">
        <f t="shared" si="2"/>
        <v>5717.685000000001</v>
      </c>
      <c r="N29" s="237"/>
    </row>
    <row r="30" spans="1:15" ht="12.75">
      <c r="A30" s="241">
        <v>8</v>
      </c>
      <c r="B30" s="484">
        <v>1915</v>
      </c>
      <c r="C30" s="485" t="s">
        <v>615</v>
      </c>
      <c r="D30" s="486">
        <f>+'FA Continuity 2010'!G30</f>
        <v>0</v>
      </c>
      <c r="E30" s="487"/>
      <c r="F30" s="489"/>
      <c r="G30" s="489">
        <f t="shared" si="0"/>
        <v>0</v>
      </c>
      <c r="H30" s="518"/>
      <c r="I30" s="489">
        <f>+'FA Continuity 2010'!L30</f>
        <v>0</v>
      </c>
      <c r="J30" s="489">
        <f>'FA Continuity 2010'!J30+(E30/30/2)</f>
        <v>0</v>
      </c>
      <c r="K30" s="489"/>
      <c r="L30" s="489">
        <f t="shared" si="1"/>
        <v>0</v>
      </c>
      <c r="M30" s="489">
        <f t="shared" si="2"/>
        <v>0</v>
      </c>
      <c r="N30" s="237"/>
      <c r="O30">
        <f>+((D30-I30)+(E30/2))/10</f>
        <v>0</v>
      </c>
    </row>
    <row r="31" spans="1:15" ht="12.75">
      <c r="A31" s="241">
        <v>10</v>
      </c>
      <c r="B31" s="484">
        <v>1920</v>
      </c>
      <c r="C31" s="485" t="s">
        <v>616</v>
      </c>
      <c r="D31" s="486">
        <f>+'FA Continuity 2010'!G31</f>
        <v>153687.65999999997</v>
      </c>
      <c r="E31" s="490">
        <v>10000</v>
      </c>
      <c r="F31" s="489"/>
      <c r="G31" s="489">
        <f t="shared" si="0"/>
        <v>163687.65999999997</v>
      </c>
      <c r="H31" s="518"/>
      <c r="I31" s="489">
        <f>+'FA Continuity 2010'!L31</f>
        <v>112503.95</v>
      </c>
      <c r="J31" s="489">
        <f>(D31-'[5]1920'!$G$10)/5+E31/5/2</f>
        <v>14632.677999999994</v>
      </c>
      <c r="K31" s="489"/>
      <c r="L31" s="489">
        <f t="shared" si="1"/>
        <v>127136.628</v>
      </c>
      <c r="M31" s="489">
        <f t="shared" si="2"/>
        <v>36551.03199999998</v>
      </c>
      <c r="N31" s="237"/>
      <c r="O31">
        <f>+((D31-I31)+(E31/2))/5</f>
        <v>9236.741999999995</v>
      </c>
    </row>
    <row r="32" spans="1:15" ht="12.75">
      <c r="A32" s="241">
        <v>12</v>
      </c>
      <c r="B32" s="484">
        <v>1925</v>
      </c>
      <c r="C32" s="485" t="s">
        <v>505</v>
      </c>
      <c r="D32" s="486">
        <f>+'FA Continuity 2010'!G32</f>
        <v>154826.66</v>
      </c>
      <c r="E32" s="487">
        <v>10000</v>
      </c>
      <c r="F32" s="489"/>
      <c r="G32" s="489">
        <f t="shared" si="0"/>
        <v>164826.66</v>
      </c>
      <c r="H32" s="518"/>
      <c r="I32" s="489">
        <f>+'FA Continuity 2010'!L32</f>
        <v>62594.03999999999</v>
      </c>
      <c r="J32" s="489">
        <f>(D32-'[5]1925'!$F$10)/5+E32/5/2</f>
        <v>29656.052000000003</v>
      </c>
      <c r="K32" s="489"/>
      <c r="L32" s="489">
        <f t="shared" si="1"/>
        <v>92250.092</v>
      </c>
      <c r="M32" s="489">
        <f t="shared" si="2"/>
        <v>72576.568</v>
      </c>
      <c r="N32" s="237"/>
      <c r="O32">
        <f>+((D32-I32)+(E32/2))/5</f>
        <v>19446.524</v>
      </c>
    </row>
    <row r="33" spans="1:15" ht="12.75">
      <c r="A33" s="241">
        <v>10</v>
      </c>
      <c r="B33" s="484">
        <v>1930</v>
      </c>
      <c r="C33" s="485" t="s">
        <v>515</v>
      </c>
      <c r="D33" s="486">
        <f>+'FA Continuity 2010'!G33</f>
        <v>327095.37999999995</v>
      </c>
      <c r="E33" s="490">
        <v>300000</v>
      </c>
      <c r="F33" s="489"/>
      <c r="G33" s="489">
        <f t="shared" si="0"/>
        <v>627095.3799999999</v>
      </c>
      <c r="H33" s="518"/>
      <c r="I33" s="489">
        <f>+'FA Continuity 2010'!L33</f>
        <v>66482.73000000001</v>
      </c>
      <c r="J33" s="489">
        <f>-'[5]TruckDist'!$G$21</f>
        <v>63936.799999999996</v>
      </c>
      <c r="K33" s="489"/>
      <c r="L33" s="489">
        <f t="shared" si="1"/>
        <v>130419.53</v>
      </c>
      <c r="M33" s="489">
        <f t="shared" si="2"/>
        <v>496675.84999999986</v>
      </c>
      <c r="N33" s="237"/>
      <c r="O33">
        <f>+((D33-I33)+(E33/2))/8</f>
        <v>51326.58124999999</v>
      </c>
    </row>
    <row r="34" spans="1:14" ht="12.75">
      <c r="A34" s="241">
        <v>8</v>
      </c>
      <c r="B34" s="484">
        <v>1935</v>
      </c>
      <c r="C34" s="485" t="s">
        <v>516</v>
      </c>
      <c r="D34" s="486">
        <f>+'FA Continuity 2010'!G34</f>
        <v>0</v>
      </c>
      <c r="E34" s="490"/>
      <c r="F34" s="489"/>
      <c r="G34" s="489">
        <f t="shared" si="0"/>
        <v>0</v>
      </c>
      <c r="H34" s="518"/>
      <c r="I34" s="489">
        <f>+'FA Continuity 2010'!L34</f>
        <v>0</v>
      </c>
      <c r="J34" s="489">
        <f>'FA Continuity 2010'!J34+(E34/30/2)</f>
        <v>0</v>
      </c>
      <c r="K34" s="489"/>
      <c r="L34" s="489">
        <f t="shared" si="1"/>
        <v>0</v>
      </c>
      <c r="M34" s="489">
        <f t="shared" si="2"/>
        <v>0</v>
      </c>
      <c r="N34" s="237"/>
    </row>
    <row r="35" spans="1:15" ht="12.75">
      <c r="A35" s="241">
        <v>8</v>
      </c>
      <c r="B35" s="484">
        <v>1940</v>
      </c>
      <c r="C35" s="485" t="s">
        <v>617</v>
      </c>
      <c r="D35" s="486">
        <f>+'FA Continuity 2010'!G35</f>
        <v>132983.96</v>
      </c>
      <c r="E35" s="490">
        <v>5000</v>
      </c>
      <c r="F35" s="489"/>
      <c r="G35" s="489">
        <f t="shared" si="0"/>
        <v>137983.96</v>
      </c>
      <c r="H35" s="518"/>
      <c r="I35" s="489">
        <f>+'FA Continuity 2010'!L35</f>
        <v>97597.48</v>
      </c>
      <c r="J35" s="489">
        <f>D35/10+E35/10/2</f>
        <v>13548.395999999999</v>
      </c>
      <c r="K35" s="489"/>
      <c r="L35" s="489">
        <f t="shared" si="1"/>
        <v>111145.87599999999</v>
      </c>
      <c r="M35" s="489">
        <f t="shared" si="2"/>
        <v>26838.084000000003</v>
      </c>
      <c r="N35" s="237"/>
      <c r="O35">
        <f>+((D35-I35)+(E35/2))/10</f>
        <v>3788.6479999999997</v>
      </c>
    </row>
    <row r="36" spans="1:15" ht="12.75">
      <c r="A36" s="241">
        <v>8</v>
      </c>
      <c r="B36" s="484">
        <v>1945</v>
      </c>
      <c r="C36" s="485" t="s">
        <v>618</v>
      </c>
      <c r="D36" s="486">
        <f>+'FA Continuity 2010'!G36</f>
        <v>0</v>
      </c>
      <c r="E36" s="490"/>
      <c r="F36" s="489"/>
      <c r="G36" s="489">
        <f t="shared" si="0"/>
        <v>0</v>
      </c>
      <c r="H36" s="518"/>
      <c r="I36" s="489">
        <f>+'FA Continuity 2010'!L36</f>
        <v>0</v>
      </c>
      <c r="J36" s="489">
        <f>'FA Continuity 2010'!J36+(E36/30/2)</f>
        <v>0</v>
      </c>
      <c r="K36" s="489"/>
      <c r="L36" s="489">
        <f t="shared" si="1"/>
        <v>0</v>
      </c>
      <c r="M36" s="489">
        <f t="shared" si="2"/>
        <v>0</v>
      </c>
      <c r="N36" s="237"/>
      <c r="O36">
        <f>+((D36-I36)+(E36/2))/10</f>
        <v>0</v>
      </c>
    </row>
    <row r="37" spans="1:14" ht="12.75">
      <c r="A37" s="241">
        <v>8</v>
      </c>
      <c r="B37" s="484">
        <v>1950</v>
      </c>
      <c r="C37" s="485" t="s">
        <v>619</v>
      </c>
      <c r="D37" s="486">
        <f>+'FA Continuity 2010'!G37</f>
        <v>0</v>
      </c>
      <c r="E37" s="490"/>
      <c r="F37" s="489"/>
      <c r="G37" s="489">
        <f t="shared" si="0"/>
        <v>0</v>
      </c>
      <c r="H37" s="518"/>
      <c r="I37" s="489">
        <f>+'FA Continuity 2010'!L37</f>
        <v>0</v>
      </c>
      <c r="J37" s="489">
        <f>'FA Continuity 2010'!J37+(E37/30/2)</f>
        <v>0</v>
      </c>
      <c r="K37" s="489"/>
      <c r="L37" s="489">
        <f t="shared" si="1"/>
        <v>0</v>
      </c>
      <c r="M37" s="489">
        <f t="shared" si="2"/>
        <v>0</v>
      </c>
      <c r="N37" s="237"/>
    </row>
    <row r="38" spans="1:14" ht="12.75">
      <c r="A38" s="241">
        <v>8</v>
      </c>
      <c r="B38" s="484">
        <v>1955</v>
      </c>
      <c r="C38" s="485" t="s">
        <v>620</v>
      </c>
      <c r="D38" s="486">
        <f>+'FA Continuity 2010'!G38</f>
        <v>0</v>
      </c>
      <c r="E38" s="490"/>
      <c r="F38" s="489"/>
      <c r="G38" s="489">
        <f t="shared" si="0"/>
        <v>0</v>
      </c>
      <c r="H38" s="518"/>
      <c r="I38" s="489">
        <f>+'FA Continuity 2010'!L38</f>
        <v>0</v>
      </c>
      <c r="J38" s="489">
        <f>'FA Continuity 2010'!J38+(E38/30/2)</f>
        <v>0</v>
      </c>
      <c r="K38" s="489"/>
      <c r="L38" s="489">
        <f t="shared" si="1"/>
        <v>0</v>
      </c>
      <c r="M38" s="489">
        <f t="shared" si="2"/>
        <v>0</v>
      </c>
      <c r="N38" s="237"/>
    </row>
    <row r="39" spans="1:14" ht="12.75">
      <c r="A39" s="241">
        <v>8</v>
      </c>
      <c r="B39" s="484">
        <v>1960</v>
      </c>
      <c r="C39" s="485" t="s">
        <v>517</v>
      </c>
      <c r="D39" s="486">
        <f>+'FA Continuity 2010'!G39</f>
        <v>0</v>
      </c>
      <c r="E39" s="490"/>
      <c r="F39" s="489"/>
      <c r="G39" s="489">
        <f t="shared" si="0"/>
        <v>0</v>
      </c>
      <c r="H39" s="518"/>
      <c r="I39" s="489">
        <f>+'FA Continuity 2010'!L39</f>
        <v>0</v>
      </c>
      <c r="J39" s="489">
        <f>'FA Continuity 2010'!J39+(E39/30/2)</f>
        <v>0</v>
      </c>
      <c r="K39" s="489"/>
      <c r="L39" s="489">
        <f t="shared" si="1"/>
        <v>0</v>
      </c>
      <c r="M39" s="489">
        <f t="shared" si="2"/>
        <v>0</v>
      </c>
      <c r="N39" s="237"/>
    </row>
    <row r="40" spans="1:14" ht="12.75">
      <c r="A40" s="241">
        <v>47</v>
      </c>
      <c r="B40" s="484">
        <v>1970</v>
      </c>
      <c r="C40" s="485" t="s">
        <v>621</v>
      </c>
      <c r="D40" s="486">
        <f>+'FA Continuity 2010'!G40</f>
        <v>0</v>
      </c>
      <c r="E40" s="490"/>
      <c r="F40" s="489"/>
      <c r="G40" s="489">
        <f t="shared" si="0"/>
        <v>0</v>
      </c>
      <c r="H40" s="518"/>
      <c r="I40" s="489">
        <f>+'FA Continuity 2010'!L40</f>
        <v>0</v>
      </c>
      <c r="J40" s="489">
        <f>'FA Continuity 2010'!J40+(E40/30/2)</f>
        <v>0</v>
      </c>
      <c r="K40" s="489"/>
      <c r="L40" s="489">
        <f t="shared" si="1"/>
        <v>0</v>
      </c>
      <c r="M40" s="489">
        <f t="shared" si="2"/>
        <v>0</v>
      </c>
      <c r="N40" s="237"/>
    </row>
    <row r="41" spans="1:14" ht="12.75">
      <c r="A41" s="241">
        <v>47</v>
      </c>
      <c r="B41" s="484">
        <v>1975</v>
      </c>
      <c r="C41" s="485" t="s">
        <v>622</v>
      </c>
      <c r="D41" s="486">
        <f>+'FA Continuity 2010'!G41</f>
        <v>0</v>
      </c>
      <c r="E41" s="490"/>
      <c r="F41" s="489"/>
      <c r="G41" s="489">
        <f t="shared" si="0"/>
        <v>0</v>
      </c>
      <c r="H41" s="518"/>
      <c r="I41" s="489">
        <f>+'FA Continuity 2010'!L41</f>
        <v>0</v>
      </c>
      <c r="J41" s="489">
        <f>'FA Continuity 2010'!J41+(E41/30/2)</f>
        <v>0</v>
      </c>
      <c r="K41" s="489"/>
      <c r="L41" s="489">
        <f t="shared" si="1"/>
        <v>0</v>
      </c>
      <c r="M41" s="489">
        <f t="shared" si="2"/>
        <v>0</v>
      </c>
      <c r="N41" s="237"/>
    </row>
    <row r="42" spans="1:14" ht="12.75">
      <c r="A42" s="241">
        <v>47</v>
      </c>
      <c r="B42" s="484">
        <v>1980</v>
      </c>
      <c r="C42" s="485" t="s">
        <v>518</v>
      </c>
      <c r="D42" s="486">
        <f>+'FA Continuity 2010'!G42</f>
        <v>0</v>
      </c>
      <c r="E42" s="490"/>
      <c r="F42" s="489"/>
      <c r="G42" s="489">
        <f t="shared" si="0"/>
        <v>0</v>
      </c>
      <c r="H42" s="518"/>
      <c r="I42" s="489">
        <f>+'FA Continuity 2010'!L42</f>
        <v>0</v>
      </c>
      <c r="J42" s="489">
        <f>'FA Continuity 2010'!J42+(E42/30/2)</f>
        <v>0</v>
      </c>
      <c r="K42" s="489"/>
      <c r="L42" s="489">
        <f t="shared" si="1"/>
        <v>0</v>
      </c>
      <c r="M42" s="489">
        <f t="shared" si="2"/>
        <v>0</v>
      </c>
      <c r="N42" s="237"/>
    </row>
    <row r="43" spans="1:14" ht="12.75">
      <c r="A43" s="241">
        <v>47</v>
      </c>
      <c r="B43" s="484">
        <v>1985</v>
      </c>
      <c r="C43" s="485" t="s">
        <v>623</v>
      </c>
      <c r="D43" s="486">
        <f>+'FA Continuity 2010'!G43</f>
        <v>0</v>
      </c>
      <c r="E43" s="490"/>
      <c r="F43" s="489"/>
      <c r="G43" s="489">
        <f t="shared" si="0"/>
        <v>0</v>
      </c>
      <c r="H43" s="518"/>
      <c r="I43" s="489">
        <f>+'FA Continuity 2010'!L43</f>
        <v>0</v>
      </c>
      <c r="J43" s="489">
        <f>'FA Continuity 2010'!J43+(E43/30/2)</f>
        <v>0</v>
      </c>
      <c r="K43" s="489"/>
      <c r="L43" s="489">
        <f t="shared" si="1"/>
        <v>0</v>
      </c>
      <c r="M43" s="489">
        <f t="shared" si="2"/>
        <v>0</v>
      </c>
      <c r="N43" s="237"/>
    </row>
    <row r="44" spans="1:14" ht="12.75">
      <c r="A44" s="241">
        <v>47</v>
      </c>
      <c r="B44" s="484">
        <v>1990</v>
      </c>
      <c r="C44" s="485" t="s">
        <v>624</v>
      </c>
      <c r="D44" s="486">
        <f>+'FA Continuity 2010'!G44</f>
        <v>0</v>
      </c>
      <c r="E44" s="490"/>
      <c r="F44" s="489"/>
      <c r="G44" s="489">
        <f t="shared" si="0"/>
        <v>0</v>
      </c>
      <c r="H44" s="518"/>
      <c r="I44" s="489">
        <f>+'FA Continuity 2010'!L44</f>
        <v>0</v>
      </c>
      <c r="J44" s="489">
        <f>'FA Continuity 2010'!J44+(E44/30/2)</f>
        <v>0</v>
      </c>
      <c r="K44" s="489"/>
      <c r="L44" s="489">
        <f t="shared" si="1"/>
        <v>0</v>
      </c>
      <c r="M44" s="489">
        <f t="shared" si="2"/>
        <v>0</v>
      </c>
      <c r="N44" s="237"/>
    </row>
    <row r="45" spans="1:14" ht="12.75">
      <c r="A45" s="241">
        <v>47</v>
      </c>
      <c r="B45" s="484">
        <v>1995</v>
      </c>
      <c r="C45" s="485" t="s">
        <v>625</v>
      </c>
      <c r="D45" s="486">
        <f>+'FA Continuity 2010'!G45</f>
        <v>-360987.58999999997</v>
      </c>
      <c r="E45" s="491"/>
      <c r="F45" s="489"/>
      <c r="G45" s="489">
        <f t="shared" si="0"/>
        <v>-360987.58999999997</v>
      </c>
      <c r="H45" s="518"/>
      <c r="I45" s="489">
        <f>+'FA Continuity 2010'!L45</f>
        <v>-79990.99</v>
      </c>
      <c r="J45" s="489">
        <f>D45/45+E45/45/2</f>
        <v>-8021.946444444444</v>
      </c>
      <c r="K45" s="489"/>
      <c r="L45" s="489">
        <f t="shared" si="1"/>
        <v>-88012.93644444445</v>
      </c>
      <c r="M45" s="489">
        <f t="shared" si="2"/>
        <v>-272974.6535555555</v>
      </c>
      <c r="N45" s="237"/>
    </row>
    <row r="46" spans="1:14" ht="12.75">
      <c r="A46" s="241"/>
      <c r="B46" s="484">
        <v>2005</v>
      </c>
      <c r="C46" s="484" t="s">
        <v>801</v>
      </c>
      <c r="D46" s="486">
        <f>+'FA Continuity 2010'!G46</f>
        <v>0</v>
      </c>
      <c r="E46" s="489"/>
      <c r="F46" s="489"/>
      <c r="G46" s="489">
        <f t="shared" si="0"/>
        <v>0</v>
      </c>
      <c r="H46" s="518"/>
      <c r="I46" s="489">
        <f>+'FA Continuity 2010'!L46</f>
        <v>0</v>
      </c>
      <c r="J46" s="489"/>
      <c r="K46" s="489"/>
      <c r="L46" s="489">
        <f t="shared" si="1"/>
        <v>0</v>
      </c>
      <c r="M46" s="489">
        <f t="shared" si="2"/>
        <v>0</v>
      </c>
      <c r="N46" s="237"/>
    </row>
    <row r="47" spans="1:14" ht="12.75">
      <c r="A47" s="241"/>
      <c r="B47" s="492"/>
      <c r="C47" s="493" t="s">
        <v>217</v>
      </c>
      <c r="D47" s="494">
        <f>SUM(D10:D46)</f>
        <v>7170976.62</v>
      </c>
      <c r="E47" s="494">
        <f>SUM(E10:E46)</f>
        <v>716310.73</v>
      </c>
      <c r="F47" s="494">
        <f>SUM(F10:F46)</f>
        <v>295771.51000000007</v>
      </c>
      <c r="G47" s="494">
        <f>SUM(G10:G46)</f>
        <v>7591515.840000001</v>
      </c>
      <c r="H47" s="518"/>
      <c r="I47" s="494">
        <f>SUM(I10:I46)</f>
        <v>2023384.4043333333</v>
      </c>
      <c r="J47" s="494">
        <f>SUM(J10:J46)</f>
        <v>334223.37026666664</v>
      </c>
      <c r="K47" s="494">
        <f>SUM(K10:K46)</f>
        <v>115329.94165988622</v>
      </c>
      <c r="L47" s="494">
        <f>SUM(L10:L46)</f>
        <v>2242277.8329401133</v>
      </c>
      <c r="M47" s="494">
        <f>SUM(M10:M46)</f>
        <v>5349238.007059885</v>
      </c>
      <c r="N47" s="237"/>
    </row>
    <row r="48" spans="1:14" ht="12.75">
      <c r="A48" s="241"/>
      <c r="B48" s="492"/>
      <c r="C48" s="485"/>
      <c r="D48" s="489"/>
      <c r="E48" s="489"/>
      <c r="F48" s="489"/>
      <c r="G48" s="489"/>
      <c r="H48" s="518"/>
      <c r="I48" s="489"/>
      <c r="J48" s="489"/>
      <c r="K48" s="489"/>
      <c r="L48" s="489"/>
      <c r="M48" s="489"/>
      <c r="N48" s="237"/>
    </row>
    <row r="49" spans="1:14" ht="12.75">
      <c r="A49" s="241" t="s">
        <v>204</v>
      </c>
      <c r="B49" s="492"/>
      <c r="C49" s="485" t="s">
        <v>251</v>
      </c>
      <c r="D49" s="486">
        <f>+'FA Continuity 2010'!G49</f>
        <v>1.8189894035458565E-12</v>
      </c>
      <c r="E49" s="489"/>
      <c r="F49" s="489"/>
      <c r="G49" s="489">
        <f>D49+E49-F49</f>
        <v>1.8189894035458565E-12</v>
      </c>
      <c r="H49" s="518"/>
      <c r="I49" s="489">
        <v>0</v>
      </c>
      <c r="J49" s="489"/>
      <c r="K49" s="489"/>
      <c r="L49" s="489">
        <f>I49+J49-K49</f>
        <v>0</v>
      </c>
      <c r="M49" s="489">
        <f>G49-L49</f>
        <v>1.8189894035458565E-12</v>
      </c>
      <c r="N49" s="237"/>
    </row>
    <row r="50" spans="1:14" ht="12.75">
      <c r="A50" s="241"/>
      <c r="B50" s="492"/>
      <c r="C50" s="493" t="s">
        <v>218</v>
      </c>
      <c r="D50" s="494">
        <f>SUM(D47:D49)</f>
        <v>7170976.62</v>
      </c>
      <c r="E50" s="494">
        <f>SUM(E47:E49)</f>
        <v>716310.73</v>
      </c>
      <c r="F50" s="494">
        <f>SUM(F47:F49)</f>
        <v>295771.51000000007</v>
      </c>
      <c r="G50" s="494">
        <f>SUM(G47:G49)</f>
        <v>7591515.840000001</v>
      </c>
      <c r="H50" s="518"/>
      <c r="I50" s="494">
        <f>SUM(I47:I49)</f>
        <v>2023384.4043333333</v>
      </c>
      <c r="J50" s="494">
        <f>SUM(J47:J49)</f>
        <v>334223.37026666664</v>
      </c>
      <c r="K50" s="494">
        <f>SUM(K47:K49)</f>
        <v>115329.94165988622</v>
      </c>
      <c r="L50" s="494">
        <f>SUM(L47:L49)</f>
        <v>2242277.8329401133</v>
      </c>
      <c r="M50" s="494">
        <f>SUM(M47:M49)</f>
        <v>5349238.007059885</v>
      </c>
      <c r="N50" s="237"/>
    </row>
    <row r="51" spans="1:13" ht="12.75">
      <c r="A51" s="240"/>
      <c r="B51" s="477"/>
      <c r="C51" s="495"/>
      <c r="D51" s="440"/>
      <c r="E51" s="440"/>
      <c r="F51" s="440"/>
      <c r="G51" s="440"/>
      <c r="H51" s="401"/>
      <c r="I51" s="401"/>
      <c r="J51" s="401"/>
      <c r="K51" s="401"/>
      <c r="L51" s="401"/>
      <c r="M51" s="401"/>
    </row>
    <row r="52" spans="1:14" ht="12.75">
      <c r="A52" s="477"/>
      <c r="B52" s="477"/>
      <c r="C52" s="495"/>
      <c r="D52" s="440"/>
      <c r="E52" s="440"/>
      <c r="F52" s="440"/>
      <c r="G52" s="440"/>
      <c r="H52" s="516" t="s">
        <v>252</v>
      </c>
      <c r="I52" s="516"/>
      <c r="J52" s="516"/>
      <c r="K52" s="401"/>
      <c r="L52" s="401"/>
      <c r="M52" s="401"/>
      <c r="N52" s="237"/>
    </row>
    <row r="53" spans="1:14" ht="12.75">
      <c r="A53" s="484"/>
      <c r="B53" s="484">
        <f>B32</f>
        <v>1925</v>
      </c>
      <c r="C53" s="485" t="s">
        <v>253</v>
      </c>
      <c r="D53" s="440"/>
      <c r="E53" s="440"/>
      <c r="F53" s="440"/>
      <c r="G53" s="440"/>
      <c r="H53" s="523" t="s">
        <v>253</v>
      </c>
      <c r="I53" s="523"/>
      <c r="J53" s="498"/>
      <c r="K53" s="401"/>
      <c r="L53" s="401"/>
      <c r="M53" s="401"/>
      <c r="N53" s="395"/>
    </row>
    <row r="54" spans="1:14" ht="12.75">
      <c r="A54" s="484"/>
      <c r="B54" s="484">
        <f>B33</f>
        <v>1930</v>
      </c>
      <c r="C54" s="485" t="s">
        <v>516</v>
      </c>
      <c r="D54" s="440"/>
      <c r="E54" s="440"/>
      <c r="F54" s="440"/>
      <c r="G54" s="440"/>
      <c r="H54" s="523" t="s">
        <v>777</v>
      </c>
      <c r="I54" s="523"/>
      <c r="J54" s="498"/>
      <c r="K54" s="401"/>
      <c r="L54" s="401"/>
      <c r="M54" s="401"/>
      <c r="N54" s="395"/>
    </row>
    <row r="55" spans="1:14" ht="13.5" thickBot="1">
      <c r="A55" s="477"/>
      <c r="B55" s="477"/>
      <c r="C55" s="495"/>
      <c r="D55" s="440"/>
      <c r="E55" s="440"/>
      <c r="F55" s="440"/>
      <c r="G55" s="440"/>
      <c r="H55" s="523" t="s">
        <v>254</v>
      </c>
      <c r="I55" s="523"/>
      <c r="J55" s="499">
        <f>J50-J53-J54</f>
        <v>334223.37026666664</v>
      </c>
      <c r="K55" s="401"/>
      <c r="L55" s="18"/>
      <c r="M55" s="401"/>
      <c r="N55" s="250"/>
    </row>
    <row r="56" spans="1:14" ht="13.5" thickTop="1">
      <c r="A56" s="215"/>
      <c r="D56" s="321"/>
      <c r="E56" s="321"/>
      <c r="F56" s="321"/>
      <c r="G56" s="321"/>
      <c r="H56" s="321"/>
      <c r="I56" s="321"/>
      <c r="J56" s="472"/>
      <c r="K56" s="322"/>
      <c r="L56"/>
      <c r="M56" s="322"/>
      <c r="N56" s="250"/>
    </row>
    <row r="57" spans="1:14" ht="12.75">
      <c r="A57" s="446" t="s">
        <v>900</v>
      </c>
      <c r="B57" s="471" t="s">
        <v>901</v>
      </c>
      <c r="D57" s="447"/>
      <c r="E57" s="447"/>
      <c r="F57" s="447"/>
      <c r="G57" s="447"/>
      <c r="H57" s="448"/>
      <c r="I57" s="448"/>
      <c r="J57" s="448"/>
      <c r="K57" s="448"/>
      <c r="L57" s="448"/>
      <c r="M57" s="322"/>
      <c r="N57" s="250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 s="212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 s="212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 s="212"/>
    </row>
    <row r="61" spans="4:13" ht="12.75">
      <c r="D61" s="216"/>
      <c r="E61" s="216"/>
      <c r="F61" s="216"/>
      <c r="G61" s="216"/>
      <c r="H61" s="212"/>
      <c r="I61" s="212"/>
      <c r="J61" s="212"/>
      <c r="K61" s="212"/>
      <c r="L61" s="212"/>
      <c r="M61" s="212"/>
    </row>
    <row r="62" spans="4:13" ht="12.75">
      <c r="D62" s="216"/>
      <c r="E62" s="216"/>
      <c r="F62" s="216"/>
      <c r="G62" s="216"/>
      <c r="H62" s="212"/>
      <c r="I62" s="212"/>
      <c r="J62" s="212"/>
      <c r="K62" s="212"/>
      <c r="L62" s="212"/>
      <c r="M62" s="212"/>
    </row>
    <row r="63" spans="3:13" ht="12.75">
      <c r="C63" s="210"/>
      <c r="D63" s="211"/>
      <c r="E63" s="211"/>
      <c r="F63" s="211"/>
      <c r="G63" s="211"/>
      <c r="H63" s="212"/>
      <c r="I63" s="213"/>
      <c r="J63" s="213"/>
      <c r="K63" s="213"/>
      <c r="L63" s="213"/>
      <c r="M63" s="213"/>
    </row>
    <row r="64" spans="3:13" ht="12.75">
      <c r="C64" s="210"/>
      <c r="D64" s="211"/>
      <c r="E64" s="211"/>
      <c r="F64" s="211"/>
      <c r="G64" s="211"/>
      <c r="H64" s="212"/>
      <c r="I64" s="213"/>
      <c r="J64" s="213"/>
      <c r="K64" s="213"/>
      <c r="L64" s="213"/>
      <c r="M64" s="213"/>
    </row>
    <row r="65" spans="3:13" ht="12.75">
      <c r="C65" s="210"/>
      <c r="D65" s="211"/>
      <c r="E65" s="211"/>
      <c r="F65" s="211"/>
      <c r="G65" s="211"/>
      <c r="H65" s="212"/>
      <c r="I65" s="213"/>
      <c r="J65" s="213"/>
      <c r="K65" s="213"/>
      <c r="L65" s="213"/>
      <c r="M65" s="213"/>
    </row>
    <row r="66" spans="3:13" ht="12.75">
      <c r="C66" s="210"/>
      <c r="D66" s="211"/>
      <c r="E66" s="211"/>
      <c r="F66" s="211"/>
      <c r="G66" s="211"/>
      <c r="H66" s="212"/>
      <c r="I66" s="213"/>
      <c r="J66" s="213"/>
      <c r="K66" s="213"/>
      <c r="L66" s="213"/>
      <c r="M66" s="213"/>
    </row>
  </sheetData>
  <sheetProtection/>
  <mergeCells count="26">
    <mergeCell ref="H53:I53"/>
    <mergeCell ref="H54:I54"/>
    <mergeCell ref="H55:I55"/>
    <mergeCell ref="I8:I9"/>
    <mergeCell ref="J8:J9"/>
    <mergeCell ref="K8:K9"/>
    <mergeCell ref="L8:L9"/>
    <mergeCell ref="M8:M9"/>
    <mergeCell ref="H52:J52"/>
    <mergeCell ref="D7:G7"/>
    <mergeCell ref="I7:L7"/>
    <mergeCell ref="F8:F9"/>
    <mergeCell ref="G8:G9"/>
    <mergeCell ref="H8:H50"/>
    <mergeCell ref="A8:A9"/>
    <mergeCell ref="B8:B9"/>
    <mergeCell ref="C8:C9"/>
    <mergeCell ref="D8:D9"/>
    <mergeCell ref="E8:E9"/>
    <mergeCell ref="D6:G6"/>
    <mergeCell ref="I6:L6"/>
    <mergeCell ref="A1:M1"/>
    <mergeCell ref="A2:M2"/>
    <mergeCell ref="A3:C3"/>
    <mergeCell ref="A4:C4"/>
    <mergeCell ref="A5:C5"/>
  </mergeCells>
  <printOptions/>
  <pageMargins left="0.1968503937007874" right="0.03937007874015748" top="0.984251968503937" bottom="0.35433070866141736" header="0.5118110236220472" footer="0.11811023622047245"/>
  <pageSetup fitToHeight="1" fitToWidth="1" horizontalDpi="355" verticalDpi="355" orientation="landscape" scale="75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28">
      <selection activeCell="D24" sqref="D24"/>
    </sheetView>
  </sheetViews>
  <sheetFormatPr defaultColWidth="9.140625" defaultRowHeight="12.75"/>
  <cols>
    <col min="1" max="1" width="6.8515625" style="0" customWidth="1"/>
    <col min="2" max="2" width="6.57421875" style="0" customWidth="1"/>
    <col min="3" max="3" width="36.7109375" style="0" customWidth="1"/>
    <col min="4" max="4" width="9.140625" style="0" customWidth="1"/>
    <col min="6" max="6" width="8.00390625" style="0" customWidth="1"/>
    <col min="7" max="7" width="7.57421875" style="0" customWidth="1"/>
    <col min="9" max="9" width="7.421875" style="0" customWidth="1"/>
    <col min="10" max="10" width="6.8515625" style="0" customWidth="1"/>
  </cols>
  <sheetData>
    <row r="1" spans="1:15" ht="12.75">
      <c r="A1" s="519" t="str">
        <f>Notes!B4</f>
        <v>Rideau St. Lawrence Distribution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15" ht="12.75">
      <c r="A2" s="519" t="str">
        <f>'FA Continuity 2008'!A2:M2</f>
        <v> License Number ED-2003-0003, File Number EB-2011-0274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</row>
    <row r="3" spans="5:7" ht="12.75">
      <c r="E3" s="525"/>
      <c r="F3" s="525"/>
      <c r="G3" s="525"/>
    </row>
    <row r="4" spans="1:15" ht="12.75">
      <c r="A4" s="519" t="s">
        <v>886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</row>
    <row r="5" spans="1:15" ht="12.75">
      <c r="A5" s="20"/>
      <c r="B5" s="215"/>
      <c r="C5" s="214"/>
      <c r="D5" s="214"/>
      <c r="E5" s="515" t="s">
        <v>248</v>
      </c>
      <c r="F5" s="515"/>
      <c r="G5" s="515"/>
      <c r="H5" s="515"/>
      <c r="I5" s="438"/>
      <c r="J5" s="212"/>
      <c r="K5" s="515" t="s">
        <v>249</v>
      </c>
      <c r="L5" s="515"/>
      <c r="M5" s="515"/>
      <c r="N5" s="515"/>
      <c r="O5" s="213"/>
    </row>
    <row r="6" spans="1:15" ht="12.75">
      <c r="A6" s="240"/>
      <c r="B6" s="477"/>
      <c r="C6" s="478"/>
      <c r="D6" s="478"/>
      <c r="E6" s="524" t="s">
        <v>908</v>
      </c>
      <c r="F6" s="524"/>
      <c r="G6" s="524"/>
      <c r="H6" s="524"/>
      <c r="I6" s="439"/>
      <c r="J6" s="479"/>
      <c r="K6" s="524" t="s">
        <v>909</v>
      </c>
      <c r="L6" s="524"/>
      <c r="M6" s="524"/>
      <c r="N6" s="524"/>
      <c r="O6" s="480"/>
    </row>
    <row r="7" spans="1:15" ht="25.5">
      <c r="A7" s="521" t="s">
        <v>202</v>
      </c>
      <c r="B7" s="521" t="s">
        <v>482</v>
      </c>
      <c r="C7" s="521" t="s">
        <v>174</v>
      </c>
      <c r="D7" s="481" t="s">
        <v>894</v>
      </c>
      <c r="E7" s="513" t="s">
        <v>214</v>
      </c>
      <c r="F7" s="513" t="s">
        <v>312</v>
      </c>
      <c r="G7" s="513" t="s">
        <v>313</v>
      </c>
      <c r="H7" s="513" t="s">
        <v>215</v>
      </c>
      <c r="I7" s="470" t="s">
        <v>891</v>
      </c>
      <c r="J7" s="482" t="s">
        <v>892</v>
      </c>
      <c r="K7" s="513" t="s">
        <v>214</v>
      </c>
      <c r="L7" s="513" t="s">
        <v>312</v>
      </c>
      <c r="M7" s="513" t="s">
        <v>313</v>
      </c>
      <c r="N7" s="513" t="s">
        <v>215</v>
      </c>
      <c r="O7" s="513" t="s">
        <v>216</v>
      </c>
    </row>
    <row r="8" spans="1:15" ht="15">
      <c r="A8" s="522"/>
      <c r="B8" s="522"/>
      <c r="C8" s="522"/>
      <c r="D8" s="483" t="s">
        <v>902</v>
      </c>
      <c r="E8" s="514" t="s">
        <v>250</v>
      </c>
      <c r="F8" s="514" t="s">
        <v>312</v>
      </c>
      <c r="G8" s="514"/>
      <c r="H8" s="514"/>
      <c r="I8" s="469" t="s">
        <v>888</v>
      </c>
      <c r="J8" s="469" t="s">
        <v>889</v>
      </c>
      <c r="K8" s="514" t="s">
        <v>250</v>
      </c>
      <c r="L8" s="514" t="s">
        <v>312</v>
      </c>
      <c r="M8" s="514"/>
      <c r="N8" s="514"/>
      <c r="O8" s="514"/>
    </row>
    <row r="9" spans="1:15" ht="12.75">
      <c r="A9" s="241" t="s">
        <v>203</v>
      </c>
      <c r="B9" s="484">
        <v>1610</v>
      </c>
      <c r="C9" s="485" t="s">
        <v>848</v>
      </c>
      <c r="D9" s="485"/>
      <c r="E9" s="486">
        <f>+'FA Continuity MIFRS 2011'!G10</f>
        <v>0</v>
      </c>
      <c r="F9" s="487"/>
      <c r="G9" s="488"/>
      <c r="H9" s="489">
        <f>E9+F9-G9</f>
        <v>0</v>
      </c>
      <c r="I9" s="441"/>
      <c r="J9" s="442"/>
      <c r="K9" s="489">
        <f>+'FA Continuity MIFRS 2011'!L10</f>
        <v>0</v>
      </c>
      <c r="L9" s="490"/>
      <c r="M9" s="489"/>
      <c r="N9" s="489">
        <f>K9+L9-M9</f>
        <v>0</v>
      </c>
      <c r="O9" s="489">
        <f>H9-N9</f>
        <v>0</v>
      </c>
    </row>
    <row r="10" spans="1:15" ht="12.75">
      <c r="A10" s="241" t="s">
        <v>203</v>
      </c>
      <c r="B10" s="484">
        <v>1805</v>
      </c>
      <c r="C10" s="485" t="s">
        <v>513</v>
      </c>
      <c r="D10" s="485"/>
      <c r="E10" s="486">
        <f>+'FA Continuity MIFRS 2011'!G11</f>
        <v>84205.25</v>
      </c>
      <c r="F10" s="487"/>
      <c r="G10" s="488"/>
      <c r="H10" s="489">
        <f aca="true" t="shared" si="0" ref="H10:H45">E10+F10-G10</f>
        <v>84205.25</v>
      </c>
      <c r="I10" s="442" t="s">
        <v>890</v>
      </c>
      <c r="J10" s="442" t="s">
        <v>890</v>
      </c>
      <c r="K10" s="489">
        <f>+'FA Continuity MIFRS 2011'!L11</f>
        <v>0</v>
      </c>
      <c r="L10" s="490"/>
      <c r="M10" s="489"/>
      <c r="N10" s="489">
        <f aca="true" t="shared" si="1" ref="N10:N45">K10+L10-M10</f>
        <v>0</v>
      </c>
      <c r="O10" s="489">
        <f aca="true" t="shared" si="2" ref="O10:O45">H10-N10</f>
        <v>84205.25</v>
      </c>
    </row>
    <row r="11" spans="1:15" ht="12.75">
      <c r="A11" s="241" t="s">
        <v>470</v>
      </c>
      <c r="B11" s="484">
        <v>1806</v>
      </c>
      <c r="C11" s="485" t="s">
        <v>514</v>
      </c>
      <c r="D11" s="485"/>
      <c r="E11" s="486">
        <f>+'FA Continuity MIFRS 2011'!G12</f>
        <v>0</v>
      </c>
      <c r="F11" s="487"/>
      <c r="G11" s="488"/>
      <c r="H11" s="489">
        <f t="shared" si="0"/>
        <v>0</v>
      </c>
      <c r="I11" s="442"/>
      <c r="J11" s="442"/>
      <c r="K11" s="489">
        <f>+'FA Continuity MIFRS 2011'!L12</f>
        <v>0</v>
      </c>
      <c r="L11" s="490"/>
      <c r="M11" s="489"/>
      <c r="N11" s="489">
        <f t="shared" si="1"/>
        <v>0</v>
      </c>
      <c r="O11" s="489">
        <f t="shared" si="2"/>
        <v>0</v>
      </c>
    </row>
    <row r="12" spans="1:15" ht="12.75">
      <c r="A12" s="241">
        <v>47</v>
      </c>
      <c r="B12" s="484">
        <v>1808</v>
      </c>
      <c r="C12" s="485" t="s">
        <v>607</v>
      </c>
      <c r="D12" s="485"/>
      <c r="E12" s="486">
        <f>+'FA Continuity MIFRS 2011'!G13</f>
        <v>82287.41</v>
      </c>
      <c r="F12" s="487">
        <f>20000-12310</f>
        <v>7690</v>
      </c>
      <c r="G12" s="488"/>
      <c r="H12" s="489">
        <f t="shared" si="0"/>
        <v>89977.41</v>
      </c>
      <c r="I12" s="443">
        <v>50</v>
      </c>
      <c r="J12" s="443">
        <v>50</v>
      </c>
      <c r="K12" s="489">
        <f>+'FA Continuity MIFRS 2011'!L13</f>
        <v>8293.768199999999</v>
      </c>
      <c r="L12" s="490">
        <f>ROUND((D12+E12)*1/J12+F12*1/J12/2,0)</f>
        <v>1723</v>
      </c>
      <c r="M12" s="489"/>
      <c r="N12" s="489">
        <f t="shared" si="1"/>
        <v>10016.768199999999</v>
      </c>
      <c r="O12" s="489">
        <f t="shared" si="2"/>
        <v>79960.64180000001</v>
      </c>
    </row>
    <row r="13" spans="1:15" ht="12.75">
      <c r="A13" s="241">
        <v>13</v>
      </c>
      <c r="B13" s="484">
        <v>1810</v>
      </c>
      <c r="C13" s="485" t="s">
        <v>511</v>
      </c>
      <c r="D13" s="485"/>
      <c r="E13" s="486">
        <f>+'FA Continuity MIFRS 2011'!G14</f>
        <v>0</v>
      </c>
      <c r="F13" s="487"/>
      <c r="G13" s="488"/>
      <c r="H13" s="489">
        <f t="shared" si="0"/>
        <v>0</v>
      </c>
      <c r="I13" s="443"/>
      <c r="J13" s="443"/>
      <c r="K13" s="489">
        <f>+'FA Continuity MIFRS 2011'!L14</f>
        <v>0</v>
      </c>
      <c r="L13" s="490">
        <v>0</v>
      </c>
      <c r="M13" s="489"/>
      <c r="N13" s="489">
        <f t="shared" si="1"/>
        <v>0</v>
      </c>
      <c r="O13" s="489">
        <f t="shared" si="2"/>
        <v>0</v>
      </c>
    </row>
    <row r="14" spans="1:15" ht="12.75">
      <c r="A14" s="241">
        <v>47</v>
      </c>
      <c r="B14" s="484">
        <v>1820</v>
      </c>
      <c r="C14" s="485" t="s">
        <v>887</v>
      </c>
      <c r="D14" s="485"/>
      <c r="E14" s="486">
        <v>326991.85000000003</v>
      </c>
      <c r="F14" s="487">
        <v>15000</v>
      </c>
      <c r="G14" s="488"/>
      <c r="H14" s="489">
        <f t="shared" si="0"/>
        <v>341991.85000000003</v>
      </c>
      <c r="I14" s="443">
        <v>25</v>
      </c>
      <c r="J14" s="443">
        <v>25</v>
      </c>
      <c r="K14" s="489">
        <f>64898.64</f>
        <v>64898.64</v>
      </c>
      <c r="L14" s="490">
        <f aca="true" t="shared" si="3" ref="L14:L23">ROUND((D14+E14)*1/J14+F14*1/J14/2,0)</f>
        <v>13380</v>
      </c>
      <c r="M14" s="489"/>
      <c r="N14" s="489">
        <f t="shared" si="1"/>
        <v>78278.64</v>
      </c>
      <c r="O14" s="489">
        <f t="shared" si="2"/>
        <v>263713.21</v>
      </c>
    </row>
    <row r="15" spans="1:15" ht="12.75">
      <c r="A15" s="241">
        <v>47</v>
      </c>
      <c r="B15" s="484">
        <v>1820</v>
      </c>
      <c r="C15" s="485" t="s">
        <v>609</v>
      </c>
      <c r="D15" s="485"/>
      <c r="E15" s="486">
        <f>+'FA Continuity MIFRS 2011'!G16-E14</f>
        <v>397892.04</v>
      </c>
      <c r="F15" s="487">
        <v>20000</v>
      </c>
      <c r="G15" s="488"/>
      <c r="H15" s="489">
        <f t="shared" si="0"/>
        <v>417892.04</v>
      </c>
      <c r="I15" s="443">
        <v>25</v>
      </c>
      <c r="J15" s="443">
        <v>45</v>
      </c>
      <c r="K15" s="489">
        <v>138809.59</v>
      </c>
      <c r="L15" s="490">
        <f t="shared" si="3"/>
        <v>9064</v>
      </c>
      <c r="M15" s="489"/>
      <c r="N15" s="489">
        <f t="shared" si="1"/>
        <v>147873.59</v>
      </c>
      <c r="O15" s="489">
        <f t="shared" si="2"/>
        <v>270018.44999999995</v>
      </c>
    </row>
    <row r="16" spans="1:15" ht="12.75">
      <c r="A16" s="241">
        <v>47</v>
      </c>
      <c r="B16" s="484">
        <v>1860</v>
      </c>
      <c r="C16" s="485" t="s">
        <v>874</v>
      </c>
      <c r="D16" s="485"/>
      <c r="E16" s="486">
        <f>+'FA Continuity MIFRS 2011'!G17</f>
        <v>1294089.5199999998</v>
      </c>
      <c r="F16" s="487"/>
      <c r="G16" s="488"/>
      <c r="H16" s="489">
        <f t="shared" si="0"/>
        <v>1294089.5199999998</v>
      </c>
      <c r="I16" s="443" t="s">
        <v>893</v>
      </c>
      <c r="J16" s="443" t="s">
        <v>893</v>
      </c>
      <c r="K16" s="489">
        <f>+'FA Continuity MIFRS 2011'!L17</f>
        <v>220714.74199999994</v>
      </c>
      <c r="L16" s="489">
        <f>'[4]5. SM_Rev_Reqt'!$S$58</f>
        <v>110121.45333333331</v>
      </c>
      <c r="M16" s="489"/>
      <c r="N16" s="489">
        <f t="shared" si="1"/>
        <v>330836.1953333332</v>
      </c>
      <c r="O16" s="489">
        <f t="shared" si="2"/>
        <v>963253.3246666666</v>
      </c>
    </row>
    <row r="17" spans="1:15" ht="12.75">
      <c r="A17" s="241">
        <v>47</v>
      </c>
      <c r="B17" s="484">
        <v>1830</v>
      </c>
      <c r="C17" s="485" t="s">
        <v>610</v>
      </c>
      <c r="D17" s="485"/>
      <c r="E17" s="486">
        <f>+'FA Continuity MIFRS 2011'!G18</f>
        <v>502091.9</v>
      </c>
      <c r="F17" s="487">
        <v>72310</v>
      </c>
      <c r="G17" s="489"/>
      <c r="H17" s="489">
        <f t="shared" si="0"/>
        <v>574401.9</v>
      </c>
      <c r="I17" s="443">
        <v>25</v>
      </c>
      <c r="J17" s="443">
        <v>45</v>
      </c>
      <c r="K17" s="489">
        <f>+'FA Continuity MIFRS 2011'!L18</f>
        <v>94687.61222222223</v>
      </c>
      <c r="L17" s="490">
        <f t="shared" si="3"/>
        <v>11961</v>
      </c>
      <c r="M17" s="489"/>
      <c r="N17" s="489">
        <f t="shared" si="1"/>
        <v>106648.61222222223</v>
      </c>
      <c r="O17" s="489">
        <f t="shared" si="2"/>
        <v>467753.28777777776</v>
      </c>
    </row>
    <row r="18" spans="1:15" ht="12.75">
      <c r="A18" s="241">
        <v>47</v>
      </c>
      <c r="B18" s="484">
        <v>1835</v>
      </c>
      <c r="C18" s="485" t="s">
        <v>611</v>
      </c>
      <c r="D18" s="485"/>
      <c r="E18" s="486">
        <f>+'FA Continuity MIFRS 2011'!G19</f>
        <v>1839430.1</v>
      </c>
      <c r="F18" s="490">
        <v>50000</v>
      </c>
      <c r="G18" s="489"/>
      <c r="H18" s="489">
        <f t="shared" si="0"/>
        <v>1889430.1</v>
      </c>
      <c r="I18" s="443">
        <v>25</v>
      </c>
      <c r="J18" s="443">
        <v>60</v>
      </c>
      <c r="K18" s="489">
        <f>+'FA Continuity MIFRS 2011'!L19</f>
        <v>659734.3883333334</v>
      </c>
      <c r="L18" s="490">
        <f t="shared" si="3"/>
        <v>31074</v>
      </c>
      <c r="M18" s="489"/>
      <c r="N18" s="489">
        <f t="shared" si="1"/>
        <v>690808.3883333334</v>
      </c>
      <c r="O18" s="489">
        <f t="shared" si="2"/>
        <v>1198621.7116666667</v>
      </c>
    </row>
    <row r="19" spans="1:15" ht="12.75">
      <c r="A19" s="241">
        <v>47</v>
      </c>
      <c r="B19" s="484">
        <v>1840</v>
      </c>
      <c r="C19" s="485" t="s">
        <v>612</v>
      </c>
      <c r="D19" s="485"/>
      <c r="E19" s="486">
        <f>+'FA Continuity MIFRS 2011'!G20</f>
        <v>36862.350000000035</v>
      </c>
      <c r="F19" s="487"/>
      <c r="G19" s="489"/>
      <c r="H19" s="489">
        <f t="shared" si="0"/>
        <v>36862.350000000035</v>
      </c>
      <c r="I19" s="443">
        <v>25</v>
      </c>
      <c r="J19" s="443">
        <v>50</v>
      </c>
      <c r="K19" s="489">
        <f>+'FA Continuity MIFRS 2011'!L20</f>
        <v>10413.709999999963</v>
      </c>
      <c r="L19" s="490">
        <f t="shared" si="3"/>
        <v>737</v>
      </c>
      <c r="M19" s="489"/>
      <c r="N19" s="489">
        <f t="shared" si="1"/>
        <v>11150.709999999963</v>
      </c>
      <c r="O19" s="489">
        <f t="shared" si="2"/>
        <v>25711.640000000072</v>
      </c>
    </row>
    <row r="20" spans="1:15" ht="12.75">
      <c r="A20" s="241">
        <v>47</v>
      </c>
      <c r="B20" s="484">
        <v>1845</v>
      </c>
      <c r="C20" s="485" t="s">
        <v>613</v>
      </c>
      <c r="D20" s="485"/>
      <c r="E20" s="486">
        <f>+'FA Continuity MIFRS 2011'!G21</f>
        <v>797248.3200000001</v>
      </c>
      <c r="F20" s="490">
        <v>20000</v>
      </c>
      <c r="G20" s="489"/>
      <c r="H20" s="489">
        <f t="shared" si="0"/>
        <v>817248.3200000001</v>
      </c>
      <c r="I20" s="443">
        <v>25</v>
      </c>
      <c r="J20" s="443">
        <v>40</v>
      </c>
      <c r="K20" s="489">
        <f>+'FA Continuity MIFRS 2011'!L21</f>
        <v>293470.33</v>
      </c>
      <c r="L20" s="490">
        <f t="shared" si="3"/>
        <v>20181</v>
      </c>
      <c r="M20" s="489"/>
      <c r="N20" s="489">
        <f t="shared" si="1"/>
        <v>313651.33</v>
      </c>
      <c r="O20" s="489">
        <f t="shared" si="2"/>
        <v>503596.99000000005</v>
      </c>
    </row>
    <row r="21" spans="1:15" ht="12.75">
      <c r="A21" s="241">
        <v>47</v>
      </c>
      <c r="B21" s="484">
        <v>1850</v>
      </c>
      <c r="C21" s="485" t="s">
        <v>512</v>
      </c>
      <c r="D21" s="485"/>
      <c r="E21" s="486">
        <f>+'FA Continuity MIFRS 2011'!G22</f>
        <v>1031223.28</v>
      </c>
      <c r="F21" s="487">
        <v>60000</v>
      </c>
      <c r="G21" s="489"/>
      <c r="H21" s="489">
        <f t="shared" si="0"/>
        <v>1091223.28</v>
      </c>
      <c r="I21" s="443">
        <v>25</v>
      </c>
      <c r="J21" s="443">
        <v>45</v>
      </c>
      <c r="K21" s="489">
        <f>+'FA Continuity MIFRS 2011'!L22</f>
        <v>295255.25</v>
      </c>
      <c r="L21" s="490">
        <f t="shared" si="3"/>
        <v>23583</v>
      </c>
      <c r="M21" s="489"/>
      <c r="N21" s="489">
        <f t="shared" si="1"/>
        <v>318838.25</v>
      </c>
      <c r="O21" s="489">
        <f t="shared" si="2"/>
        <v>772385.03</v>
      </c>
    </row>
    <row r="22" spans="1:15" ht="12.75">
      <c r="A22" s="241">
        <v>47</v>
      </c>
      <c r="B22" s="484">
        <v>1855</v>
      </c>
      <c r="C22" s="485" t="s">
        <v>538</v>
      </c>
      <c r="D22" s="485"/>
      <c r="E22" s="486">
        <f>+'FA Continuity MIFRS 2011'!G23</f>
        <v>281636.54</v>
      </c>
      <c r="F22" s="487">
        <v>20000</v>
      </c>
      <c r="G22" s="489"/>
      <c r="H22" s="489">
        <f t="shared" si="0"/>
        <v>301636.54</v>
      </c>
      <c r="I22" s="443">
        <v>25</v>
      </c>
      <c r="J22" s="443">
        <v>60</v>
      </c>
      <c r="K22" s="489">
        <f>+'FA Continuity MIFRS 2011'!L23</f>
        <v>49116.030000000006</v>
      </c>
      <c r="L22" s="490">
        <f t="shared" si="3"/>
        <v>4861</v>
      </c>
      <c r="M22" s="489"/>
      <c r="N22" s="489">
        <f t="shared" si="1"/>
        <v>53977.030000000006</v>
      </c>
      <c r="O22" s="489">
        <f t="shared" si="2"/>
        <v>247659.50999999998</v>
      </c>
    </row>
    <row r="23" spans="1:15" ht="12.75">
      <c r="A23" s="241">
        <v>47</v>
      </c>
      <c r="B23" s="484">
        <v>1860</v>
      </c>
      <c r="C23" s="485" t="s">
        <v>539</v>
      </c>
      <c r="D23" s="485"/>
      <c r="E23" s="486">
        <f>+'FA Continuity MIFRS 2011'!G24</f>
        <v>176154.75999999995</v>
      </c>
      <c r="F23" s="487">
        <v>40000</v>
      </c>
      <c r="G23" s="489"/>
      <c r="H23" s="489">
        <f t="shared" si="0"/>
        <v>216154.75999999995</v>
      </c>
      <c r="I23" s="443">
        <v>25</v>
      </c>
      <c r="J23" s="443">
        <v>25</v>
      </c>
      <c r="K23" s="489">
        <f>+'FA Continuity MIFRS 2011'!L24</f>
        <v>30865.578740113764</v>
      </c>
      <c r="L23" s="490">
        <f t="shared" si="3"/>
        <v>7846</v>
      </c>
      <c r="M23" s="489"/>
      <c r="N23" s="489">
        <f t="shared" si="1"/>
        <v>38711.578740113764</v>
      </c>
      <c r="O23" s="489">
        <f t="shared" si="2"/>
        <v>177443.1812598862</v>
      </c>
    </row>
    <row r="24" spans="1:15" ht="12.75">
      <c r="A24" s="241" t="s">
        <v>203</v>
      </c>
      <c r="B24" s="484">
        <v>1865</v>
      </c>
      <c r="C24" s="485" t="s">
        <v>614</v>
      </c>
      <c r="D24" s="485"/>
      <c r="E24" s="486">
        <f>+'FA Continuity MIFRS 2011'!G25</f>
        <v>0</v>
      </c>
      <c r="F24" s="490"/>
      <c r="G24" s="489"/>
      <c r="H24" s="489">
        <f t="shared" si="0"/>
        <v>0</v>
      </c>
      <c r="I24" s="443"/>
      <c r="J24" s="443"/>
      <c r="K24" s="489">
        <f>+'FA Continuity MIFRS 2011'!L25</f>
        <v>0</v>
      </c>
      <c r="L24" s="490"/>
      <c r="M24" s="489"/>
      <c r="N24" s="489">
        <f t="shared" si="1"/>
        <v>0</v>
      </c>
      <c r="O24" s="489">
        <f t="shared" si="2"/>
        <v>0</v>
      </c>
    </row>
    <row r="25" spans="1:15" ht="12.75">
      <c r="A25" s="241" t="s">
        <v>203</v>
      </c>
      <c r="B25" s="484">
        <v>1905</v>
      </c>
      <c r="C25" s="485" t="s">
        <v>513</v>
      </c>
      <c r="D25" s="485"/>
      <c r="E25" s="486">
        <f>+'FA Continuity MIFRS 2011'!G26</f>
        <v>0</v>
      </c>
      <c r="F25" s="490"/>
      <c r="G25" s="489"/>
      <c r="H25" s="489">
        <f t="shared" si="0"/>
        <v>0</v>
      </c>
      <c r="I25" s="443"/>
      <c r="J25" s="443"/>
      <c r="K25" s="489">
        <f>+'FA Continuity MIFRS 2011'!L26</f>
        <v>0</v>
      </c>
      <c r="L25" s="490"/>
      <c r="M25" s="489"/>
      <c r="N25" s="489">
        <f t="shared" si="1"/>
        <v>0</v>
      </c>
      <c r="O25" s="489">
        <f t="shared" si="2"/>
        <v>0</v>
      </c>
    </row>
    <row r="26" spans="1:15" ht="12.75">
      <c r="A26" s="241" t="s">
        <v>470</v>
      </c>
      <c r="B26" s="484">
        <v>1906</v>
      </c>
      <c r="C26" s="485" t="s">
        <v>514</v>
      </c>
      <c r="D26" s="485"/>
      <c r="E26" s="486">
        <f>+'FA Continuity MIFRS 2011'!G27</f>
        <v>0</v>
      </c>
      <c r="F26" s="490"/>
      <c r="G26" s="489"/>
      <c r="H26" s="489">
        <f t="shared" si="0"/>
        <v>0</v>
      </c>
      <c r="I26" s="443"/>
      <c r="J26" s="443"/>
      <c r="K26" s="489">
        <f>+'FA Continuity MIFRS 2011'!L27</f>
        <v>0</v>
      </c>
      <c r="L26" s="490"/>
      <c r="M26" s="489"/>
      <c r="N26" s="489">
        <f t="shared" si="1"/>
        <v>0</v>
      </c>
      <c r="O26" s="489">
        <f t="shared" si="2"/>
        <v>0</v>
      </c>
    </row>
    <row r="27" spans="1:15" ht="12.75">
      <c r="A27" s="241">
        <v>47</v>
      </c>
      <c r="B27" s="484">
        <v>1908</v>
      </c>
      <c r="C27" s="485" t="s">
        <v>607</v>
      </c>
      <c r="D27" s="485"/>
      <c r="E27" s="486">
        <f>+'FA Continuity MIFRS 2011'!G28</f>
        <v>0</v>
      </c>
      <c r="F27" s="490"/>
      <c r="G27" s="489"/>
      <c r="H27" s="489">
        <f t="shared" si="0"/>
        <v>0</v>
      </c>
      <c r="I27" s="443"/>
      <c r="J27" s="443"/>
      <c r="K27" s="489">
        <f>+'FA Continuity MIFRS 2011'!L28</f>
        <v>0</v>
      </c>
      <c r="L27" s="490"/>
      <c r="M27" s="489"/>
      <c r="N27" s="489">
        <f t="shared" si="1"/>
        <v>0</v>
      </c>
      <c r="O27" s="489">
        <f t="shared" si="2"/>
        <v>0</v>
      </c>
    </row>
    <row r="28" spans="1:15" ht="12.75">
      <c r="A28" s="241">
        <v>13</v>
      </c>
      <c r="B28" s="484">
        <v>1910</v>
      </c>
      <c r="C28" s="485" t="s">
        <v>511</v>
      </c>
      <c r="D28" s="485"/>
      <c r="E28" s="486">
        <f>+'FA Continuity MIFRS 2011'!G29</f>
        <v>8796.45</v>
      </c>
      <c r="F28" s="490"/>
      <c r="G28" s="489"/>
      <c r="H28" s="489">
        <f t="shared" si="0"/>
        <v>8796.45</v>
      </c>
      <c r="I28" s="443">
        <v>10</v>
      </c>
      <c r="J28" s="443">
        <v>10</v>
      </c>
      <c r="K28" s="489">
        <f>+'FA Continuity MIFRS 2011'!L29</f>
        <v>3078.765</v>
      </c>
      <c r="L28" s="490">
        <f>ROUND((D28+E28)*1/J28+F28*1/J28/2,0)</f>
        <v>880</v>
      </c>
      <c r="M28" s="489"/>
      <c r="N28" s="489">
        <f t="shared" si="1"/>
        <v>3958.765</v>
      </c>
      <c r="O28" s="489">
        <f t="shared" si="2"/>
        <v>4837.685000000001</v>
      </c>
    </row>
    <row r="29" spans="1:15" ht="12.75">
      <c r="A29" s="241">
        <v>8</v>
      </c>
      <c r="B29" s="484">
        <v>1915</v>
      </c>
      <c r="C29" s="485" t="s">
        <v>615</v>
      </c>
      <c r="D29" s="485"/>
      <c r="E29" s="486">
        <f>+'FA Continuity MIFRS 2011'!G30</f>
        <v>0</v>
      </c>
      <c r="F29" s="487"/>
      <c r="G29" s="489"/>
      <c r="H29" s="489">
        <f t="shared" si="0"/>
        <v>0</v>
      </c>
      <c r="I29" s="443"/>
      <c r="J29" s="443"/>
      <c r="K29" s="489">
        <f>+'FA Continuity MIFRS 2011'!L30</f>
        <v>0</v>
      </c>
      <c r="L29" s="490"/>
      <c r="M29" s="489"/>
      <c r="N29" s="489">
        <f t="shared" si="1"/>
        <v>0</v>
      </c>
      <c r="O29" s="489">
        <f t="shared" si="2"/>
        <v>0</v>
      </c>
    </row>
    <row r="30" spans="1:15" ht="12.75">
      <c r="A30" s="241">
        <v>10</v>
      </c>
      <c r="B30" s="484">
        <v>1920</v>
      </c>
      <c r="C30" s="485" t="s">
        <v>616</v>
      </c>
      <c r="D30" s="485">
        <f>-'[5]1920'!$H$10</f>
        <v>-92556.17</v>
      </c>
      <c r="E30" s="486">
        <f>+'FA Continuity MIFRS 2011'!G31</f>
        <v>163687.65999999997</v>
      </c>
      <c r="F30" s="490">
        <v>20000</v>
      </c>
      <c r="G30" s="489"/>
      <c r="H30" s="489">
        <f t="shared" si="0"/>
        <v>183687.65999999997</v>
      </c>
      <c r="I30" s="443">
        <v>5</v>
      </c>
      <c r="J30" s="443">
        <v>5</v>
      </c>
      <c r="K30" s="489">
        <f>+'FA Continuity MIFRS 2011'!L31</f>
        <v>127136.628</v>
      </c>
      <c r="L30" s="490">
        <f>ROUND((D30+E30)*1/J30+F30*1/J30/2,0)</f>
        <v>16226</v>
      </c>
      <c r="M30" s="489"/>
      <c r="N30" s="489">
        <f t="shared" si="1"/>
        <v>143362.628</v>
      </c>
      <c r="O30" s="489">
        <f t="shared" si="2"/>
        <v>40325.03199999998</v>
      </c>
    </row>
    <row r="31" spans="1:15" ht="12.75">
      <c r="A31" s="241">
        <v>12</v>
      </c>
      <c r="B31" s="484">
        <v>1925</v>
      </c>
      <c r="C31" s="485" t="s">
        <v>505</v>
      </c>
      <c r="D31" s="485">
        <f>-'[5]1925'!$G$10</f>
        <v>-11546.399999999998</v>
      </c>
      <c r="E31" s="486">
        <f>+'FA Continuity MIFRS 2011'!G32</f>
        <v>164826.66</v>
      </c>
      <c r="F31" s="487">
        <v>50000</v>
      </c>
      <c r="G31" s="489"/>
      <c r="H31" s="489">
        <f t="shared" si="0"/>
        <v>214826.66</v>
      </c>
      <c r="I31" s="443">
        <v>5</v>
      </c>
      <c r="J31" s="443">
        <v>5</v>
      </c>
      <c r="K31" s="489">
        <f>+'FA Continuity MIFRS 2011'!L32</f>
        <v>92250.092</v>
      </c>
      <c r="L31" s="490">
        <f>ROUND((D31+E31)*1/J31+F31*1/J31/2,0)</f>
        <v>35656</v>
      </c>
      <c r="M31" s="489"/>
      <c r="N31" s="489">
        <f t="shared" si="1"/>
        <v>127906.092</v>
      </c>
      <c r="O31" s="489">
        <f t="shared" si="2"/>
        <v>86920.568</v>
      </c>
    </row>
    <row r="32" spans="1:15" ht="12.75">
      <c r="A32" s="241">
        <v>10</v>
      </c>
      <c r="B32" s="484">
        <v>1930</v>
      </c>
      <c r="C32" s="485" t="s">
        <v>515</v>
      </c>
      <c r="D32" s="485"/>
      <c r="E32" s="486">
        <f>+'FA Continuity MIFRS 2011'!G33</f>
        <v>627095.3799999999</v>
      </c>
      <c r="F32" s="490"/>
      <c r="G32" s="489"/>
      <c r="H32" s="489">
        <f t="shared" si="0"/>
        <v>627095.3799999999</v>
      </c>
      <c r="I32" s="443">
        <v>8</v>
      </c>
      <c r="J32" s="443">
        <v>8</v>
      </c>
      <c r="K32" s="489">
        <f>+'FA Continuity MIFRS 2011'!L33</f>
        <v>130419.53</v>
      </c>
      <c r="L32" s="490">
        <f>ROUND((D32+E32)*1/J32+F32*1/J32/2,0)</f>
        <v>78387</v>
      </c>
      <c r="M32" s="489"/>
      <c r="N32" s="489">
        <f t="shared" si="1"/>
        <v>208806.53</v>
      </c>
      <c r="O32" s="489">
        <f t="shared" si="2"/>
        <v>418288.84999999986</v>
      </c>
    </row>
    <row r="33" spans="1:15" ht="12.75">
      <c r="A33" s="241">
        <v>8</v>
      </c>
      <c r="B33" s="484">
        <v>1935</v>
      </c>
      <c r="C33" s="485" t="s">
        <v>516</v>
      </c>
      <c r="D33" s="485"/>
      <c r="E33" s="486">
        <f>+'FA Continuity MIFRS 2011'!G34</f>
        <v>0</v>
      </c>
      <c r="F33" s="490"/>
      <c r="G33" s="489"/>
      <c r="H33" s="489">
        <f t="shared" si="0"/>
        <v>0</v>
      </c>
      <c r="I33" s="443"/>
      <c r="J33" s="443"/>
      <c r="K33" s="489">
        <f>+'FA Continuity MIFRS 2011'!L34</f>
        <v>0</v>
      </c>
      <c r="L33" s="490">
        <f>'FA Continuity 2010'!J34+('FA Continuity MIFRS 2011'!E34/10)+('FA Continuity 2012'!E34/10/2)</f>
        <v>0</v>
      </c>
      <c r="M33" s="489"/>
      <c r="N33" s="489">
        <f t="shared" si="1"/>
        <v>0</v>
      </c>
      <c r="O33" s="489">
        <f t="shared" si="2"/>
        <v>0</v>
      </c>
    </row>
    <row r="34" spans="1:15" ht="12.75">
      <c r="A34" s="241">
        <v>8</v>
      </c>
      <c r="B34" s="484">
        <v>1940</v>
      </c>
      <c r="C34" s="485" t="s">
        <v>617</v>
      </c>
      <c r="D34" s="485">
        <f>-'[5]1940'!$B$10</f>
        <v>-75572.44</v>
      </c>
      <c r="E34" s="486">
        <f>+'FA Continuity MIFRS 2011'!G35</f>
        <v>137983.96</v>
      </c>
      <c r="F34" s="490">
        <v>10000</v>
      </c>
      <c r="G34" s="489"/>
      <c r="H34" s="489">
        <f t="shared" si="0"/>
        <v>147983.96</v>
      </c>
      <c r="I34" s="443">
        <v>10</v>
      </c>
      <c r="J34" s="443">
        <v>10</v>
      </c>
      <c r="K34" s="489">
        <f>+'FA Continuity MIFRS 2011'!L35</f>
        <v>111145.87599999999</v>
      </c>
      <c r="L34" s="490">
        <f>ROUND((D34+E34)*1/J34+F34*1/J34/2,0)</f>
        <v>6741</v>
      </c>
      <c r="M34" s="489"/>
      <c r="N34" s="489">
        <f t="shared" si="1"/>
        <v>117886.87599999999</v>
      </c>
      <c r="O34" s="489">
        <f t="shared" si="2"/>
        <v>30097.084000000003</v>
      </c>
    </row>
    <row r="35" spans="1:15" ht="12.75">
      <c r="A35" s="241">
        <v>8</v>
      </c>
      <c r="B35" s="484">
        <v>1945</v>
      </c>
      <c r="C35" s="485" t="s">
        <v>618</v>
      </c>
      <c r="D35" s="485"/>
      <c r="E35" s="486">
        <f>+'FA Continuity MIFRS 2011'!G36</f>
        <v>0</v>
      </c>
      <c r="F35" s="490"/>
      <c r="G35" s="489"/>
      <c r="H35" s="489">
        <f t="shared" si="0"/>
        <v>0</v>
      </c>
      <c r="I35" s="443"/>
      <c r="J35" s="443"/>
      <c r="K35" s="489">
        <f>+'FA Continuity MIFRS 2011'!L36</f>
        <v>0</v>
      </c>
      <c r="L35" s="490">
        <f>'FA Continuity 2010'!J36+('FA Continuity MIFRS 2011'!E36/25)+('FA Continuity 2012'!E36/25/2)</f>
        <v>0</v>
      </c>
      <c r="M35" s="489"/>
      <c r="N35" s="489">
        <f t="shared" si="1"/>
        <v>0</v>
      </c>
      <c r="O35" s="489">
        <f t="shared" si="2"/>
        <v>0</v>
      </c>
    </row>
    <row r="36" spans="1:15" ht="12.75">
      <c r="A36" s="241">
        <v>8</v>
      </c>
      <c r="B36" s="484">
        <v>1950</v>
      </c>
      <c r="C36" s="485" t="s">
        <v>619</v>
      </c>
      <c r="D36" s="485"/>
      <c r="E36" s="486">
        <f>+'FA Continuity MIFRS 2011'!G37</f>
        <v>0</v>
      </c>
      <c r="F36" s="490"/>
      <c r="G36" s="489"/>
      <c r="H36" s="489">
        <f t="shared" si="0"/>
        <v>0</v>
      </c>
      <c r="I36" s="443"/>
      <c r="J36" s="443"/>
      <c r="K36" s="489">
        <f>+'FA Continuity MIFRS 2011'!L37</f>
        <v>0</v>
      </c>
      <c r="L36" s="490">
        <f>'FA Continuity 2010'!J37+('FA Continuity MIFRS 2011'!E37/25)+('FA Continuity 2012'!E37/25/2)</f>
        <v>0</v>
      </c>
      <c r="M36" s="489"/>
      <c r="N36" s="489">
        <f t="shared" si="1"/>
        <v>0</v>
      </c>
      <c r="O36" s="489">
        <f t="shared" si="2"/>
        <v>0</v>
      </c>
    </row>
    <row r="37" spans="1:15" ht="12.75">
      <c r="A37" s="241">
        <v>8</v>
      </c>
      <c r="B37" s="484">
        <v>1955</v>
      </c>
      <c r="C37" s="485" t="s">
        <v>620</v>
      </c>
      <c r="D37" s="485"/>
      <c r="E37" s="486">
        <f>+'FA Continuity MIFRS 2011'!G38</f>
        <v>0</v>
      </c>
      <c r="F37" s="490"/>
      <c r="G37" s="489"/>
      <c r="H37" s="489">
        <f t="shared" si="0"/>
        <v>0</v>
      </c>
      <c r="I37" s="443"/>
      <c r="J37" s="443"/>
      <c r="K37" s="489">
        <f>+'FA Continuity MIFRS 2011'!L38</f>
        <v>0</v>
      </c>
      <c r="L37" s="490">
        <f>'FA Continuity 2010'!J38+('FA Continuity MIFRS 2011'!E38/25)+('FA Continuity 2012'!E38/25/2)</f>
        <v>0</v>
      </c>
      <c r="M37" s="489"/>
      <c r="N37" s="489">
        <f t="shared" si="1"/>
        <v>0</v>
      </c>
      <c r="O37" s="489">
        <f t="shared" si="2"/>
        <v>0</v>
      </c>
    </row>
    <row r="38" spans="1:15" ht="12.75">
      <c r="A38" s="241">
        <v>8</v>
      </c>
      <c r="B38" s="484">
        <v>1960</v>
      </c>
      <c r="C38" s="485" t="s">
        <v>517</v>
      </c>
      <c r="D38" s="485"/>
      <c r="E38" s="486">
        <f>+'FA Continuity MIFRS 2011'!G39</f>
        <v>0</v>
      </c>
      <c r="F38" s="490"/>
      <c r="G38" s="489"/>
      <c r="H38" s="489">
        <f t="shared" si="0"/>
        <v>0</v>
      </c>
      <c r="I38" s="443"/>
      <c r="J38" s="443"/>
      <c r="K38" s="489">
        <f>+'FA Continuity MIFRS 2011'!L39</f>
        <v>0</v>
      </c>
      <c r="L38" s="490">
        <f>'FA Continuity 2010'!J39+('FA Continuity MIFRS 2011'!E39/25)+('FA Continuity 2012'!E39/25/2)</f>
        <v>0</v>
      </c>
      <c r="M38" s="489"/>
      <c r="N38" s="489">
        <f t="shared" si="1"/>
        <v>0</v>
      </c>
      <c r="O38" s="489">
        <f t="shared" si="2"/>
        <v>0</v>
      </c>
    </row>
    <row r="39" spans="1:15" ht="1.5" customHeight="1">
      <c r="A39" s="241">
        <v>47</v>
      </c>
      <c r="B39" s="484">
        <v>1970</v>
      </c>
      <c r="C39" s="485" t="s">
        <v>621</v>
      </c>
      <c r="D39" s="485"/>
      <c r="E39" s="486">
        <f>+'FA Continuity MIFRS 2011'!G40</f>
        <v>0</v>
      </c>
      <c r="F39" s="490"/>
      <c r="G39" s="489"/>
      <c r="H39" s="489">
        <f t="shared" si="0"/>
        <v>0</v>
      </c>
      <c r="I39" s="443"/>
      <c r="J39" s="443"/>
      <c r="K39" s="489">
        <f>+'FA Continuity MIFRS 2011'!L40</f>
        <v>0</v>
      </c>
      <c r="L39" s="490">
        <f>'FA Continuity 2010'!J40+('FA Continuity MIFRS 2011'!E40/25)+('FA Continuity 2012'!E40/25/2)</f>
        <v>0</v>
      </c>
      <c r="M39" s="489"/>
      <c r="N39" s="489">
        <f t="shared" si="1"/>
        <v>0</v>
      </c>
      <c r="O39" s="489">
        <f t="shared" si="2"/>
        <v>0</v>
      </c>
    </row>
    <row r="40" spans="1:15" ht="12.75" hidden="1">
      <c r="A40" s="241">
        <v>47</v>
      </c>
      <c r="B40" s="484">
        <v>1975</v>
      </c>
      <c r="C40" s="485" t="s">
        <v>622</v>
      </c>
      <c r="D40" s="485"/>
      <c r="E40" s="486">
        <f>+'FA Continuity MIFRS 2011'!G41</f>
        <v>0</v>
      </c>
      <c r="F40" s="490"/>
      <c r="G40" s="489"/>
      <c r="H40" s="489">
        <f t="shared" si="0"/>
        <v>0</v>
      </c>
      <c r="I40" s="443"/>
      <c r="J40" s="443"/>
      <c r="K40" s="489">
        <f>+'FA Continuity MIFRS 2011'!L41</f>
        <v>0</v>
      </c>
      <c r="L40" s="490">
        <f>'FA Continuity 2010'!J41+('FA Continuity MIFRS 2011'!E41/25)+('FA Continuity 2012'!E41/25/2)</f>
        <v>0</v>
      </c>
      <c r="M40" s="489"/>
      <c r="N40" s="489">
        <f t="shared" si="1"/>
        <v>0</v>
      </c>
      <c r="O40" s="489">
        <f t="shared" si="2"/>
        <v>0</v>
      </c>
    </row>
    <row r="41" spans="1:15" ht="12.75" hidden="1">
      <c r="A41" s="241">
        <v>47</v>
      </c>
      <c r="B41" s="484">
        <v>1980</v>
      </c>
      <c r="C41" s="485" t="s">
        <v>518</v>
      </c>
      <c r="D41" s="485"/>
      <c r="E41" s="486">
        <f>+'FA Continuity MIFRS 2011'!G42</f>
        <v>0</v>
      </c>
      <c r="F41" s="490"/>
      <c r="G41" s="489"/>
      <c r="H41" s="489">
        <f t="shared" si="0"/>
        <v>0</v>
      </c>
      <c r="I41" s="443"/>
      <c r="J41" s="443"/>
      <c r="K41" s="489">
        <f>+'FA Continuity MIFRS 2011'!L42</f>
        <v>0</v>
      </c>
      <c r="L41" s="490">
        <f>'FA Continuity 2010'!J42+('FA Continuity MIFRS 2011'!E42/25)+('FA Continuity 2012'!E42/25/2)</f>
        <v>0</v>
      </c>
      <c r="M41" s="489"/>
      <c r="N41" s="489">
        <f t="shared" si="1"/>
        <v>0</v>
      </c>
      <c r="O41" s="489">
        <f t="shared" si="2"/>
        <v>0</v>
      </c>
    </row>
    <row r="42" spans="1:15" ht="12.75" hidden="1">
      <c r="A42" s="241">
        <v>47</v>
      </c>
      <c r="B42" s="484">
        <v>1985</v>
      </c>
      <c r="C42" s="485" t="s">
        <v>623</v>
      </c>
      <c r="D42" s="485"/>
      <c r="E42" s="486">
        <f>+'FA Continuity MIFRS 2011'!G43</f>
        <v>0</v>
      </c>
      <c r="F42" s="490"/>
      <c r="G42" s="489"/>
      <c r="H42" s="489">
        <f t="shared" si="0"/>
        <v>0</v>
      </c>
      <c r="I42" s="443"/>
      <c r="J42" s="443"/>
      <c r="K42" s="489">
        <f>+'FA Continuity MIFRS 2011'!L43</f>
        <v>0</v>
      </c>
      <c r="L42" s="490">
        <f>'FA Continuity 2010'!J43+('FA Continuity MIFRS 2011'!E43/25)+('FA Continuity 2012'!E43/25/2)</f>
        <v>0</v>
      </c>
      <c r="M42" s="489"/>
      <c r="N42" s="489">
        <f t="shared" si="1"/>
        <v>0</v>
      </c>
      <c r="O42" s="489">
        <f t="shared" si="2"/>
        <v>0</v>
      </c>
    </row>
    <row r="43" spans="1:15" ht="12.75">
      <c r="A43" s="241">
        <v>47</v>
      </c>
      <c r="B43" s="484">
        <v>1990</v>
      </c>
      <c r="C43" s="485" t="s">
        <v>624</v>
      </c>
      <c r="D43" s="485"/>
      <c r="E43" s="486">
        <f>+'FA Continuity MIFRS 2011'!G44</f>
        <v>0</v>
      </c>
      <c r="F43" s="490"/>
      <c r="G43" s="489"/>
      <c r="H43" s="489">
        <f t="shared" si="0"/>
        <v>0</v>
      </c>
      <c r="I43" s="443"/>
      <c r="J43" s="443" t="s">
        <v>895</v>
      </c>
      <c r="K43" s="489">
        <f>+'FA Continuity MIFRS 2011'!L44</f>
        <v>0</v>
      </c>
      <c r="L43" s="490">
        <f>'FA Continuity 2010'!J44+('FA Continuity MIFRS 2011'!E44/25)+('FA Continuity 2012'!E44/25/2)</f>
        <v>0</v>
      </c>
      <c r="M43" s="489"/>
      <c r="N43" s="489">
        <f t="shared" si="1"/>
        <v>0</v>
      </c>
      <c r="O43" s="489">
        <f t="shared" si="2"/>
        <v>0</v>
      </c>
    </row>
    <row r="44" spans="1:15" ht="12.75">
      <c r="A44" s="241">
        <v>47</v>
      </c>
      <c r="B44" s="484">
        <v>1995</v>
      </c>
      <c r="C44" s="485" t="s">
        <v>625</v>
      </c>
      <c r="D44" s="485"/>
      <c r="E44" s="486">
        <f>+'FA Continuity MIFRS 2011'!G45</f>
        <v>-360987.58999999997</v>
      </c>
      <c r="F44" s="491"/>
      <c r="G44" s="489"/>
      <c r="H44" s="489">
        <f t="shared" si="0"/>
        <v>-360987.58999999997</v>
      </c>
      <c r="I44" s="443">
        <v>25</v>
      </c>
      <c r="J44" s="443">
        <v>45</v>
      </c>
      <c r="K44" s="489">
        <f>+'FA Continuity MIFRS 2011'!L45</f>
        <v>-88012.93644444445</v>
      </c>
      <c r="L44" s="490">
        <f>ROUND((D44+E44)*1/J44+F44*1/J44/2,0)</f>
        <v>-8022</v>
      </c>
      <c r="M44" s="489"/>
      <c r="N44" s="489">
        <f t="shared" si="1"/>
        <v>-96034.93644444445</v>
      </c>
      <c r="O44" s="489">
        <f t="shared" si="2"/>
        <v>-264952.6535555555</v>
      </c>
    </row>
    <row r="45" spans="1:15" ht="12.75">
      <c r="A45" s="241"/>
      <c r="B45" s="484">
        <v>2005</v>
      </c>
      <c r="C45" s="484" t="s">
        <v>801</v>
      </c>
      <c r="D45" s="484"/>
      <c r="E45" s="486">
        <f>+'FA Continuity MIFRS 2011'!G46</f>
        <v>0</v>
      </c>
      <c r="F45" s="490"/>
      <c r="G45" s="489"/>
      <c r="H45" s="489">
        <f t="shared" si="0"/>
        <v>0</v>
      </c>
      <c r="I45" s="443"/>
      <c r="J45" s="443"/>
      <c r="K45" s="489">
        <f>+'FA Continuity MIFRS 2011'!L46</f>
        <v>0</v>
      </c>
      <c r="L45" s="490"/>
      <c r="M45" s="489"/>
      <c r="N45" s="489">
        <f t="shared" si="1"/>
        <v>0</v>
      </c>
      <c r="O45" s="489">
        <f t="shared" si="2"/>
        <v>0</v>
      </c>
    </row>
    <row r="46" spans="1:15" ht="12.75">
      <c r="A46" s="241"/>
      <c r="B46" s="492"/>
      <c r="C46" s="493" t="s">
        <v>217</v>
      </c>
      <c r="D46" s="494">
        <f>SUM(D9:D45)</f>
        <v>-179675.01</v>
      </c>
      <c r="E46" s="494">
        <f>SUM(E9:E45)</f>
        <v>7591515.840000001</v>
      </c>
      <c r="F46" s="494">
        <f>SUM(F9:F45)</f>
        <v>385000</v>
      </c>
      <c r="G46" s="494">
        <f>SUM(G9:G45)</f>
        <v>0</v>
      </c>
      <c r="H46" s="494">
        <f>SUM(H9:H45)</f>
        <v>7976515.840000001</v>
      </c>
      <c r="I46" s="439"/>
      <c r="J46" s="479"/>
      <c r="K46" s="494">
        <f>SUM(K9:K45)</f>
        <v>2242277.5940512246</v>
      </c>
      <c r="L46" s="494">
        <f>SUM(L9:L45)</f>
        <v>364399.4533333333</v>
      </c>
      <c r="M46" s="494">
        <f>SUM(M9:M45)</f>
        <v>0</v>
      </c>
      <c r="N46" s="494">
        <f>SUM(N9:N45)</f>
        <v>2606677.0473845582</v>
      </c>
      <c r="O46" s="494">
        <f>SUM(O9:O45)</f>
        <v>5369838.792615441</v>
      </c>
    </row>
    <row r="47" spans="1:15" ht="12.75">
      <c r="A47" s="241"/>
      <c r="B47" s="492"/>
      <c r="C47" s="485"/>
      <c r="D47" s="485"/>
      <c r="E47" s="489"/>
      <c r="F47" s="489"/>
      <c r="G47" s="489"/>
      <c r="H47" s="489"/>
      <c r="I47" s="439"/>
      <c r="J47" s="479"/>
      <c r="K47" s="489"/>
      <c r="L47" s="489"/>
      <c r="M47" s="489"/>
      <c r="N47" s="489"/>
      <c r="O47" s="489"/>
    </row>
    <row r="48" spans="1:15" ht="12.75">
      <c r="A48" s="241" t="s">
        <v>204</v>
      </c>
      <c r="B48" s="492"/>
      <c r="C48" s="485" t="s">
        <v>251</v>
      </c>
      <c r="D48" s="485"/>
      <c r="E48" s="489">
        <v>0</v>
      </c>
      <c r="F48" s="489"/>
      <c r="G48" s="489"/>
      <c r="H48" s="489">
        <f>E48+F48-G48</f>
        <v>0</v>
      </c>
      <c r="I48" s="439"/>
      <c r="J48" s="479"/>
      <c r="K48" s="489">
        <v>0</v>
      </c>
      <c r="L48" s="489"/>
      <c r="M48" s="489"/>
      <c r="N48" s="489">
        <f>K48+L48-M48</f>
        <v>0</v>
      </c>
      <c r="O48" s="489">
        <f>H48-N48</f>
        <v>0</v>
      </c>
    </row>
    <row r="49" spans="1:15" ht="12.75">
      <c r="A49" s="241"/>
      <c r="B49" s="492"/>
      <c r="C49" s="493" t="s">
        <v>218</v>
      </c>
      <c r="D49" s="494">
        <f>SUM(D46:D48)</f>
        <v>-179675.01</v>
      </c>
      <c r="E49" s="494">
        <f>SUM(E46:E48)</f>
        <v>7591515.840000001</v>
      </c>
      <c r="F49" s="494">
        <f>SUM(F46:F48)</f>
        <v>385000</v>
      </c>
      <c r="G49" s="494">
        <f>SUM(G46:G48)</f>
        <v>0</v>
      </c>
      <c r="H49" s="494">
        <f>SUM(H46:H48)</f>
        <v>7976515.840000001</v>
      </c>
      <c r="I49" s="439"/>
      <c r="J49" s="479"/>
      <c r="K49" s="494">
        <f>SUM(K46:K48)</f>
        <v>2242277.5940512246</v>
      </c>
      <c r="L49" s="494">
        <f>SUM(L46:L48)</f>
        <v>364399.4533333333</v>
      </c>
      <c r="M49" s="494">
        <f>SUM(M46:M48)</f>
        <v>0</v>
      </c>
      <c r="N49" s="494">
        <f>SUM(N46:N48)</f>
        <v>2606677.0473845582</v>
      </c>
      <c r="O49" s="494">
        <f>SUM(O46:O48)</f>
        <v>5369838.792615441</v>
      </c>
    </row>
    <row r="50" spans="1:15" ht="12.75">
      <c r="A50" s="240"/>
      <c r="B50" s="477"/>
      <c r="C50" s="495"/>
      <c r="D50" s="495"/>
      <c r="E50" s="440"/>
      <c r="F50" s="440"/>
      <c r="G50" s="440"/>
      <c r="H50" s="440"/>
      <c r="I50" s="440"/>
      <c r="J50" s="401"/>
      <c r="K50" s="401"/>
      <c r="L50" s="401"/>
      <c r="M50" s="401"/>
      <c r="N50" s="401"/>
      <c r="O50" s="401"/>
    </row>
    <row r="51" spans="1:15" ht="12.75">
      <c r="A51" s="477"/>
      <c r="B51" s="477"/>
      <c r="C51" s="495"/>
      <c r="D51" s="495"/>
      <c r="E51" s="440"/>
      <c r="F51" s="440" t="s">
        <v>896</v>
      </c>
      <c r="G51" s="440"/>
      <c r="H51" s="440">
        <v>435805</v>
      </c>
      <c r="I51" s="440"/>
      <c r="J51" s="516" t="s">
        <v>252</v>
      </c>
      <c r="K51" s="516"/>
      <c r="L51" s="516"/>
      <c r="M51" s="401"/>
      <c r="N51" s="401"/>
      <c r="O51" s="401"/>
    </row>
    <row r="52" spans="1:15" ht="12.75">
      <c r="A52" s="484"/>
      <c r="B52" s="484">
        <f>B31</f>
        <v>1925</v>
      </c>
      <c r="C52" s="485" t="s">
        <v>253</v>
      </c>
      <c r="D52" s="479"/>
      <c r="E52" s="496" t="s">
        <v>897</v>
      </c>
      <c r="F52" s="440"/>
      <c r="G52" s="440"/>
      <c r="H52" s="497">
        <f>L49</f>
        <v>364399.4533333333</v>
      </c>
      <c r="I52" s="440"/>
      <c r="J52" s="516" t="s">
        <v>253</v>
      </c>
      <c r="K52" s="516"/>
      <c r="L52" s="498"/>
      <c r="M52" s="401"/>
      <c r="N52" s="18"/>
      <c r="O52" s="18"/>
    </row>
    <row r="53" spans="1:15" ht="12.75">
      <c r="A53" s="484"/>
      <c r="B53" s="484">
        <f>B32</f>
        <v>1930</v>
      </c>
      <c r="C53" s="485" t="s">
        <v>516</v>
      </c>
      <c r="D53" s="479"/>
      <c r="E53" s="440" t="s">
        <v>898</v>
      </c>
      <c r="F53" s="440"/>
      <c r="G53" s="440"/>
      <c r="H53" s="440">
        <f>H51-H52</f>
        <v>71405.54666666669</v>
      </c>
      <c r="I53" s="440"/>
      <c r="J53" s="516" t="s">
        <v>777</v>
      </c>
      <c r="K53" s="516"/>
      <c r="L53" s="498"/>
      <c r="M53" s="401"/>
      <c r="N53" s="18"/>
      <c r="O53" s="18"/>
    </row>
    <row r="54" spans="1:15" ht="13.5" thickBot="1">
      <c r="A54" s="477"/>
      <c r="B54" s="477"/>
      <c r="C54" s="495"/>
      <c r="D54" s="495"/>
      <c r="E54" s="440"/>
      <c r="F54" s="440"/>
      <c r="G54" s="440"/>
      <c r="H54" s="440"/>
      <c r="I54" s="440"/>
      <c r="J54" s="516" t="s">
        <v>254</v>
      </c>
      <c r="K54" s="516"/>
      <c r="L54" s="499">
        <f>L49-L52-L53</f>
        <v>364399.4533333333</v>
      </c>
      <c r="M54" s="401"/>
      <c r="N54" s="18"/>
      <c r="O54" s="18"/>
    </row>
    <row r="55" spans="1:15" ht="13.5" thickTop="1">
      <c r="A55" s="215" t="s">
        <v>900</v>
      </c>
      <c r="B55" s="449" t="s">
        <v>903</v>
      </c>
      <c r="C55" s="214"/>
      <c r="D55" s="214"/>
      <c r="E55" s="321"/>
      <c r="F55" s="321"/>
      <c r="G55" s="321"/>
      <c r="H55" s="321"/>
      <c r="I55" s="321"/>
      <c r="J55" s="322"/>
      <c r="K55" s="322"/>
      <c r="L55" s="322"/>
      <c r="M55" s="322"/>
      <c r="N55" s="322"/>
      <c r="O55" s="322"/>
    </row>
    <row r="56" spans="1:15" ht="12.75">
      <c r="A56" s="20"/>
      <c r="B56" s="449" t="s">
        <v>904</v>
      </c>
      <c r="C56" s="210"/>
      <c r="D56" s="210"/>
      <c r="E56" s="211"/>
      <c r="F56" s="211"/>
      <c r="G56" s="211"/>
      <c r="H56" s="211"/>
      <c r="I56" s="211"/>
      <c r="J56" s="212"/>
      <c r="K56" s="213"/>
      <c r="L56" s="213"/>
      <c r="M56" s="213"/>
      <c r="N56" s="401">
        <v>2284430</v>
      </c>
      <c r="O56" s="401">
        <v>101650</v>
      </c>
    </row>
    <row r="57" spans="2:15" ht="12.75">
      <c r="B57" s="24" t="s">
        <v>905</v>
      </c>
      <c r="N57" s="322">
        <v>2622629</v>
      </c>
      <c r="O57" s="322">
        <v>2453530</v>
      </c>
    </row>
    <row r="58" spans="2:15" ht="12.75">
      <c r="B58" s="24" t="s">
        <v>906</v>
      </c>
      <c r="O58" s="322">
        <f>O57-O56</f>
        <v>2351880</v>
      </c>
    </row>
    <row r="59" ht="12.75">
      <c r="B59" s="24" t="s">
        <v>907</v>
      </c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</sheetData>
  <sheetProtection/>
  <mergeCells count="24">
    <mergeCell ref="A1:O1"/>
    <mergeCell ref="A2:O2"/>
    <mergeCell ref="E3:G3"/>
    <mergeCell ref="E5:H5"/>
    <mergeCell ref="K5:N5"/>
    <mergeCell ref="A4:O4"/>
    <mergeCell ref="E6:H6"/>
    <mergeCell ref="K6:N6"/>
    <mergeCell ref="O7:O8"/>
    <mergeCell ref="A7:A8"/>
    <mergeCell ref="B7:B8"/>
    <mergeCell ref="C7:C8"/>
    <mergeCell ref="E7:E8"/>
    <mergeCell ref="F7:F8"/>
    <mergeCell ref="G7:G8"/>
    <mergeCell ref="M7:M8"/>
    <mergeCell ref="N7:N8"/>
    <mergeCell ref="J51:L51"/>
    <mergeCell ref="H7:H8"/>
    <mergeCell ref="J52:K52"/>
    <mergeCell ref="J53:K53"/>
    <mergeCell ref="J54:K54"/>
    <mergeCell ref="K7:K8"/>
    <mergeCell ref="L7:L8"/>
  </mergeCells>
  <printOptions/>
  <pageMargins left="0.31496062992125984" right="0.5118110236220472" top="0.5511811023622047" bottom="0.15748031496062992" header="0" footer="0.11811023622047245"/>
  <pageSetup fitToHeight="1" fitToWidth="1"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B1">
      <pane ySplit="9" topLeftCell="A47" activePane="bottomLeft" state="frozen"/>
      <selection pane="topLeft" activeCell="G47" sqref="G47"/>
      <selection pane="bottomLeft" activeCell="F57" sqref="F57"/>
    </sheetView>
  </sheetViews>
  <sheetFormatPr defaultColWidth="9.140625" defaultRowHeight="12.75"/>
  <cols>
    <col min="1" max="1" width="7.140625" style="20" customWidth="1"/>
    <col min="2" max="2" width="6.8515625" style="215" customWidth="1"/>
    <col min="3" max="3" width="38.00390625" style="214" customWidth="1"/>
    <col min="4" max="4" width="10.421875" style="214" customWidth="1"/>
    <col min="5" max="5" width="9.28125" style="214" customWidth="1"/>
    <col min="6" max="6" width="9.140625" style="214" customWidth="1"/>
    <col min="7" max="7" width="10.28125" style="214" customWidth="1"/>
    <col min="8" max="8" width="0.85546875" style="214" customWidth="1"/>
    <col min="9" max="9" width="10.28125" style="214" customWidth="1"/>
    <col min="10" max="10" width="10.140625" style="214" customWidth="1"/>
    <col min="11" max="11" width="9.421875" style="214" bestFit="1" customWidth="1"/>
    <col min="12" max="13" width="9.8515625" style="214" customWidth="1"/>
    <col min="14" max="14" width="15.28125" style="0" customWidth="1"/>
    <col min="15" max="16" width="15.57421875" style="0" customWidth="1"/>
  </cols>
  <sheetData>
    <row r="1" spans="1:13" ht="12.75">
      <c r="A1" s="519" t="str">
        <f>Notes!B4</f>
        <v>Rideau St. Lawrence Distribution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2.75">
      <c r="A2" s="519" t="str">
        <f>'FA Continuity 2008'!A2:M2</f>
        <v> License Number ED-2003-0003, File Number EB-2011-0274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ht="12.75">
      <c r="A3" s="520"/>
      <c r="B3" s="520"/>
      <c r="C3" s="520"/>
      <c r="D3" s="211"/>
      <c r="E3" s="211"/>
      <c r="F3" s="211"/>
      <c r="G3" s="211"/>
      <c r="H3" s="212"/>
      <c r="I3" s="213"/>
      <c r="J3" s="213"/>
      <c r="K3" s="213"/>
      <c r="L3" s="213"/>
      <c r="M3" s="213"/>
    </row>
    <row r="4" spans="1:13" ht="12.75">
      <c r="A4" s="520" t="s">
        <v>209</v>
      </c>
      <c r="B4" s="520"/>
      <c r="C4" s="520"/>
      <c r="D4" s="211"/>
      <c r="E4" s="211"/>
      <c r="F4" s="211"/>
      <c r="H4" s="212"/>
      <c r="I4" s="213"/>
      <c r="J4" s="213"/>
      <c r="K4" s="213"/>
      <c r="L4" s="213"/>
      <c r="M4" s="213"/>
    </row>
    <row r="5" spans="1:13" ht="12.75">
      <c r="A5" s="520" t="s">
        <v>820</v>
      </c>
      <c r="B5" s="520"/>
      <c r="C5" s="520"/>
      <c r="D5" s="211"/>
      <c r="E5" s="211"/>
      <c r="F5" s="211"/>
      <c r="G5" s="210" t="s">
        <v>889</v>
      </c>
      <c r="H5" s="212"/>
      <c r="I5" s="213"/>
      <c r="J5" s="213"/>
      <c r="K5" s="213"/>
      <c r="L5" s="213"/>
      <c r="M5" s="213"/>
    </row>
    <row r="6" spans="4:13" ht="12.75">
      <c r="D6" s="515" t="s">
        <v>248</v>
      </c>
      <c r="E6" s="515"/>
      <c r="F6" s="515"/>
      <c r="G6" s="515"/>
      <c r="H6" s="212"/>
      <c r="I6" s="515" t="s">
        <v>249</v>
      </c>
      <c r="J6" s="515"/>
      <c r="K6" s="515"/>
      <c r="L6" s="515"/>
      <c r="M6" s="213"/>
    </row>
    <row r="7" spans="3:13" ht="12.75">
      <c r="C7" s="210"/>
      <c r="D7" s="517"/>
      <c r="E7" s="517"/>
      <c r="F7" s="517"/>
      <c r="G7" s="517"/>
      <c r="H7" s="212"/>
      <c r="I7" s="517"/>
      <c r="J7" s="517"/>
      <c r="K7" s="517"/>
      <c r="L7" s="517"/>
      <c r="M7" s="213"/>
    </row>
    <row r="8" spans="1:13" s="16" customFormat="1" ht="12.75">
      <c r="A8" s="521" t="s">
        <v>202</v>
      </c>
      <c r="B8" s="521" t="s">
        <v>482</v>
      </c>
      <c r="C8" s="521" t="s">
        <v>174</v>
      </c>
      <c r="D8" s="513" t="s">
        <v>214</v>
      </c>
      <c r="E8" s="513" t="s">
        <v>312</v>
      </c>
      <c r="F8" s="513" t="s">
        <v>313</v>
      </c>
      <c r="G8" s="513" t="s">
        <v>215</v>
      </c>
      <c r="H8" s="518"/>
      <c r="I8" s="513" t="s">
        <v>214</v>
      </c>
      <c r="J8" s="513" t="s">
        <v>312</v>
      </c>
      <c r="K8" s="513" t="s">
        <v>313</v>
      </c>
      <c r="L8" s="513" t="s">
        <v>215</v>
      </c>
      <c r="M8" s="513" t="s">
        <v>216</v>
      </c>
    </row>
    <row r="9" spans="1:17" s="16" customFormat="1" ht="51">
      <c r="A9" s="522"/>
      <c r="B9" s="522"/>
      <c r="C9" s="522"/>
      <c r="D9" s="514" t="s">
        <v>250</v>
      </c>
      <c r="E9" s="514" t="s">
        <v>312</v>
      </c>
      <c r="F9" s="514"/>
      <c r="G9" s="514"/>
      <c r="H9" s="518"/>
      <c r="I9" s="514" t="s">
        <v>250</v>
      </c>
      <c r="J9" s="514" t="s">
        <v>312</v>
      </c>
      <c r="K9" s="514"/>
      <c r="L9" s="514"/>
      <c r="M9" s="514"/>
      <c r="O9" s="16" t="s">
        <v>868</v>
      </c>
      <c r="P9" s="402" t="s">
        <v>856</v>
      </c>
      <c r="Q9" s="16" t="s">
        <v>869</v>
      </c>
    </row>
    <row r="10" spans="1:16" s="16" customFormat="1" ht="12.75">
      <c r="A10" s="241" t="s">
        <v>203</v>
      </c>
      <c r="B10" s="484">
        <v>1610</v>
      </c>
      <c r="C10" s="485" t="s">
        <v>848</v>
      </c>
      <c r="D10" s="486">
        <f>+'FA Continuity MIFRS 2011'!G10</f>
        <v>0</v>
      </c>
      <c r="E10" s="487"/>
      <c r="F10" s="488"/>
      <c r="G10" s="489">
        <f>D10+E10-F10</f>
        <v>0</v>
      </c>
      <c r="H10" s="518"/>
      <c r="I10" s="489">
        <f>+'FA Continuity MIFRS 2011'!L10</f>
        <v>0</v>
      </c>
      <c r="J10" s="490"/>
      <c r="K10" s="489"/>
      <c r="L10" s="489">
        <f>I10+J10-K10</f>
        <v>0</v>
      </c>
      <c r="M10" s="489">
        <f>G10-L10</f>
        <v>0</v>
      </c>
      <c r="P10" s="402">
        <f>(L10+I10)/2</f>
        <v>0</v>
      </c>
    </row>
    <row r="11" spans="1:16" ht="12.75">
      <c r="A11" s="241" t="s">
        <v>203</v>
      </c>
      <c r="B11" s="484">
        <v>1805</v>
      </c>
      <c r="C11" s="485" t="s">
        <v>513</v>
      </c>
      <c r="D11" s="486">
        <f>'MIFRS 2012'!E10</f>
        <v>84205.25</v>
      </c>
      <c r="E11" s="487">
        <f>'MIFRS 2012'!F10</f>
        <v>0</v>
      </c>
      <c r="F11" s="489"/>
      <c r="G11" s="489">
        <f aca="true" t="shared" si="0" ref="G11:G46">D11+E11-F11</f>
        <v>84205.25</v>
      </c>
      <c r="H11" s="518"/>
      <c r="I11" s="489">
        <f>+'FA Continuity MIFRS 2011'!L11</f>
        <v>0</v>
      </c>
      <c r="J11" s="490"/>
      <c r="K11" s="489"/>
      <c r="L11" s="489">
        <f aca="true" t="shared" si="1" ref="L11:L46">I11+J11-K11</f>
        <v>0</v>
      </c>
      <c r="M11" s="489">
        <f aca="true" t="shared" si="2" ref="M11:M46">G11-L11</f>
        <v>84205.25</v>
      </c>
      <c r="N11" s="237"/>
      <c r="O11" s="237"/>
      <c r="P11" s="402">
        <f aca="true" t="shared" si="3" ref="P11:P50">(L11+I11)/2</f>
        <v>0</v>
      </c>
    </row>
    <row r="12" spans="1:16" ht="12.75">
      <c r="A12" s="241" t="s">
        <v>470</v>
      </c>
      <c r="B12" s="484">
        <v>1806</v>
      </c>
      <c r="C12" s="485" t="s">
        <v>514</v>
      </c>
      <c r="D12" s="486">
        <f>'MIFRS 2012'!E11</f>
        <v>0</v>
      </c>
      <c r="E12" s="487">
        <f>'MIFRS 2012'!F11</f>
        <v>0</v>
      </c>
      <c r="F12" s="488"/>
      <c r="G12" s="489">
        <f t="shared" si="0"/>
        <v>0</v>
      </c>
      <c r="H12" s="518"/>
      <c r="I12" s="489">
        <f>+'FA Continuity MIFRS 2011'!L12</f>
        <v>0</v>
      </c>
      <c r="J12" s="490"/>
      <c r="K12" s="489"/>
      <c r="L12" s="489">
        <f t="shared" si="1"/>
        <v>0</v>
      </c>
      <c r="M12" s="489">
        <f t="shared" si="2"/>
        <v>0</v>
      </c>
      <c r="N12" s="237"/>
      <c r="O12" s="237"/>
      <c r="P12" s="402">
        <f t="shared" si="3"/>
        <v>0</v>
      </c>
    </row>
    <row r="13" spans="1:17" ht="12.75">
      <c r="A13" s="241">
        <v>47</v>
      </c>
      <c r="B13" s="484">
        <v>1808</v>
      </c>
      <c r="C13" s="485" t="s">
        <v>607</v>
      </c>
      <c r="D13" s="486">
        <f>'MIFRS 2012'!E12</f>
        <v>82287.41</v>
      </c>
      <c r="E13" s="487">
        <f>'MIFRS 2012'!F12</f>
        <v>7690</v>
      </c>
      <c r="F13" s="488"/>
      <c r="G13" s="489">
        <f t="shared" si="0"/>
        <v>89977.41</v>
      </c>
      <c r="H13" s="518"/>
      <c r="I13" s="489">
        <f>+'FA Continuity MIFRS 2011'!L13</f>
        <v>8293.768199999999</v>
      </c>
      <c r="J13" s="490">
        <f>'MIFRS 2012'!L12</f>
        <v>1723</v>
      </c>
      <c r="K13" s="489"/>
      <c r="L13" s="489">
        <f t="shared" si="1"/>
        <v>10016.768199999999</v>
      </c>
      <c r="M13" s="489">
        <f t="shared" si="2"/>
        <v>79960.64180000001</v>
      </c>
      <c r="N13" s="237"/>
      <c r="O13" s="237">
        <f>+(D13-I13)/50+((E13/2)/50)</f>
        <v>1556.7728360000003</v>
      </c>
      <c r="P13" s="402">
        <f t="shared" si="3"/>
        <v>9155.268199999999</v>
      </c>
      <c r="Q13">
        <v>21588</v>
      </c>
    </row>
    <row r="14" spans="1:16" ht="12.75">
      <c r="A14" s="241">
        <v>13</v>
      </c>
      <c r="B14" s="484">
        <v>1810</v>
      </c>
      <c r="C14" s="485" t="s">
        <v>511</v>
      </c>
      <c r="D14" s="486">
        <f>'MIFRS 2012'!E13</f>
        <v>0</v>
      </c>
      <c r="E14" s="487">
        <f>'MIFRS 2012'!F13</f>
        <v>0</v>
      </c>
      <c r="F14" s="488"/>
      <c r="G14" s="489">
        <f t="shared" si="0"/>
        <v>0</v>
      </c>
      <c r="H14" s="518"/>
      <c r="I14" s="489">
        <f>+'FA Continuity MIFRS 2011'!L14</f>
        <v>0</v>
      </c>
      <c r="J14" s="490"/>
      <c r="K14" s="489"/>
      <c r="L14" s="489">
        <f t="shared" si="1"/>
        <v>0</v>
      </c>
      <c r="M14" s="489">
        <f t="shared" si="2"/>
        <v>0</v>
      </c>
      <c r="O14" s="237"/>
      <c r="P14" s="402">
        <f t="shared" si="3"/>
        <v>0</v>
      </c>
    </row>
    <row r="15" spans="1:16" ht="12.75">
      <c r="A15" s="241">
        <v>47</v>
      </c>
      <c r="B15" s="484">
        <v>1820</v>
      </c>
      <c r="C15" s="485" t="s">
        <v>899</v>
      </c>
      <c r="D15" s="486">
        <f>'MIFRS 2012'!E14</f>
        <v>326991.85000000003</v>
      </c>
      <c r="E15" s="487">
        <f>'MIFRS 2012'!F14</f>
        <v>15000</v>
      </c>
      <c r="F15" s="488"/>
      <c r="G15" s="489">
        <f t="shared" si="0"/>
        <v>341991.85000000003</v>
      </c>
      <c r="H15" s="518"/>
      <c r="I15" s="489">
        <f>'MIFRS 2012'!K14</f>
        <v>64898.64</v>
      </c>
      <c r="J15" s="490">
        <f>'MIFRS 2012'!L14</f>
        <v>13380</v>
      </c>
      <c r="K15" s="489"/>
      <c r="L15" s="489">
        <f t="shared" si="1"/>
        <v>78278.64</v>
      </c>
      <c r="M15" s="489">
        <f t="shared" si="2"/>
        <v>263713.21</v>
      </c>
      <c r="N15" s="237"/>
      <c r="O15" s="237"/>
      <c r="P15" s="402">
        <f t="shared" si="3"/>
        <v>71588.64</v>
      </c>
    </row>
    <row r="16" spans="1:17" ht="12.75">
      <c r="A16" s="241">
        <v>47</v>
      </c>
      <c r="B16" s="484">
        <v>1820</v>
      </c>
      <c r="C16" s="485" t="s">
        <v>609</v>
      </c>
      <c r="D16" s="486">
        <f>'MIFRS 2012'!E15</f>
        <v>397892.04</v>
      </c>
      <c r="E16" s="487">
        <f>'MIFRS 2012'!F15</f>
        <v>20000</v>
      </c>
      <c r="F16" s="488"/>
      <c r="G16" s="489">
        <f t="shared" si="0"/>
        <v>417892.04</v>
      </c>
      <c r="H16" s="518"/>
      <c r="I16" s="489">
        <f>'MIFRS 2012'!K15</f>
        <v>138809.59</v>
      </c>
      <c r="J16" s="490">
        <f>'MIFRS 2012'!L15</f>
        <v>9064</v>
      </c>
      <c r="K16" s="489"/>
      <c r="L16" s="489">
        <f t="shared" si="1"/>
        <v>147873.59</v>
      </c>
      <c r="M16" s="489">
        <f t="shared" si="2"/>
        <v>270018.44999999995</v>
      </c>
      <c r="O16" s="237">
        <f>+(D16-I16)/30+((E16/2)/30)</f>
        <v>8969.415</v>
      </c>
      <c r="P16" s="402">
        <f t="shared" si="3"/>
        <v>143341.59</v>
      </c>
      <c r="Q16">
        <v>121503</v>
      </c>
    </row>
    <row r="17" spans="1:16" ht="12.75">
      <c r="A17" s="241">
        <v>47</v>
      </c>
      <c r="B17" s="484">
        <v>1860</v>
      </c>
      <c r="C17" s="485" t="s">
        <v>874</v>
      </c>
      <c r="D17" s="486">
        <f>'MIFRS 2012'!E16</f>
        <v>1294089.5199999998</v>
      </c>
      <c r="E17" s="487">
        <f>'MIFRS 2012'!F16</f>
        <v>0</v>
      </c>
      <c r="F17" s="488"/>
      <c r="G17" s="489">
        <f t="shared" si="0"/>
        <v>1294089.5199999998</v>
      </c>
      <c r="H17" s="518"/>
      <c r="I17" s="489">
        <f>+'FA Continuity MIFRS 2011'!L17</f>
        <v>220714.74199999994</v>
      </c>
      <c r="J17" s="489">
        <f>'[4]5. SM_Rev_Reqt'!$S$58</f>
        <v>110121.45333333331</v>
      </c>
      <c r="K17" s="489"/>
      <c r="L17" s="489">
        <f t="shared" si="1"/>
        <v>330836.1953333332</v>
      </c>
      <c r="M17" s="489">
        <f t="shared" si="2"/>
        <v>963253.3246666666</v>
      </c>
      <c r="N17" s="237"/>
      <c r="O17" s="237"/>
      <c r="P17" s="402">
        <f t="shared" si="3"/>
        <v>275775.4686666666</v>
      </c>
    </row>
    <row r="18" spans="1:17" ht="12.75">
      <c r="A18" s="241">
        <v>47</v>
      </c>
      <c r="B18" s="484">
        <v>1830</v>
      </c>
      <c r="C18" s="485" t="s">
        <v>610</v>
      </c>
      <c r="D18" s="486">
        <f>'MIFRS 2012'!E17</f>
        <v>502091.9</v>
      </c>
      <c r="E18" s="487">
        <f>'MIFRS 2012'!F17</f>
        <v>72310</v>
      </c>
      <c r="F18" s="489"/>
      <c r="G18" s="489">
        <f t="shared" si="0"/>
        <v>574401.9</v>
      </c>
      <c r="H18" s="518"/>
      <c r="I18" s="489">
        <f>+'FA Continuity MIFRS 2011'!L18</f>
        <v>94687.61222222223</v>
      </c>
      <c r="J18" s="490">
        <f>'MIFRS 2012'!L17</f>
        <v>11961</v>
      </c>
      <c r="K18" s="489"/>
      <c r="L18" s="489">
        <f t="shared" si="1"/>
        <v>106648.61222222223</v>
      </c>
      <c r="M18" s="489">
        <f t="shared" si="2"/>
        <v>467753.28777777776</v>
      </c>
      <c r="N18" s="237"/>
      <c r="O18" s="237">
        <f>+(D18-I18)/25+((E18/2)/25)</f>
        <v>17742.37151111111</v>
      </c>
      <c r="P18" s="402">
        <f t="shared" si="3"/>
        <v>100668.11222222223</v>
      </c>
      <c r="Q18">
        <v>61093</v>
      </c>
    </row>
    <row r="19" spans="1:17" ht="12.75">
      <c r="A19" s="241">
        <v>47</v>
      </c>
      <c r="B19" s="484">
        <v>1835</v>
      </c>
      <c r="C19" s="485" t="s">
        <v>611</v>
      </c>
      <c r="D19" s="486">
        <f>'MIFRS 2012'!E18</f>
        <v>1839430.1</v>
      </c>
      <c r="E19" s="487">
        <f>'MIFRS 2012'!F18</f>
        <v>50000</v>
      </c>
      <c r="F19" s="489"/>
      <c r="G19" s="489">
        <f t="shared" si="0"/>
        <v>1889430.1</v>
      </c>
      <c r="H19" s="518"/>
      <c r="I19" s="489">
        <f>+'FA Continuity MIFRS 2011'!L19</f>
        <v>659734.3883333334</v>
      </c>
      <c r="J19" s="490">
        <f>'MIFRS 2012'!L18</f>
        <v>31074</v>
      </c>
      <c r="K19" s="489"/>
      <c r="L19" s="489">
        <f t="shared" si="1"/>
        <v>690808.3883333334</v>
      </c>
      <c r="M19" s="489">
        <f t="shared" si="2"/>
        <v>1198621.7116666667</v>
      </c>
      <c r="N19" s="237"/>
      <c r="O19" s="237">
        <f aca="true" t="shared" si="4" ref="O19:O24">+(D19-I19)/25+((E19/2)/25)</f>
        <v>48187.828466666666</v>
      </c>
      <c r="P19" s="402">
        <f t="shared" si="3"/>
        <v>675271.3883333334</v>
      </c>
      <c r="Q19">
        <v>268835</v>
      </c>
    </row>
    <row r="20" spans="1:17" ht="12.75">
      <c r="A20" s="241">
        <v>47</v>
      </c>
      <c r="B20" s="484">
        <v>1840</v>
      </c>
      <c r="C20" s="485" t="s">
        <v>612</v>
      </c>
      <c r="D20" s="486">
        <f>'MIFRS 2012'!E19</f>
        <v>36862.350000000035</v>
      </c>
      <c r="E20" s="487">
        <f>'MIFRS 2012'!F19</f>
        <v>0</v>
      </c>
      <c r="F20" s="489"/>
      <c r="G20" s="489">
        <f t="shared" si="0"/>
        <v>36862.350000000035</v>
      </c>
      <c r="H20" s="518"/>
      <c r="I20" s="489">
        <f>+'FA Continuity MIFRS 2011'!L20</f>
        <v>10413.709999999963</v>
      </c>
      <c r="J20" s="490">
        <f>'MIFRS 2012'!L19</f>
        <v>737</v>
      </c>
      <c r="K20" s="489"/>
      <c r="L20" s="489">
        <f t="shared" si="1"/>
        <v>11150.709999999963</v>
      </c>
      <c r="M20" s="489">
        <f t="shared" si="2"/>
        <v>25711.640000000072</v>
      </c>
      <c r="N20" s="237"/>
      <c r="O20" s="237">
        <f t="shared" si="4"/>
        <v>1057.945600000003</v>
      </c>
      <c r="P20" s="402">
        <f t="shared" si="3"/>
        <v>10782.209999999963</v>
      </c>
      <c r="Q20">
        <v>47128</v>
      </c>
    </row>
    <row r="21" spans="1:17" ht="12.75">
      <c r="A21" s="241">
        <v>47</v>
      </c>
      <c r="B21" s="484">
        <v>1845</v>
      </c>
      <c r="C21" s="485" t="s">
        <v>613</v>
      </c>
      <c r="D21" s="486">
        <f>'MIFRS 2012'!E20</f>
        <v>797248.3200000001</v>
      </c>
      <c r="E21" s="487">
        <f>'MIFRS 2012'!F20</f>
        <v>20000</v>
      </c>
      <c r="F21" s="489"/>
      <c r="G21" s="489">
        <f t="shared" si="0"/>
        <v>817248.3200000001</v>
      </c>
      <c r="H21" s="518"/>
      <c r="I21" s="489">
        <f>+'FA Continuity MIFRS 2011'!L21</f>
        <v>293470.33</v>
      </c>
      <c r="J21" s="490">
        <f>'MIFRS 2012'!L20</f>
        <v>20181</v>
      </c>
      <c r="K21" s="489"/>
      <c r="L21" s="489">
        <f t="shared" si="1"/>
        <v>313651.33</v>
      </c>
      <c r="M21" s="489">
        <f t="shared" si="2"/>
        <v>503596.99000000005</v>
      </c>
      <c r="N21" s="237"/>
      <c r="O21" s="237">
        <f t="shared" si="4"/>
        <v>20551.1196</v>
      </c>
      <c r="P21" s="402">
        <f t="shared" si="3"/>
        <v>303560.83</v>
      </c>
      <c r="Q21">
        <v>121478</v>
      </c>
    </row>
    <row r="22" spans="1:17" ht="12.75">
      <c r="A22" s="241">
        <v>47</v>
      </c>
      <c r="B22" s="484">
        <v>1850</v>
      </c>
      <c r="C22" s="485" t="s">
        <v>512</v>
      </c>
      <c r="D22" s="486">
        <f>'MIFRS 2012'!E21</f>
        <v>1031223.28</v>
      </c>
      <c r="E22" s="487">
        <f>'MIFRS 2012'!F21</f>
        <v>60000</v>
      </c>
      <c r="F22" s="489"/>
      <c r="G22" s="489">
        <f t="shared" si="0"/>
        <v>1091223.28</v>
      </c>
      <c r="H22" s="518"/>
      <c r="I22" s="489">
        <f>+'FA Continuity MIFRS 2011'!L22</f>
        <v>295255.25</v>
      </c>
      <c r="J22" s="490">
        <f>'MIFRS 2012'!L21</f>
        <v>23583</v>
      </c>
      <c r="K22" s="489"/>
      <c r="L22" s="489">
        <f t="shared" si="1"/>
        <v>318838.25</v>
      </c>
      <c r="M22" s="489">
        <f t="shared" si="2"/>
        <v>772385.03</v>
      </c>
      <c r="N22" s="237"/>
      <c r="O22" s="237">
        <f t="shared" si="4"/>
        <v>30638.7212</v>
      </c>
      <c r="P22" s="402">
        <f t="shared" si="3"/>
        <v>307046.75</v>
      </c>
      <c r="Q22">
        <v>213646</v>
      </c>
    </row>
    <row r="23" spans="1:17" ht="12.75">
      <c r="A23" s="241">
        <v>47</v>
      </c>
      <c r="B23" s="484">
        <v>1855</v>
      </c>
      <c r="C23" s="485" t="s">
        <v>538</v>
      </c>
      <c r="D23" s="486">
        <f>'MIFRS 2012'!E22</f>
        <v>281636.54</v>
      </c>
      <c r="E23" s="487">
        <f>'MIFRS 2012'!F22</f>
        <v>20000</v>
      </c>
      <c r="F23" s="489"/>
      <c r="G23" s="489">
        <f t="shared" si="0"/>
        <v>301636.54</v>
      </c>
      <c r="H23" s="518"/>
      <c r="I23" s="489">
        <f>+'FA Continuity MIFRS 2011'!L23</f>
        <v>49116.030000000006</v>
      </c>
      <c r="J23" s="490">
        <f>'MIFRS 2012'!L22</f>
        <v>4861</v>
      </c>
      <c r="K23" s="489"/>
      <c r="L23" s="489">
        <f t="shared" si="1"/>
        <v>53977.030000000006</v>
      </c>
      <c r="M23" s="489">
        <f t="shared" si="2"/>
        <v>247659.50999999998</v>
      </c>
      <c r="N23" s="237"/>
      <c r="O23" s="237">
        <f t="shared" si="4"/>
        <v>9700.820399999999</v>
      </c>
      <c r="P23" s="402">
        <f t="shared" si="3"/>
        <v>51546.530000000006</v>
      </c>
      <c r="Q23">
        <v>21575</v>
      </c>
    </row>
    <row r="24" spans="1:17" ht="12.75">
      <c r="A24" s="241">
        <v>47</v>
      </c>
      <c r="B24" s="484">
        <v>1860</v>
      </c>
      <c r="C24" s="485" t="s">
        <v>539</v>
      </c>
      <c r="D24" s="486">
        <f>'MIFRS 2012'!E23</f>
        <v>176154.75999999995</v>
      </c>
      <c r="E24" s="487">
        <f>'MIFRS 2012'!F23</f>
        <v>40000</v>
      </c>
      <c r="F24" s="489"/>
      <c r="G24" s="489">
        <f t="shared" si="0"/>
        <v>216154.75999999995</v>
      </c>
      <c r="H24" s="518"/>
      <c r="I24" s="489">
        <f>+'FA Continuity MIFRS 2011'!L24</f>
        <v>30865.578740113764</v>
      </c>
      <c r="J24" s="490">
        <f>'MIFRS 2012'!L23</f>
        <v>7846</v>
      </c>
      <c r="K24" s="489"/>
      <c r="L24" s="489">
        <f t="shared" si="1"/>
        <v>38711.578740113764</v>
      </c>
      <c r="M24" s="489">
        <f t="shared" si="2"/>
        <v>177443.1812598862</v>
      </c>
      <c r="N24" s="237"/>
      <c r="O24" s="237">
        <f t="shared" si="4"/>
        <v>6611.567250395447</v>
      </c>
      <c r="P24" s="402">
        <f t="shared" si="3"/>
        <v>34788.578740113764</v>
      </c>
      <c r="Q24">
        <v>36185</v>
      </c>
    </row>
    <row r="25" spans="1:16" ht="12.75">
      <c r="A25" s="241" t="s">
        <v>203</v>
      </c>
      <c r="B25" s="484">
        <v>1865</v>
      </c>
      <c r="C25" s="485" t="s">
        <v>614</v>
      </c>
      <c r="D25" s="486">
        <f>'MIFRS 2012'!E24</f>
        <v>0</v>
      </c>
      <c r="E25" s="487">
        <f>'MIFRS 2012'!F24</f>
        <v>0</v>
      </c>
      <c r="F25" s="489"/>
      <c r="G25" s="489">
        <f t="shared" si="0"/>
        <v>0</v>
      </c>
      <c r="H25" s="518"/>
      <c r="I25" s="489">
        <f>+'FA Continuity MIFRS 2011'!L25</f>
        <v>0</v>
      </c>
      <c r="J25" s="490"/>
      <c r="K25" s="489"/>
      <c r="L25" s="489">
        <f t="shared" si="1"/>
        <v>0</v>
      </c>
      <c r="M25" s="489">
        <f t="shared" si="2"/>
        <v>0</v>
      </c>
      <c r="N25" s="237"/>
      <c r="O25" s="237"/>
      <c r="P25" s="402">
        <f t="shared" si="3"/>
        <v>0</v>
      </c>
    </row>
    <row r="26" spans="1:16" ht="12.75">
      <c r="A26" s="241" t="s">
        <v>203</v>
      </c>
      <c r="B26" s="484">
        <v>1905</v>
      </c>
      <c r="C26" s="485" t="s">
        <v>513</v>
      </c>
      <c r="D26" s="486">
        <f>'MIFRS 2012'!E25</f>
        <v>0</v>
      </c>
      <c r="E26" s="487">
        <f>'MIFRS 2012'!F25</f>
        <v>0</v>
      </c>
      <c r="F26" s="489"/>
      <c r="G26" s="489">
        <f t="shared" si="0"/>
        <v>0</v>
      </c>
      <c r="H26" s="518"/>
      <c r="I26" s="489">
        <f>+'FA Continuity MIFRS 2011'!L26</f>
        <v>0</v>
      </c>
      <c r="J26" s="490"/>
      <c r="K26" s="489"/>
      <c r="L26" s="489">
        <f t="shared" si="1"/>
        <v>0</v>
      </c>
      <c r="M26" s="489">
        <f t="shared" si="2"/>
        <v>0</v>
      </c>
      <c r="N26" s="237"/>
      <c r="O26" s="237"/>
      <c r="P26" s="402">
        <f t="shared" si="3"/>
        <v>0</v>
      </c>
    </row>
    <row r="27" spans="1:16" ht="12.75">
      <c r="A27" s="241" t="s">
        <v>470</v>
      </c>
      <c r="B27" s="484">
        <v>1906</v>
      </c>
      <c r="C27" s="485" t="s">
        <v>514</v>
      </c>
      <c r="D27" s="486">
        <f>'MIFRS 2012'!E26</f>
        <v>0</v>
      </c>
      <c r="E27" s="487">
        <f>'MIFRS 2012'!F26</f>
        <v>0</v>
      </c>
      <c r="F27" s="489"/>
      <c r="G27" s="489">
        <f t="shared" si="0"/>
        <v>0</v>
      </c>
      <c r="H27" s="518"/>
      <c r="I27" s="489">
        <f>+'FA Continuity MIFRS 2011'!L27</f>
        <v>0</v>
      </c>
      <c r="J27" s="490"/>
      <c r="K27" s="489"/>
      <c r="L27" s="489">
        <f t="shared" si="1"/>
        <v>0</v>
      </c>
      <c r="M27" s="489">
        <f t="shared" si="2"/>
        <v>0</v>
      </c>
      <c r="N27" s="237"/>
      <c r="O27" s="237"/>
      <c r="P27" s="402">
        <f t="shared" si="3"/>
        <v>0</v>
      </c>
    </row>
    <row r="28" spans="1:16" ht="12.75">
      <c r="A28" s="241">
        <v>47</v>
      </c>
      <c r="B28" s="484">
        <v>1908</v>
      </c>
      <c r="C28" s="485" t="s">
        <v>607</v>
      </c>
      <c r="D28" s="486">
        <f>'MIFRS 2012'!E27</f>
        <v>0</v>
      </c>
      <c r="E28" s="487">
        <f>'MIFRS 2012'!F27</f>
        <v>0</v>
      </c>
      <c r="F28" s="489"/>
      <c r="G28" s="489">
        <f t="shared" si="0"/>
        <v>0</v>
      </c>
      <c r="H28" s="518"/>
      <c r="I28" s="489">
        <f>+'FA Continuity MIFRS 2011'!L28</f>
        <v>0</v>
      </c>
      <c r="J28" s="490"/>
      <c r="K28" s="489"/>
      <c r="L28" s="489">
        <f t="shared" si="1"/>
        <v>0</v>
      </c>
      <c r="M28" s="489">
        <f t="shared" si="2"/>
        <v>0</v>
      </c>
      <c r="N28" s="237"/>
      <c r="O28" s="237"/>
      <c r="P28" s="402">
        <f t="shared" si="3"/>
        <v>0</v>
      </c>
    </row>
    <row r="29" spans="1:16" ht="12.75">
      <c r="A29" s="241">
        <v>13</v>
      </c>
      <c r="B29" s="484">
        <v>1910</v>
      </c>
      <c r="C29" s="485" t="s">
        <v>511</v>
      </c>
      <c r="D29" s="486">
        <f>'MIFRS 2012'!E28</f>
        <v>8796.45</v>
      </c>
      <c r="E29" s="487">
        <f>'MIFRS 2012'!F28</f>
        <v>0</v>
      </c>
      <c r="F29" s="489"/>
      <c r="G29" s="489">
        <f t="shared" si="0"/>
        <v>8796.45</v>
      </c>
      <c r="H29" s="518"/>
      <c r="I29" s="489">
        <f>+'FA Continuity MIFRS 2011'!L29</f>
        <v>3078.765</v>
      </c>
      <c r="J29" s="490">
        <f>'MIFRS 2012'!L28</f>
        <v>880</v>
      </c>
      <c r="K29" s="489"/>
      <c r="L29" s="489">
        <f t="shared" si="1"/>
        <v>3958.765</v>
      </c>
      <c r="M29" s="489">
        <f t="shared" si="2"/>
        <v>4837.685000000001</v>
      </c>
      <c r="N29" s="237"/>
      <c r="O29" s="237"/>
      <c r="P29" s="402">
        <f t="shared" si="3"/>
        <v>3518.765</v>
      </c>
    </row>
    <row r="30" spans="1:17" ht="12.75">
      <c r="A30" s="241">
        <v>8</v>
      </c>
      <c r="B30" s="484">
        <v>1915</v>
      </c>
      <c r="C30" s="485" t="s">
        <v>615</v>
      </c>
      <c r="D30" s="486">
        <f>'MIFRS 2012'!E29</f>
        <v>0</v>
      </c>
      <c r="E30" s="487">
        <f>'MIFRS 2012'!F29</f>
        <v>0</v>
      </c>
      <c r="F30" s="489"/>
      <c r="G30" s="489">
        <f t="shared" si="0"/>
        <v>0</v>
      </c>
      <c r="H30" s="518"/>
      <c r="I30" s="489">
        <f>+'FA Continuity MIFRS 2011'!L30</f>
        <v>0</v>
      </c>
      <c r="J30" s="490"/>
      <c r="K30" s="489"/>
      <c r="L30" s="489">
        <f t="shared" si="1"/>
        <v>0</v>
      </c>
      <c r="M30" s="489">
        <f t="shared" si="2"/>
        <v>0</v>
      </c>
      <c r="N30" s="237"/>
      <c r="O30" s="237">
        <f>+(D30-I30)/10+((E30/2)/10)</f>
        <v>0</v>
      </c>
      <c r="P30" s="402">
        <f t="shared" si="3"/>
        <v>0</v>
      </c>
      <c r="Q30">
        <v>8703</v>
      </c>
    </row>
    <row r="31" spans="1:17" ht="12.75">
      <c r="A31" s="241">
        <v>10</v>
      </c>
      <c r="B31" s="484">
        <v>1920</v>
      </c>
      <c r="C31" s="485" t="s">
        <v>616</v>
      </c>
      <c r="D31" s="486">
        <f>'MIFRS 2012'!E30</f>
        <v>163687.65999999997</v>
      </c>
      <c r="E31" s="487">
        <f>'MIFRS 2012'!F30</f>
        <v>20000</v>
      </c>
      <c r="F31" s="489"/>
      <c r="G31" s="489">
        <f t="shared" si="0"/>
        <v>183687.65999999997</v>
      </c>
      <c r="H31" s="518"/>
      <c r="I31" s="489">
        <f>+'FA Continuity MIFRS 2011'!L31</f>
        <v>127136.628</v>
      </c>
      <c r="J31" s="490">
        <f>'MIFRS 2012'!L30</f>
        <v>16226</v>
      </c>
      <c r="K31" s="489"/>
      <c r="L31" s="489">
        <f t="shared" si="1"/>
        <v>143362.628</v>
      </c>
      <c r="M31" s="489">
        <f t="shared" si="2"/>
        <v>40325.03199999998</v>
      </c>
      <c r="N31" s="237"/>
      <c r="O31" s="237">
        <f>+(D31-I31)/5+((E31/2)/5)</f>
        <v>9310.206399999995</v>
      </c>
      <c r="P31" s="402">
        <f t="shared" si="3"/>
        <v>135249.628</v>
      </c>
      <c r="Q31">
        <v>24551</v>
      </c>
    </row>
    <row r="32" spans="1:17" ht="12.75">
      <c r="A32" s="241">
        <v>12</v>
      </c>
      <c r="B32" s="484">
        <v>1925</v>
      </c>
      <c r="C32" s="485" t="s">
        <v>505</v>
      </c>
      <c r="D32" s="486">
        <f>'MIFRS 2012'!E31</f>
        <v>164826.66</v>
      </c>
      <c r="E32" s="487">
        <f>'MIFRS 2012'!F31</f>
        <v>50000</v>
      </c>
      <c r="F32" s="489"/>
      <c r="G32" s="489">
        <f t="shared" si="0"/>
        <v>214826.66</v>
      </c>
      <c r="H32" s="518"/>
      <c r="I32" s="489">
        <f>+'FA Continuity MIFRS 2011'!L32</f>
        <v>92250.092</v>
      </c>
      <c r="J32" s="490">
        <f>'MIFRS 2012'!L31</f>
        <v>35656</v>
      </c>
      <c r="K32" s="489"/>
      <c r="L32" s="489">
        <f t="shared" si="1"/>
        <v>127906.092</v>
      </c>
      <c r="M32" s="489">
        <f t="shared" si="2"/>
        <v>86920.568</v>
      </c>
      <c r="N32" s="237"/>
      <c r="O32" s="237">
        <f>+(D32-I32)/5+((E32/2)/5)</f>
        <v>19515.3136</v>
      </c>
      <c r="P32" s="402">
        <f t="shared" si="3"/>
        <v>110078.092</v>
      </c>
      <c r="Q32">
        <f>27378+25000</f>
        <v>52378</v>
      </c>
    </row>
    <row r="33" spans="1:17" ht="12.75">
      <c r="A33" s="241">
        <v>10</v>
      </c>
      <c r="B33" s="484">
        <v>1930</v>
      </c>
      <c r="C33" s="485" t="s">
        <v>515</v>
      </c>
      <c r="D33" s="486">
        <f>'MIFRS 2012'!E32</f>
        <v>627095.3799999999</v>
      </c>
      <c r="E33" s="487">
        <f>'MIFRS 2012'!F32</f>
        <v>0</v>
      </c>
      <c r="F33" s="489"/>
      <c r="G33" s="489">
        <f t="shared" si="0"/>
        <v>627095.3799999999</v>
      </c>
      <c r="H33" s="518"/>
      <c r="I33" s="489">
        <f>+'FA Continuity MIFRS 2011'!L33</f>
        <v>130419.53</v>
      </c>
      <c r="J33" s="490">
        <f>'MIFRS 2012'!L32</f>
        <v>78387</v>
      </c>
      <c r="K33" s="489"/>
      <c r="L33" s="489">
        <f t="shared" si="1"/>
        <v>208806.53</v>
      </c>
      <c r="M33" s="489">
        <f t="shared" si="2"/>
        <v>418288.84999999986</v>
      </c>
      <c r="N33" s="237"/>
      <c r="O33" s="237">
        <f>+(D33-I33)/5+((E33/2)/5)</f>
        <v>99335.16999999997</v>
      </c>
      <c r="P33" s="402">
        <f t="shared" si="3"/>
        <v>169613.03</v>
      </c>
      <c r="Q33">
        <v>94963</v>
      </c>
    </row>
    <row r="34" spans="1:16" ht="12.75">
      <c r="A34" s="241">
        <v>8</v>
      </c>
      <c r="B34" s="484">
        <v>1935</v>
      </c>
      <c r="C34" s="485" t="s">
        <v>516</v>
      </c>
      <c r="D34" s="486">
        <f>'MIFRS 2012'!E33</f>
        <v>0</v>
      </c>
      <c r="E34" s="487">
        <f>'MIFRS 2012'!F33</f>
        <v>0</v>
      </c>
      <c r="F34" s="489"/>
      <c r="G34" s="489">
        <f t="shared" si="0"/>
        <v>0</v>
      </c>
      <c r="H34" s="518"/>
      <c r="I34" s="489">
        <f>+'FA Continuity MIFRS 2011'!L34</f>
        <v>0</v>
      </c>
      <c r="J34" s="490">
        <f>'MIFRS 2012'!L33</f>
        <v>0</v>
      </c>
      <c r="K34" s="489"/>
      <c r="L34" s="489">
        <f t="shared" si="1"/>
        <v>0</v>
      </c>
      <c r="M34" s="489">
        <f t="shared" si="2"/>
        <v>0</v>
      </c>
      <c r="N34" s="237"/>
      <c r="O34" s="237"/>
      <c r="P34" s="402">
        <f t="shared" si="3"/>
        <v>0</v>
      </c>
    </row>
    <row r="35" spans="1:18" ht="12.75">
      <c r="A35" s="241">
        <v>8</v>
      </c>
      <c r="B35" s="484">
        <v>1940</v>
      </c>
      <c r="C35" s="485" t="s">
        <v>617</v>
      </c>
      <c r="D35" s="486">
        <f>'MIFRS 2012'!E34</f>
        <v>137983.96</v>
      </c>
      <c r="E35" s="487">
        <f>'MIFRS 2012'!F34</f>
        <v>10000</v>
      </c>
      <c r="F35" s="489"/>
      <c r="G35" s="489">
        <f t="shared" si="0"/>
        <v>147983.96</v>
      </c>
      <c r="H35" s="518"/>
      <c r="I35" s="489">
        <f>+'FA Continuity MIFRS 2011'!L35</f>
        <v>111145.87599999999</v>
      </c>
      <c r="J35" s="490">
        <f>'MIFRS 2012'!L34</f>
        <v>6741</v>
      </c>
      <c r="K35" s="489"/>
      <c r="L35" s="489">
        <f t="shared" si="1"/>
        <v>117886.87599999999</v>
      </c>
      <c r="M35" s="489">
        <f t="shared" si="2"/>
        <v>30097.084000000003</v>
      </c>
      <c r="N35" s="237"/>
      <c r="O35" s="237">
        <f>+(D35-I35)/50+((E35/2)/50)</f>
        <v>636.7616800000001</v>
      </c>
      <c r="P35" s="402">
        <f t="shared" si="3"/>
        <v>114516.37599999999</v>
      </c>
      <c r="Q35">
        <f>20790+7500+5400</f>
        <v>33690</v>
      </c>
      <c r="R35" t="s">
        <v>870</v>
      </c>
    </row>
    <row r="36" spans="1:17" ht="12.75">
      <c r="A36" s="241">
        <v>8</v>
      </c>
      <c r="B36" s="484">
        <v>1945</v>
      </c>
      <c r="C36" s="485" t="s">
        <v>618</v>
      </c>
      <c r="D36" s="486">
        <f>'MIFRS 2012'!E35</f>
        <v>0</v>
      </c>
      <c r="E36" s="487">
        <f>'MIFRS 2012'!F35</f>
        <v>0</v>
      </c>
      <c r="F36" s="489"/>
      <c r="G36" s="489">
        <f t="shared" si="0"/>
        <v>0</v>
      </c>
      <c r="H36" s="518"/>
      <c r="I36" s="489">
        <f>+'FA Continuity MIFRS 2011'!L36</f>
        <v>0</v>
      </c>
      <c r="J36" s="490">
        <f>'FA Continuity 2010'!J36+('FA Continuity MIFRS 2011'!E36/25)+('FA Continuity 2012'!E36/25/2)</f>
        <v>0</v>
      </c>
      <c r="K36" s="489"/>
      <c r="L36" s="489">
        <f t="shared" si="1"/>
        <v>0</v>
      </c>
      <c r="M36" s="489">
        <f t="shared" si="2"/>
        <v>0</v>
      </c>
      <c r="N36" s="237"/>
      <c r="O36" s="414">
        <f>+(D36-I36)/10+((E36/2)/10)</f>
        <v>0</v>
      </c>
      <c r="P36" s="402">
        <f t="shared" si="3"/>
        <v>0</v>
      </c>
      <c r="Q36">
        <v>1871</v>
      </c>
    </row>
    <row r="37" spans="1:16" ht="12.75">
      <c r="A37" s="241">
        <v>8</v>
      </c>
      <c r="B37" s="484">
        <v>1950</v>
      </c>
      <c r="C37" s="485" t="s">
        <v>619</v>
      </c>
      <c r="D37" s="486">
        <f>'MIFRS 2012'!E36</f>
        <v>0</v>
      </c>
      <c r="E37" s="487">
        <f>'MIFRS 2012'!F36</f>
        <v>0</v>
      </c>
      <c r="F37" s="489"/>
      <c r="G37" s="489">
        <f t="shared" si="0"/>
        <v>0</v>
      </c>
      <c r="H37" s="518"/>
      <c r="I37" s="489">
        <f>+'FA Continuity MIFRS 2011'!L37</f>
        <v>0</v>
      </c>
      <c r="J37" s="490">
        <f>'FA Continuity 2010'!J37+('FA Continuity MIFRS 2011'!E37/25)+('FA Continuity 2012'!E37/25/2)</f>
        <v>0</v>
      </c>
      <c r="K37" s="489"/>
      <c r="L37" s="489">
        <f t="shared" si="1"/>
        <v>0</v>
      </c>
      <c r="M37" s="489">
        <f t="shared" si="2"/>
        <v>0</v>
      </c>
      <c r="N37" s="237"/>
      <c r="O37" s="237"/>
      <c r="P37" s="402">
        <f t="shared" si="3"/>
        <v>0</v>
      </c>
    </row>
    <row r="38" spans="1:16" ht="12.75">
      <c r="A38" s="241">
        <v>8</v>
      </c>
      <c r="B38" s="484">
        <v>1955</v>
      </c>
      <c r="C38" s="485" t="s">
        <v>620</v>
      </c>
      <c r="D38" s="486">
        <f>'MIFRS 2012'!E37</f>
        <v>0</v>
      </c>
      <c r="E38" s="487">
        <f>'MIFRS 2012'!F37</f>
        <v>0</v>
      </c>
      <c r="F38" s="489"/>
      <c r="G38" s="489">
        <f t="shared" si="0"/>
        <v>0</v>
      </c>
      <c r="H38" s="518"/>
      <c r="I38" s="489">
        <f>+'FA Continuity MIFRS 2011'!L38</f>
        <v>0</v>
      </c>
      <c r="J38" s="490">
        <f>'FA Continuity 2010'!J38+('FA Continuity MIFRS 2011'!E38/25)+('FA Continuity 2012'!E38/25/2)</f>
        <v>0</v>
      </c>
      <c r="K38" s="489"/>
      <c r="L38" s="489">
        <f t="shared" si="1"/>
        <v>0</v>
      </c>
      <c r="M38" s="489">
        <f t="shared" si="2"/>
        <v>0</v>
      </c>
      <c r="N38" s="237"/>
      <c r="O38" s="237"/>
      <c r="P38" s="402">
        <f t="shared" si="3"/>
        <v>0</v>
      </c>
    </row>
    <row r="39" spans="1:16" ht="12.75">
      <c r="A39" s="241">
        <v>8</v>
      </c>
      <c r="B39" s="484">
        <v>1960</v>
      </c>
      <c r="C39" s="485" t="s">
        <v>517</v>
      </c>
      <c r="D39" s="486">
        <f>'MIFRS 2012'!E38</f>
        <v>0</v>
      </c>
      <c r="E39" s="487">
        <f>'MIFRS 2012'!F38</f>
        <v>0</v>
      </c>
      <c r="F39" s="489"/>
      <c r="G39" s="489">
        <f t="shared" si="0"/>
        <v>0</v>
      </c>
      <c r="H39" s="518"/>
      <c r="I39" s="489">
        <f>+'FA Continuity MIFRS 2011'!L39</f>
        <v>0</v>
      </c>
      <c r="J39" s="490">
        <f>'FA Continuity 2010'!J39+('FA Continuity MIFRS 2011'!E39/25)+('FA Continuity 2012'!E39/25/2)</f>
        <v>0</v>
      </c>
      <c r="K39" s="489"/>
      <c r="L39" s="489">
        <f t="shared" si="1"/>
        <v>0</v>
      </c>
      <c r="M39" s="489">
        <f t="shared" si="2"/>
        <v>0</v>
      </c>
      <c r="N39" s="237"/>
      <c r="O39" s="237"/>
      <c r="P39" s="402">
        <f t="shared" si="3"/>
        <v>0</v>
      </c>
    </row>
    <row r="40" spans="1:16" ht="12.75">
      <c r="A40" s="241">
        <v>47</v>
      </c>
      <c r="B40" s="484">
        <v>1970</v>
      </c>
      <c r="C40" s="485" t="s">
        <v>621</v>
      </c>
      <c r="D40" s="486">
        <f>'MIFRS 2012'!E39</f>
        <v>0</v>
      </c>
      <c r="E40" s="487">
        <f>'MIFRS 2012'!F39</f>
        <v>0</v>
      </c>
      <c r="F40" s="489"/>
      <c r="G40" s="489">
        <f t="shared" si="0"/>
        <v>0</v>
      </c>
      <c r="H40" s="518"/>
      <c r="I40" s="489">
        <f>+'FA Continuity MIFRS 2011'!L40</f>
        <v>0</v>
      </c>
      <c r="J40" s="490">
        <f>'FA Continuity 2010'!J40+('FA Continuity MIFRS 2011'!E40/25)+('FA Continuity 2012'!E40/25/2)</f>
        <v>0</v>
      </c>
      <c r="K40" s="489"/>
      <c r="L40" s="489">
        <f t="shared" si="1"/>
        <v>0</v>
      </c>
      <c r="M40" s="489">
        <f t="shared" si="2"/>
        <v>0</v>
      </c>
      <c r="N40" s="237"/>
      <c r="O40" s="237"/>
      <c r="P40" s="402">
        <f t="shared" si="3"/>
        <v>0</v>
      </c>
    </row>
    <row r="41" spans="1:16" ht="12.75">
      <c r="A41" s="241">
        <v>47</v>
      </c>
      <c r="B41" s="484">
        <v>1975</v>
      </c>
      <c r="C41" s="485" t="s">
        <v>622</v>
      </c>
      <c r="D41" s="486">
        <f>'MIFRS 2012'!E40</f>
        <v>0</v>
      </c>
      <c r="E41" s="487">
        <f>'MIFRS 2012'!F40</f>
        <v>0</v>
      </c>
      <c r="F41" s="489"/>
      <c r="G41" s="489">
        <f t="shared" si="0"/>
        <v>0</v>
      </c>
      <c r="H41" s="518"/>
      <c r="I41" s="489">
        <f>+'FA Continuity MIFRS 2011'!L41</f>
        <v>0</v>
      </c>
      <c r="J41" s="490">
        <f>'FA Continuity 2010'!J41+('FA Continuity MIFRS 2011'!E41/25)+('FA Continuity 2012'!E41/25/2)</f>
        <v>0</v>
      </c>
      <c r="K41" s="489"/>
      <c r="L41" s="489">
        <f t="shared" si="1"/>
        <v>0</v>
      </c>
      <c r="M41" s="489">
        <f t="shared" si="2"/>
        <v>0</v>
      </c>
      <c r="N41" s="237"/>
      <c r="O41" s="237"/>
      <c r="P41" s="402">
        <f t="shared" si="3"/>
        <v>0</v>
      </c>
    </row>
    <row r="42" spans="1:16" ht="12.75">
      <c r="A42" s="241">
        <v>47</v>
      </c>
      <c r="B42" s="484">
        <v>1980</v>
      </c>
      <c r="C42" s="485" t="s">
        <v>518</v>
      </c>
      <c r="D42" s="486">
        <f>'MIFRS 2012'!E41</f>
        <v>0</v>
      </c>
      <c r="E42" s="487">
        <f>'MIFRS 2012'!F41</f>
        <v>0</v>
      </c>
      <c r="F42" s="489"/>
      <c r="G42" s="489">
        <f t="shared" si="0"/>
        <v>0</v>
      </c>
      <c r="H42" s="518"/>
      <c r="I42" s="489">
        <f>+'FA Continuity MIFRS 2011'!L42</f>
        <v>0</v>
      </c>
      <c r="J42" s="490">
        <f>'FA Continuity 2010'!J42+('FA Continuity MIFRS 2011'!E42/25)+('FA Continuity 2012'!E42/25/2)</f>
        <v>0</v>
      </c>
      <c r="K42" s="489"/>
      <c r="L42" s="489">
        <f t="shared" si="1"/>
        <v>0</v>
      </c>
      <c r="M42" s="489">
        <f t="shared" si="2"/>
        <v>0</v>
      </c>
      <c r="N42" s="237"/>
      <c r="O42" s="237"/>
      <c r="P42" s="402">
        <f t="shared" si="3"/>
        <v>0</v>
      </c>
    </row>
    <row r="43" spans="1:16" ht="12.75">
      <c r="A43" s="241">
        <v>47</v>
      </c>
      <c r="B43" s="484">
        <v>1985</v>
      </c>
      <c r="C43" s="485" t="s">
        <v>623</v>
      </c>
      <c r="D43" s="486">
        <f>'MIFRS 2012'!E42</f>
        <v>0</v>
      </c>
      <c r="E43" s="487">
        <f>'MIFRS 2012'!F42</f>
        <v>0</v>
      </c>
      <c r="F43" s="489"/>
      <c r="G43" s="489">
        <f t="shared" si="0"/>
        <v>0</v>
      </c>
      <c r="H43" s="518"/>
      <c r="I43" s="489">
        <f>+'FA Continuity MIFRS 2011'!L43</f>
        <v>0</v>
      </c>
      <c r="J43" s="490">
        <f>'FA Continuity 2010'!J43+('FA Continuity MIFRS 2011'!E43/25)+('FA Continuity 2012'!E43/25/2)</f>
        <v>0</v>
      </c>
      <c r="K43" s="489"/>
      <c r="L43" s="489">
        <f t="shared" si="1"/>
        <v>0</v>
      </c>
      <c r="M43" s="489">
        <f t="shared" si="2"/>
        <v>0</v>
      </c>
      <c r="N43" s="237"/>
      <c r="O43" s="237"/>
      <c r="P43" s="402">
        <f t="shared" si="3"/>
        <v>0</v>
      </c>
    </row>
    <row r="44" spans="1:16" ht="12.75">
      <c r="A44" s="241">
        <v>47</v>
      </c>
      <c r="B44" s="484">
        <v>1990</v>
      </c>
      <c r="C44" s="485" t="s">
        <v>624</v>
      </c>
      <c r="D44" s="486">
        <f>'MIFRS 2012'!E43</f>
        <v>0</v>
      </c>
      <c r="E44" s="487">
        <f>'MIFRS 2012'!F43</f>
        <v>0</v>
      </c>
      <c r="F44" s="489"/>
      <c r="G44" s="489">
        <f t="shared" si="0"/>
        <v>0</v>
      </c>
      <c r="H44" s="518"/>
      <c r="I44" s="489">
        <f>+'FA Continuity MIFRS 2011'!L44</f>
        <v>0</v>
      </c>
      <c r="J44" s="490">
        <f>'FA Continuity 2010'!J44+('FA Continuity MIFRS 2011'!E44/25)+('FA Continuity 2012'!E44/25/2)</f>
        <v>0</v>
      </c>
      <c r="K44" s="489"/>
      <c r="L44" s="489">
        <f t="shared" si="1"/>
        <v>0</v>
      </c>
      <c r="M44" s="489">
        <f t="shared" si="2"/>
        <v>0</v>
      </c>
      <c r="N44" s="237"/>
      <c r="O44" s="237"/>
      <c r="P44" s="402">
        <f t="shared" si="3"/>
        <v>0</v>
      </c>
    </row>
    <row r="45" spans="1:17" ht="12.75">
      <c r="A45" s="241">
        <v>47</v>
      </c>
      <c r="B45" s="484">
        <v>1995</v>
      </c>
      <c r="C45" s="485" t="s">
        <v>625</v>
      </c>
      <c r="D45" s="486">
        <f>'MIFRS 2012'!E44</f>
        <v>-360987.58999999997</v>
      </c>
      <c r="E45" s="487">
        <f>'MIFRS 2012'!F44</f>
        <v>0</v>
      </c>
      <c r="F45" s="489"/>
      <c r="G45" s="489">
        <f t="shared" si="0"/>
        <v>-360987.58999999997</v>
      </c>
      <c r="H45" s="518"/>
      <c r="I45" s="489">
        <f>+'FA Continuity MIFRS 2011'!L45</f>
        <v>-88012.93644444445</v>
      </c>
      <c r="J45" s="490">
        <f>'MIFRS 2012'!L44</f>
        <v>-8022</v>
      </c>
      <c r="K45" s="489"/>
      <c r="L45" s="489">
        <f t="shared" si="1"/>
        <v>-96034.93644444445</v>
      </c>
      <c r="M45" s="489">
        <f t="shared" si="2"/>
        <v>-264952.6535555555</v>
      </c>
      <c r="N45" s="237"/>
      <c r="O45" s="237">
        <f>+(D45-I45)/25+((E45/2)/25)</f>
        <v>-10918.98614222222</v>
      </c>
      <c r="P45" s="402">
        <f t="shared" si="3"/>
        <v>-92023.93644444445</v>
      </c>
      <c r="Q45">
        <f>-77693-2000</f>
        <v>-79693</v>
      </c>
    </row>
    <row r="46" spans="1:16" ht="12.75">
      <c r="A46" s="241"/>
      <c r="B46" s="484">
        <v>2005</v>
      </c>
      <c r="C46" s="484" t="s">
        <v>801</v>
      </c>
      <c r="D46" s="486">
        <f>'MIFRS 2012'!E45</f>
        <v>0</v>
      </c>
      <c r="E46" s="487">
        <f>'MIFRS 2012'!F45</f>
        <v>0</v>
      </c>
      <c r="F46" s="489"/>
      <c r="G46" s="489">
        <f t="shared" si="0"/>
        <v>0</v>
      </c>
      <c r="H46" s="518"/>
      <c r="I46" s="489">
        <f>+'FA Continuity MIFRS 2011'!L46</f>
        <v>0</v>
      </c>
      <c r="J46" s="490"/>
      <c r="K46" s="489"/>
      <c r="L46" s="489">
        <f t="shared" si="1"/>
        <v>0</v>
      </c>
      <c r="M46" s="489">
        <f t="shared" si="2"/>
        <v>0</v>
      </c>
      <c r="N46" s="237"/>
      <c r="O46" s="237">
        <f>+(D46-I46)/50+((E46/2)/50)</f>
        <v>0</v>
      </c>
      <c r="P46" s="402">
        <f t="shared" si="3"/>
        <v>0</v>
      </c>
    </row>
    <row r="47" spans="1:17" ht="12.75">
      <c r="A47" s="241"/>
      <c r="B47" s="492"/>
      <c r="C47" s="493" t="s">
        <v>217</v>
      </c>
      <c r="D47" s="494">
        <f>SUM(D10:D46)</f>
        <v>7591515.840000001</v>
      </c>
      <c r="E47" s="494">
        <f>SUM(E10:E46)</f>
        <v>385000</v>
      </c>
      <c r="F47" s="494">
        <f>SUM(F10:F46)</f>
        <v>0</v>
      </c>
      <c r="G47" s="494">
        <f>SUM(G10:G46)</f>
        <v>7976515.840000001</v>
      </c>
      <c r="H47" s="518"/>
      <c r="I47" s="494">
        <f>SUM(I10:I46)</f>
        <v>2242277.5940512246</v>
      </c>
      <c r="J47" s="494">
        <f>SUM(J10:J46)</f>
        <v>364399.4533333333</v>
      </c>
      <c r="K47" s="494">
        <f>SUM(K10:K46)</f>
        <v>0</v>
      </c>
      <c r="L47" s="494">
        <f>SUM(L10:L46)</f>
        <v>2606677.0473845582</v>
      </c>
      <c r="M47" s="494">
        <f>SUM(M10:M46)</f>
        <v>5369838.792615441</v>
      </c>
      <c r="N47" s="237"/>
      <c r="O47" s="237"/>
      <c r="P47" s="402">
        <f t="shared" si="3"/>
        <v>2424477.3207178917</v>
      </c>
      <c r="Q47">
        <f>SUM(Q13:Q46)</f>
        <v>1049494</v>
      </c>
    </row>
    <row r="48" spans="1:16" ht="12.75">
      <c r="A48" s="241"/>
      <c r="B48" s="492"/>
      <c r="C48" s="485"/>
      <c r="D48" s="489"/>
      <c r="E48" s="489"/>
      <c r="F48" s="489"/>
      <c r="G48" s="489"/>
      <c r="H48" s="518"/>
      <c r="I48" s="489"/>
      <c r="J48" s="489"/>
      <c r="K48" s="489"/>
      <c r="L48" s="489"/>
      <c r="M48" s="489"/>
      <c r="N48" s="237"/>
      <c r="O48" s="237"/>
      <c r="P48" s="402">
        <f t="shared" si="3"/>
        <v>0</v>
      </c>
    </row>
    <row r="49" spans="1:16" ht="12.75">
      <c r="A49" s="241" t="s">
        <v>204</v>
      </c>
      <c r="B49" s="492"/>
      <c r="C49" s="485" t="s">
        <v>251</v>
      </c>
      <c r="D49" s="489">
        <v>0</v>
      </c>
      <c r="E49" s="489"/>
      <c r="F49" s="489"/>
      <c r="G49" s="489">
        <f>D49+E49-F49</f>
        <v>0</v>
      </c>
      <c r="H49" s="518"/>
      <c r="I49" s="489">
        <v>0</v>
      </c>
      <c r="J49" s="489"/>
      <c r="K49" s="489"/>
      <c r="L49" s="489">
        <f>I49+J49-K49</f>
        <v>0</v>
      </c>
      <c r="M49" s="489">
        <f>G49-L49</f>
        <v>0</v>
      </c>
      <c r="N49" s="237"/>
      <c r="O49" s="237"/>
      <c r="P49" s="402">
        <f t="shared" si="3"/>
        <v>0</v>
      </c>
    </row>
    <row r="50" spans="1:16" ht="12.75">
      <c r="A50" s="241"/>
      <c r="B50" s="492"/>
      <c r="C50" s="493" t="s">
        <v>218</v>
      </c>
      <c r="D50" s="494">
        <f>SUM(D47:D49)</f>
        <v>7591515.840000001</v>
      </c>
      <c r="E50" s="494">
        <f>SUM(E47:E49)</f>
        <v>385000</v>
      </c>
      <c r="F50" s="494">
        <f>SUM(F47:F49)</f>
        <v>0</v>
      </c>
      <c r="G50" s="494">
        <f>SUM(G47:G49)</f>
        <v>7976515.840000001</v>
      </c>
      <c r="H50" s="518"/>
      <c r="I50" s="494">
        <f>SUM(I47:I49)</f>
        <v>2242277.5940512246</v>
      </c>
      <c r="J50" s="494">
        <f>SUM(J47:J49)</f>
        <v>364399.4533333333</v>
      </c>
      <c r="K50" s="494">
        <f>SUM(K47:K49)</f>
        <v>0</v>
      </c>
      <c r="L50" s="494">
        <f>SUM(L47:L49)</f>
        <v>2606677.0473845582</v>
      </c>
      <c r="M50" s="494">
        <f>SUM(M47:M49)</f>
        <v>5369838.792615441</v>
      </c>
      <c r="N50" s="237"/>
      <c r="O50" s="237"/>
      <c r="P50" s="402">
        <f t="shared" si="3"/>
        <v>2424477.3207178917</v>
      </c>
    </row>
    <row r="51" spans="4:16" ht="12.75">
      <c r="D51" s="321"/>
      <c r="E51" s="321"/>
      <c r="F51" s="321"/>
      <c r="G51" s="321"/>
      <c r="H51" s="322"/>
      <c r="I51" s="322"/>
      <c r="J51" s="322"/>
      <c r="K51" s="322"/>
      <c r="L51" s="322"/>
      <c r="M51" s="322"/>
      <c r="P51" s="403"/>
    </row>
    <row r="52" spans="1:16" ht="12.75">
      <c r="A52" s="215"/>
      <c r="D52" s="474"/>
      <c r="E52" s="444" t="s">
        <v>896</v>
      </c>
      <c r="F52" s="474"/>
      <c r="G52" s="474">
        <v>435805</v>
      </c>
      <c r="H52" s="526" t="s">
        <v>929</v>
      </c>
      <c r="I52" s="526"/>
      <c r="J52" s="526"/>
      <c r="K52" s="322"/>
      <c r="L52" s="322"/>
      <c r="M52" s="322"/>
      <c r="N52" s="237"/>
      <c r="O52" s="237"/>
      <c r="P52" s="403"/>
    </row>
    <row r="53" spans="1:16" ht="12.75">
      <c r="A53" s="506"/>
      <c r="B53" s="506"/>
      <c r="C53" s="212"/>
      <c r="E53" s="444" t="s">
        <v>897</v>
      </c>
      <c r="F53" s="474"/>
      <c r="G53" s="445">
        <f>J55</f>
        <v>337176.76335881406</v>
      </c>
      <c r="H53" s="527" t="s">
        <v>930</v>
      </c>
      <c r="I53" s="527"/>
      <c r="J53" s="325">
        <f>-'[6]Deferral Account CGAAP vs MIFRS'!$E$20/4</f>
        <v>22072.743050000165</v>
      </c>
      <c r="K53" s="322"/>
      <c r="N53" s="395"/>
      <c r="O53" s="395"/>
      <c r="P53" s="403">
        <f>P50-P45</f>
        <v>2516501.2571623363</v>
      </c>
    </row>
    <row r="54" spans="1:15" ht="12.75">
      <c r="A54" s="506"/>
      <c r="B54" s="506"/>
      <c r="C54" s="212"/>
      <c r="E54" s="474" t="s">
        <v>898</v>
      </c>
      <c r="F54" s="474"/>
      <c r="G54" s="474">
        <f>G52-G53</f>
        <v>98628.23664118594</v>
      </c>
      <c r="H54" s="528">
        <v>0.0583</v>
      </c>
      <c r="I54" s="529"/>
      <c r="J54" s="325">
        <f>J53*4*'Return on Capital'!AD12</f>
        <v>5149.946924519071</v>
      </c>
      <c r="K54" s="322"/>
      <c r="N54" s="395"/>
      <c r="O54" s="395"/>
    </row>
    <row r="55" spans="1:15" ht="13.5" thickBot="1">
      <c r="A55" s="215"/>
      <c r="D55" s="321"/>
      <c r="E55" s="321"/>
      <c r="F55" s="321"/>
      <c r="G55" s="321"/>
      <c r="H55" s="527" t="s">
        <v>254</v>
      </c>
      <c r="I55" s="527"/>
      <c r="J55" s="326">
        <f>J50-J53-J54</f>
        <v>337176.76335881406</v>
      </c>
      <c r="K55" s="322"/>
      <c r="N55" s="250"/>
      <c r="O55" s="250"/>
    </row>
    <row r="56" spans="1:15" ht="13.5" thickTop="1">
      <c r="A56" s="215"/>
      <c r="D56" s="321"/>
      <c r="E56" s="321"/>
      <c r="F56" s="321"/>
      <c r="G56" s="321"/>
      <c r="H56" s="322"/>
      <c r="I56" s="322"/>
      <c r="J56" s="322"/>
      <c r="K56" s="322"/>
      <c r="L56" s="401">
        <v>2284430</v>
      </c>
      <c r="M56" s="401">
        <v>101650</v>
      </c>
      <c r="N56" s="250"/>
      <c r="O56" s="250"/>
    </row>
    <row r="57" spans="1:13" ht="12.75">
      <c r="A57"/>
      <c r="B57"/>
      <c r="C57"/>
      <c r="D57"/>
      <c r="E57"/>
      <c r="F57"/>
      <c r="G57"/>
      <c r="H57"/>
      <c r="I57" s="327"/>
      <c r="J57" s="327"/>
      <c r="K57"/>
      <c r="L57" s="322">
        <v>2622629</v>
      </c>
      <c r="M57" s="322">
        <v>2453530</v>
      </c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 s="322">
        <f>M57-M56</f>
        <v>2351880</v>
      </c>
    </row>
    <row r="59" spans="1:13" ht="12.75">
      <c r="A59"/>
      <c r="B59"/>
      <c r="C59"/>
      <c r="D59"/>
      <c r="E59" s="273">
        <f>(D50+G50)/2</f>
        <v>7784015.840000001</v>
      </c>
      <c r="F59"/>
      <c r="G59"/>
      <c r="H59"/>
      <c r="I59"/>
      <c r="J59" s="273">
        <f>(I50+L50)/2</f>
        <v>2424477.3207178917</v>
      </c>
      <c r="K59" s="273"/>
      <c r="L59" s="273">
        <f>E59-J59</f>
        <v>5359538.519282109</v>
      </c>
      <c r="M59" s="212"/>
    </row>
    <row r="60" spans="4:13" ht="12.75">
      <c r="D60" s="216"/>
      <c r="E60" s="216"/>
      <c r="F60" s="216"/>
      <c r="G60" s="216"/>
      <c r="H60" s="212"/>
      <c r="I60" s="212"/>
      <c r="J60" s="450">
        <f>(I45+L45)/2</f>
        <v>-92023.93644444445</v>
      </c>
      <c r="K60" s="450"/>
      <c r="L60" s="450"/>
      <c r="M60" s="212"/>
    </row>
    <row r="61" spans="4:13" ht="12.75">
      <c r="D61" s="216"/>
      <c r="E61" s="216"/>
      <c r="F61" s="216"/>
      <c r="G61" s="216"/>
      <c r="H61" s="212"/>
      <c r="I61" s="212"/>
      <c r="J61" s="450">
        <f>J59-J60</f>
        <v>2516501.2571623363</v>
      </c>
      <c r="K61" s="450"/>
      <c r="L61" s="450"/>
      <c r="M61" s="212"/>
    </row>
    <row r="62" spans="3:13" ht="12.75">
      <c r="C62" s="210"/>
      <c r="D62" s="211"/>
      <c r="E62" s="211"/>
      <c r="F62" s="211"/>
      <c r="G62" s="211"/>
      <c r="H62" s="212"/>
      <c r="I62" s="213"/>
      <c r="J62" s="213"/>
      <c r="K62" s="213"/>
      <c r="L62" s="213"/>
      <c r="M62" s="213"/>
    </row>
    <row r="63" spans="3:13" ht="12.75">
      <c r="C63" s="210"/>
      <c r="D63" s="211"/>
      <c r="E63" s="211"/>
      <c r="F63" s="211"/>
      <c r="G63" s="211"/>
      <c r="H63" s="212"/>
      <c r="I63" s="213"/>
      <c r="J63" s="213"/>
      <c r="K63" s="213"/>
      <c r="L63" s="213"/>
      <c r="M63" s="213"/>
    </row>
    <row r="64" spans="3:13" ht="12.75">
      <c r="C64" s="210"/>
      <c r="D64" s="211"/>
      <c r="E64" s="211"/>
      <c r="F64" s="211"/>
      <c r="G64" s="211"/>
      <c r="H64" s="212"/>
      <c r="I64" s="213"/>
      <c r="J64" s="213"/>
      <c r="K64" s="213"/>
      <c r="L64" s="213"/>
      <c r="M64" s="213"/>
    </row>
    <row r="65" spans="3:13" ht="12.75">
      <c r="C65" s="210"/>
      <c r="D65" s="211"/>
      <c r="E65" s="211"/>
      <c r="F65" s="211"/>
      <c r="G65" s="211"/>
      <c r="H65" s="212"/>
      <c r="I65" s="213"/>
      <c r="J65" s="213"/>
      <c r="K65" s="213"/>
      <c r="L65" s="213"/>
      <c r="M65" s="213"/>
    </row>
  </sheetData>
  <sheetProtection/>
  <mergeCells count="26">
    <mergeCell ref="H53:I53"/>
    <mergeCell ref="H54:I54"/>
    <mergeCell ref="H55:I55"/>
    <mergeCell ref="I8:I9"/>
    <mergeCell ref="J8:J9"/>
    <mergeCell ref="K8:K9"/>
    <mergeCell ref="L8:L9"/>
    <mergeCell ref="M8:M9"/>
    <mergeCell ref="H52:J52"/>
    <mergeCell ref="D7:G7"/>
    <mergeCell ref="I7:L7"/>
    <mergeCell ref="F8:F9"/>
    <mergeCell ref="G8:G9"/>
    <mergeCell ref="H8:H50"/>
    <mergeCell ref="A8:A9"/>
    <mergeCell ref="B8:B9"/>
    <mergeCell ref="C8:C9"/>
    <mergeCell ref="D8:D9"/>
    <mergeCell ref="E8:E9"/>
    <mergeCell ref="D6:G6"/>
    <mergeCell ref="I6:L6"/>
    <mergeCell ref="A1:M1"/>
    <mergeCell ref="A2:M2"/>
    <mergeCell ref="A3:C3"/>
    <mergeCell ref="A4:C4"/>
    <mergeCell ref="A5:C5"/>
  </mergeCells>
  <printOptions/>
  <pageMargins left="0.7480314960629921" right="0.7480314960629921" top="0.4724409448818898" bottom="0.4330708661417323" header="0.35433070866141736" footer="0.15748031496062992"/>
  <pageSetup fitToHeight="1" fitToWidth="1" horizontalDpi="355" verticalDpi="355" orientation="landscape" scale="76" r:id="rId3"/>
  <headerFooter alignWithMargins="0">
    <oddFooter>&amp;L&amp;A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15"/>
  <sheetViews>
    <sheetView zoomScalePageLayoutView="0" workbookViewId="0" topLeftCell="A1">
      <pane xSplit="3" ySplit="7" topLeftCell="E13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33" sqref="F133"/>
    </sheetView>
  </sheetViews>
  <sheetFormatPr defaultColWidth="9.140625" defaultRowHeight="12.75"/>
  <cols>
    <col min="1" max="1" width="10.140625" style="1" customWidth="1"/>
    <col min="2" max="2" width="56.57421875" style="2" customWidth="1"/>
    <col min="3" max="3" width="1.421875" style="3" customWidth="1"/>
    <col min="4" max="4" width="15.57421875" style="327" customWidth="1"/>
    <col min="5" max="5" width="1.7109375" style="329" customWidth="1"/>
    <col min="6" max="6" width="14.00390625" style="327" customWidth="1"/>
    <col min="7" max="7" width="1.57421875" style="329" customWidth="1"/>
    <col min="8" max="8" width="10.421875" style="327" customWidth="1"/>
    <col min="9" max="9" width="1.28515625" style="327" customWidth="1"/>
    <col min="10" max="10" width="11.421875" style="327" customWidth="1"/>
    <col min="11" max="11" width="1.57421875" style="399" customWidth="1"/>
    <col min="12" max="12" width="14.00390625" style="327" customWidth="1"/>
    <col min="13" max="13" width="14.57421875" style="0" bestFit="1" customWidth="1"/>
    <col min="14" max="14" width="31.8515625" style="18" customWidth="1"/>
    <col min="15" max="16" width="14.00390625" style="0" bestFit="1" customWidth="1"/>
    <col min="21" max="21" width="19.28125" style="0" customWidth="1"/>
    <col min="22" max="22" width="14.7109375" style="0" customWidth="1"/>
  </cols>
  <sheetData>
    <row r="1" spans="1:14" ht="12.75">
      <c r="A1" s="530" t="str">
        <f>Notes!B4</f>
        <v>Rideau St. Lawrence Distribution Inc.</v>
      </c>
      <c r="B1" s="530"/>
      <c r="C1" s="530"/>
      <c r="D1" s="530"/>
      <c r="E1" s="530"/>
      <c r="F1" s="530"/>
      <c r="G1" s="530"/>
      <c r="H1" s="530"/>
      <c r="I1" s="328"/>
      <c r="J1" s="328"/>
      <c r="K1" s="328"/>
      <c r="L1" s="328"/>
      <c r="N1" s="404"/>
    </row>
    <row r="2" spans="1:14" ht="12.75">
      <c r="A2" s="530" t="str">
        <f>Notes!A2&amp;" "&amp;Notes!A6&amp;" "&amp;Notes!B6&amp;", "&amp;Notes!A8&amp;" "&amp;Notes!B8</f>
        <v> License Number ED-2003-0003, File Number EB-2011-0274</v>
      </c>
      <c r="B2" s="530"/>
      <c r="C2" s="530"/>
      <c r="D2" s="530"/>
      <c r="E2" s="530"/>
      <c r="F2" s="530"/>
      <c r="G2" s="530"/>
      <c r="H2" s="530"/>
      <c r="I2" s="328"/>
      <c r="J2" s="328"/>
      <c r="K2" s="328"/>
      <c r="L2" s="328"/>
      <c r="N2" s="404"/>
    </row>
    <row r="3" spans="1:14" ht="21.75" customHeight="1">
      <c r="A3" s="533" t="s">
        <v>530</v>
      </c>
      <c r="B3" s="533"/>
      <c r="C3" s="533"/>
      <c r="D3" s="533"/>
      <c r="E3" s="533"/>
      <c r="F3" s="533"/>
      <c r="K3" s="327"/>
      <c r="N3" s="404"/>
    </row>
    <row r="4" spans="1:14" ht="12.75">
      <c r="A4" s="531" t="s">
        <v>531</v>
      </c>
      <c r="B4" s="532" t="s">
        <v>532</v>
      </c>
      <c r="D4" s="330" t="s">
        <v>158</v>
      </c>
      <c r="F4" s="330" t="s">
        <v>189</v>
      </c>
      <c r="H4" s="330" t="s">
        <v>780</v>
      </c>
      <c r="J4" s="330" t="s">
        <v>804</v>
      </c>
      <c r="K4" s="327"/>
      <c r="L4" s="330" t="s">
        <v>822</v>
      </c>
      <c r="N4" s="405" t="s">
        <v>857</v>
      </c>
    </row>
    <row r="5" spans="1:14" ht="12.75">
      <c r="A5" s="531"/>
      <c r="B5" s="532"/>
      <c r="D5" s="331" t="s">
        <v>533</v>
      </c>
      <c r="F5" s="331" t="s">
        <v>533</v>
      </c>
      <c r="H5" s="331" t="s">
        <v>533</v>
      </c>
      <c r="J5" s="331" t="s">
        <v>441</v>
      </c>
      <c r="K5" s="327"/>
      <c r="L5" s="331" t="s">
        <v>442</v>
      </c>
      <c r="N5" s="404"/>
    </row>
    <row r="6" spans="11:14" ht="3.75" customHeight="1">
      <c r="K6" s="327"/>
      <c r="N6" s="404"/>
    </row>
    <row r="7" spans="1:14" ht="12.75" customHeight="1">
      <c r="A7" s="5"/>
      <c r="B7" s="251" t="s">
        <v>105</v>
      </c>
      <c r="D7" s="332"/>
      <c r="E7" s="332"/>
      <c r="F7" s="332"/>
      <c r="H7" s="332"/>
      <c r="J7" s="332"/>
      <c r="K7" s="327"/>
      <c r="L7" s="332"/>
      <c r="N7" s="404"/>
    </row>
    <row r="8" spans="1:14" ht="12.75">
      <c r="A8" s="5">
        <v>1005</v>
      </c>
      <c r="B8" s="6" t="s">
        <v>534</v>
      </c>
      <c r="D8" s="333">
        <v>662217.68</v>
      </c>
      <c r="F8" s="333">
        <v>510963.88</v>
      </c>
      <c r="H8" s="333">
        <v>660085.15</v>
      </c>
      <c r="J8" s="333">
        <v>650000</v>
      </c>
      <c r="K8" s="327"/>
      <c r="L8" s="333">
        <v>650000</v>
      </c>
      <c r="N8" s="404"/>
    </row>
    <row r="9" spans="1:14" ht="12.75">
      <c r="A9" s="5">
        <v>1010</v>
      </c>
      <c r="B9" s="6" t="s">
        <v>549</v>
      </c>
      <c r="D9" s="333">
        <v>950</v>
      </c>
      <c r="F9" s="333">
        <v>950</v>
      </c>
      <c r="H9" s="333">
        <v>950</v>
      </c>
      <c r="J9" s="333">
        <v>950</v>
      </c>
      <c r="K9" s="327"/>
      <c r="L9" s="333">
        <v>950</v>
      </c>
      <c r="N9" s="404"/>
    </row>
    <row r="10" spans="1:14" ht="12.75">
      <c r="A10" s="5">
        <v>1020</v>
      </c>
      <c r="B10" s="6" t="s">
        <v>550</v>
      </c>
      <c r="D10" s="333"/>
      <c r="F10" s="333"/>
      <c r="H10" s="333"/>
      <c r="J10" s="333"/>
      <c r="K10" s="327"/>
      <c r="L10" s="333"/>
      <c r="N10" s="404"/>
    </row>
    <row r="11" spans="1:22" ht="12.75">
      <c r="A11" s="5">
        <v>1030</v>
      </c>
      <c r="B11" s="6" t="s">
        <v>551</v>
      </c>
      <c r="D11" s="333"/>
      <c r="F11" s="333"/>
      <c r="H11" s="333"/>
      <c r="J11" s="333"/>
      <c r="K11" s="327"/>
      <c r="L11" s="333"/>
      <c r="N11" s="404"/>
      <c r="S11" s="245"/>
      <c r="U11" s="246"/>
      <c r="V11" s="250"/>
    </row>
    <row r="12" spans="1:22" ht="12.75">
      <c r="A12" s="5">
        <v>1040</v>
      </c>
      <c r="B12" s="6" t="s">
        <v>552</v>
      </c>
      <c r="D12" s="333"/>
      <c r="F12" s="333"/>
      <c r="H12" s="333"/>
      <c r="J12" s="333"/>
      <c r="K12" s="327"/>
      <c r="L12" s="333"/>
      <c r="N12" s="404"/>
      <c r="S12" s="247"/>
      <c r="U12" s="246"/>
      <c r="V12" s="250"/>
    </row>
    <row r="13" spans="1:22" ht="12.75">
      <c r="A13" s="5">
        <v>1060</v>
      </c>
      <c r="B13" s="6" t="s">
        <v>553</v>
      </c>
      <c r="D13" s="333">
        <v>6033.44</v>
      </c>
      <c r="F13" s="333">
        <v>8446.88</v>
      </c>
      <c r="H13" s="333">
        <v>8446.88</v>
      </c>
      <c r="J13" s="333">
        <v>8447</v>
      </c>
      <c r="K13" s="327"/>
      <c r="L13" s="333">
        <v>8447</v>
      </c>
      <c r="N13" s="404"/>
      <c r="S13" s="247"/>
      <c r="U13" s="246"/>
      <c r="V13" s="250"/>
    </row>
    <row r="14" spans="1:22" ht="12.75">
      <c r="A14" s="5">
        <v>1070</v>
      </c>
      <c r="B14" s="6" t="s">
        <v>554</v>
      </c>
      <c r="D14" s="333"/>
      <c r="F14" s="333"/>
      <c r="H14" s="333"/>
      <c r="J14" s="333"/>
      <c r="K14" s="327"/>
      <c r="L14" s="333"/>
      <c r="N14" s="404"/>
      <c r="U14" s="246"/>
      <c r="V14" s="250"/>
    </row>
    <row r="15" spans="1:22" ht="12.75">
      <c r="A15" s="5">
        <v>1100</v>
      </c>
      <c r="B15" s="6" t="s">
        <v>555</v>
      </c>
      <c r="D15" s="333">
        <v>722600.6100000001</v>
      </c>
      <c r="F15" s="333">
        <v>967238.45</v>
      </c>
      <c r="H15" s="333">
        <v>851112.0900000001</v>
      </c>
      <c r="J15" s="333">
        <v>1000000</v>
      </c>
      <c r="K15" s="327"/>
      <c r="L15" s="333">
        <v>1000000</v>
      </c>
      <c r="M15" s="262"/>
      <c r="N15" s="404"/>
      <c r="U15" s="246"/>
      <c r="V15" s="250"/>
    </row>
    <row r="16" spans="1:22" ht="12.75">
      <c r="A16" s="5">
        <v>1102</v>
      </c>
      <c r="B16" s="6" t="s">
        <v>556</v>
      </c>
      <c r="D16" s="333">
        <v>75689.54</v>
      </c>
      <c r="F16" s="333">
        <v>83948.93</v>
      </c>
      <c r="H16" s="333">
        <v>69256.48</v>
      </c>
      <c r="J16" s="333">
        <v>70000</v>
      </c>
      <c r="K16" s="327"/>
      <c r="L16" s="333">
        <v>70000</v>
      </c>
      <c r="N16" s="404"/>
      <c r="U16" s="246"/>
      <c r="V16" s="250"/>
    </row>
    <row r="17" spans="1:22" ht="12.75">
      <c r="A17" s="5">
        <v>1104</v>
      </c>
      <c r="B17" s="6" t="s">
        <v>557</v>
      </c>
      <c r="D17" s="333"/>
      <c r="F17" s="333"/>
      <c r="H17" s="333"/>
      <c r="J17" s="333"/>
      <c r="K17" s="327"/>
      <c r="L17" s="333"/>
      <c r="N17" s="404"/>
      <c r="U17" s="246"/>
      <c r="V17" s="250"/>
    </row>
    <row r="18" spans="1:22" ht="12.75">
      <c r="A18" s="5">
        <v>1105</v>
      </c>
      <c r="B18" s="6" t="s">
        <v>558</v>
      </c>
      <c r="D18" s="333"/>
      <c r="F18" s="333"/>
      <c r="H18" s="333"/>
      <c r="J18" s="333"/>
      <c r="K18" s="327"/>
      <c r="L18" s="333"/>
      <c r="N18" s="404"/>
      <c r="U18" s="246"/>
      <c r="V18" s="250"/>
    </row>
    <row r="19" spans="1:22" ht="12.75">
      <c r="A19" s="5">
        <v>1110</v>
      </c>
      <c r="B19" s="6" t="s">
        <v>559</v>
      </c>
      <c r="D19" s="333">
        <v>168887.71</v>
      </c>
      <c r="F19" s="333">
        <v>41419.36</v>
      </c>
      <c r="H19" s="333">
        <v>63655.9</v>
      </c>
      <c r="J19" s="333">
        <v>60000</v>
      </c>
      <c r="K19" s="327"/>
      <c r="L19" s="333">
        <v>60000</v>
      </c>
      <c r="N19" s="404"/>
      <c r="U19" s="246"/>
      <c r="V19" s="250"/>
    </row>
    <row r="20" spans="1:22" ht="12.75">
      <c r="A20" s="5">
        <v>1120</v>
      </c>
      <c r="B20" s="6" t="s">
        <v>560</v>
      </c>
      <c r="D20" s="333">
        <v>1178176</v>
      </c>
      <c r="F20" s="333">
        <v>1111371</v>
      </c>
      <c r="H20" s="333">
        <v>1371719</v>
      </c>
      <c r="J20" s="333">
        <v>1400000</v>
      </c>
      <c r="K20" s="327"/>
      <c r="L20" s="333">
        <v>1500000</v>
      </c>
      <c r="N20" s="404"/>
      <c r="U20" s="246"/>
      <c r="V20" s="250"/>
    </row>
    <row r="21" spans="1:22" ht="12.75">
      <c r="A21" s="5">
        <v>1130</v>
      </c>
      <c r="B21" s="6" t="s">
        <v>561</v>
      </c>
      <c r="D21" s="333">
        <v>-33697.29</v>
      </c>
      <c r="F21" s="333">
        <v>-39270.69</v>
      </c>
      <c r="H21" s="333">
        <v>-37124.35</v>
      </c>
      <c r="J21" s="333">
        <v>-40000</v>
      </c>
      <c r="K21" s="327"/>
      <c r="L21" s="333">
        <v>-40000</v>
      </c>
      <c r="N21" s="404"/>
      <c r="U21" s="246"/>
      <c r="V21" s="250"/>
    </row>
    <row r="22" spans="1:22" ht="12.75">
      <c r="A22" s="5">
        <v>1140</v>
      </c>
      <c r="B22" s="6" t="s">
        <v>562</v>
      </c>
      <c r="D22" s="333"/>
      <c r="F22" s="333"/>
      <c r="H22" s="333"/>
      <c r="J22" s="333"/>
      <c r="K22" s="327"/>
      <c r="L22" s="333"/>
      <c r="N22" s="404"/>
      <c r="U22" s="246"/>
      <c r="V22" s="250"/>
    </row>
    <row r="23" spans="1:22" ht="12.75">
      <c r="A23" s="5">
        <v>1150</v>
      </c>
      <c r="B23" s="6" t="s">
        <v>563</v>
      </c>
      <c r="D23" s="333"/>
      <c r="F23" s="333"/>
      <c r="H23" s="333"/>
      <c r="J23" s="333"/>
      <c r="K23" s="327"/>
      <c r="L23" s="333"/>
      <c r="N23" s="404"/>
      <c r="U23" s="246"/>
      <c r="V23" s="250"/>
    </row>
    <row r="24" spans="1:22" ht="12.75">
      <c r="A24" s="5">
        <v>1170</v>
      </c>
      <c r="B24" s="6" t="s">
        <v>564</v>
      </c>
      <c r="D24" s="333"/>
      <c r="F24" s="333"/>
      <c r="H24" s="333"/>
      <c r="J24" s="333"/>
      <c r="K24" s="327"/>
      <c r="L24" s="333"/>
      <c r="N24" s="404"/>
      <c r="U24" s="246"/>
      <c r="V24" s="250"/>
    </row>
    <row r="25" spans="1:22" ht="12.75">
      <c r="A25" s="5">
        <v>1180</v>
      </c>
      <c r="B25" s="6" t="s">
        <v>535</v>
      </c>
      <c r="D25" s="333">
        <v>61975.16</v>
      </c>
      <c r="F25" s="333">
        <v>42844.21</v>
      </c>
      <c r="H25" s="333">
        <v>24000</v>
      </c>
      <c r="J25" s="333">
        <v>25000</v>
      </c>
      <c r="K25" s="327"/>
      <c r="L25" s="333">
        <v>25000</v>
      </c>
      <c r="N25" s="404"/>
      <c r="U25" s="246"/>
      <c r="V25" s="250"/>
    </row>
    <row r="26" spans="1:22" ht="12.75">
      <c r="A26" s="5">
        <v>1190</v>
      </c>
      <c r="B26" s="6" t="s">
        <v>565</v>
      </c>
      <c r="D26" s="333"/>
      <c r="F26" s="333"/>
      <c r="H26" s="333"/>
      <c r="J26" s="333"/>
      <c r="K26" s="327"/>
      <c r="L26" s="333"/>
      <c r="N26" s="404"/>
      <c r="U26" s="246"/>
      <c r="V26" s="250"/>
    </row>
    <row r="27" spans="1:22" ht="12.75">
      <c r="A27" s="5">
        <v>1200</v>
      </c>
      <c r="B27" s="6" t="s">
        <v>536</v>
      </c>
      <c r="D27" s="333"/>
      <c r="F27" s="333"/>
      <c r="H27" s="333"/>
      <c r="J27" s="333"/>
      <c r="K27" s="327"/>
      <c r="L27" s="333"/>
      <c r="N27" s="404"/>
      <c r="U27" s="246"/>
      <c r="V27" s="250"/>
    </row>
    <row r="28" spans="1:22" ht="12.75">
      <c r="A28" s="5">
        <v>1210</v>
      </c>
      <c r="B28" s="6" t="s">
        <v>566</v>
      </c>
      <c r="D28" s="333"/>
      <c r="F28" s="333"/>
      <c r="H28" s="333"/>
      <c r="J28" s="333"/>
      <c r="K28" s="327"/>
      <c r="L28" s="333"/>
      <c r="N28" s="404"/>
      <c r="U28" s="246"/>
      <c r="V28" s="250"/>
    </row>
    <row r="29" spans="1:22" ht="12.75">
      <c r="A29" s="5"/>
      <c r="B29" s="251" t="s">
        <v>106</v>
      </c>
      <c r="D29" s="332"/>
      <c r="E29" s="332"/>
      <c r="F29" s="332"/>
      <c r="H29" s="332"/>
      <c r="J29" s="332"/>
      <c r="K29" s="327"/>
      <c r="L29" s="332"/>
      <c r="N29" s="404"/>
      <c r="U29" s="246"/>
      <c r="V29" s="250"/>
    </row>
    <row r="30" spans="1:22" ht="12.75">
      <c r="A30" s="5">
        <v>1305</v>
      </c>
      <c r="B30" s="6" t="s">
        <v>567</v>
      </c>
      <c r="D30" s="333">
        <v>0</v>
      </c>
      <c r="F30" s="333">
        <v>0</v>
      </c>
      <c r="H30" s="333">
        <v>0</v>
      </c>
      <c r="J30" s="333"/>
      <c r="K30" s="327"/>
      <c r="L30" s="333"/>
      <c r="N30" s="404"/>
      <c r="U30" s="246"/>
      <c r="V30" s="250"/>
    </row>
    <row r="31" spans="1:22" ht="12.75">
      <c r="A31" s="5">
        <v>1330</v>
      </c>
      <c r="B31" s="6" t="s">
        <v>568</v>
      </c>
      <c r="D31" s="333">
        <v>216545.36</v>
      </c>
      <c r="F31" s="333">
        <v>230905.75</v>
      </c>
      <c r="H31" s="333">
        <v>251105.75</v>
      </c>
      <c r="J31" s="333">
        <v>275000</v>
      </c>
      <c r="K31" s="327"/>
      <c r="L31" s="333">
        <v>275000</v>
      </c>
      <c r="N31" s="404"/>
      <c r="U31" s="246"/>
      <c r="V31" s="250"/>
    </row>
    <row r="32" spans="1:22" ht="12.75">
      <c r="A32" s="5">
        <v>1340</v>
      </c>
      <c r="B32" s="6" t="s">
        <v>569</v>
      </c>
      <c r="D32" s="333">
        <v>0</v>
      </c>
      <c r="F32" s="333">
        <v>0</v>
      </c>
      <c r="H32" s="333">
        <v>0</v>
      </c>
      <c r="J32" s="333"/>
      <c r="K32" s="327"/>
      <c r="L32" s="333"/>
      <c r="N32" s="404"/>
      <c r="U32" s="246"/>
      <c r="V32" s="250"/>
    </row>
    <row r="33" spans="1:22" ht="12.75">
      <c r="A33" s="5">
        <v>1350</v>
      </c>
      <c r="B33" s="6" t="s">
        <v>570</v>
      </c>
      <c r="D33" s="333">
        <v>0</v>
      </c>
      <c r="F33" s="333">
        <v>0</v>
      </c>
      <c r="H33" s="333">
        <v>0</v>
      </c>
      <c r="J33" s="333"/>
      <c r="K33" s="327"/>
      <c r="L33" s="333"/>
      <c r="N33" s="404"/>
      <c r="U33" s="246"/>
      <c r="V33" s="250"/>
    </row>
    <row r="34" spans="1:22" ht="12.75">
      <c r="A34" s="5"/>
      <c r="B34" s="251" t="s">
        <v>108</v>
      </c>
      <c r="D34" s="332"/>
      <c r="E34" s="332"/>
      <c r="F34" s="332"/>
      <c r="H34" s="332"/>
      <c r="J34" s="332"/>
      <c r="K34" s="327"/>
      <c r="L34" s="332"/>
      <c r="N34" s="404"/>
      <c r="U34" s="246"/>
      <c r="V34" s="250"/>
    </row>
    <row r="35" spans="1:22" ht="12.75">
      <c r="A35" s="5">
        <v>1405</v>
      </c>
      <c r="B35" s="6" t="s">
        <v>571</v>
      </c>
      <c r="D35" s="333"/>
      <c r="F35" s="333"/>
      <c r="H35" s="333"/>
      <c r="J35" s="333"/>
      <c r="K35" s="327"/>
      <c r="L35" s="333"/>
      <c r="N35" s="404"/>
      <c r="U35" s="246"/>
      <c r="V35" s="250"/>
    </row>
    <row r="36" spans="1:22" ht="12.75">
      <c r="A36" s="5">
        <v>1408</v>
      </c>
      <c r="B36" s="6" t="s">
        <v>572</v>
      </c>
      <c r="D36" s="333"/>
      <c r="F36" s="333"/>
      <c r="H36" s="333"/>
      <c r="J36" s="333"/>
      <c r="K36" s="327"/>
      <c r="L36" s="333"/>
      <c r="N36" s="404"/>
      <c r="U36" s="246"/>
      <c r="V36" s="250"/>
    </row>
    <row r="37" spans="1:22" ht="12.75">
      <c r="A37" s="5">
        <v>1410</v>
      </c>
      <c r="B37" s="6" t="s">
        <v>573</v>
      </c>
      <c r="D37" s="333"/>
      <c r="F37" s="333"/>
      <c r="H37" s="333"/>
      <c r="J37" s="333"/>
      <c r="K37" s="327"/>
      <c r="L37" s="333"/>
      <c r="N37" s="404"/>
      <c r="U37" s="246"/>
      <c r="V37" s="250"/>
    </row>
    <row r="38" spans="1:22" ht="12.75">
      <c r="A38" s="5">
        <v>1415</v>
      </c>
      <c r="B38" s="6" t="s">
        <v>574</v>
      </c>
      <c r="D38" s="333"/>
      <c r="F38" s="333"/>
      <c r="H38" s="333"/>
      <c r="J38" s="333"/>
      <c r="K38" s="327"/>
      <c r="L38" s="333"/>
      <c r="N38" s="404"/>
      <c r="U38" s="246"/>
      <c r="V38" s="250"/>
    </row>
    <row r="39" spans="1:22" ht="12.75">
      <c r="A39" s="5">
        <v>1425</v>
      </c>
      <c r="B39" s="6" t="s">
        <v>575</v>
      </c>
      <c r="D39" s="333"/>
      <c r="F39" s="333"/>
      <c r="H39" s="333"/>
      <c r="J39" s="333"/>
      <c r="K39" s="327"/>
      <c r="L39" s="333"/>
      <c r="N39" s="404"/>
      <c r="U39" s="246"/>
      <c r="V39" s="250"/>
    </row>
    <row r="40" spans="1:22" ht="12.75">
      <c r="A40" s="5">
        <v>1445</v>
      </c>
      <c r="B40" s="6" t="s">
        <v>576</v>
      </c>
      <c r="D40" s="333"/>
      <c r="F40" s="333"/>
      <c r="H40" s="333"/>
      <c r="J40" s="333"/>
      <c r="K40" s="327"/>
      <c r="L40" s="333"/>
      <c r="N40" s="404"/>
      <c r="U40" s="246"/>
      <c r="V40" s="250"/>
    </row>
    <row r="41" spans="1:22" ht="12.75">
      <c r="A41" s="5">
        <v>1455</v>
      </c>
      <c r="B41" s="6" t="s">
        <v>577</v>
      </c>
      <c r="D41" s="333"/>
      <c r="F41" s="333"/>
      <c r="H41" s="333"/>
      <c r="J41" s="333"/>
      <c r="K41" s="327"/>
      <c r="L41" s="333"/>
      <c r="N41" s="404"/>
      <c r="U41" s="246"/>
      <c r="V41" s="250"/>
    </row>
    <row r="42" spans="1:22" ht="12.75">
      <c r="A42" s="5">
        <v>1460</v>
      </c>
      <c r="B42" s="6" t="s">
        <v>578</v>
      </c>
      <c r="D42" s="333"/>
      <c r="F42" s="333"/>
      <c r="H42" s="333"/>
      <c r="J42" s="333"/>
      <c r="K42" s="327"/>
      <c r="L42" s="333"/>
      <c r="N42" s="404"/>
      <c r="U42" s="246"/>
      <c r="V42" s="250"/>
    </row>
    <row r="43" spans="1:22" ht="12.75">
      <c r="A43" s="5">
        <v>1465</v>
      </c>
      <c r="B43" s="6" t="s">
        <v>579</v>
      </c>
      <c r="D43" s="333"/>
      <c r="F43" s="333"/>
      <c r="H43" s="333"/>
      <c r="J43" s="333"/>
      <c r="K43" s="327"/>
      <c r="L43" s="333"/>
      <c r="N43" s="404"/>
      <c r="U43" s="246"/>
      <c r="V43" s="250"/>
    </row>
    <row r="44" spans="1:22" ht="12.75">
      <c r="A44" s="5">
        <v>1470</v>
      </c>
      <c r="B44" s="6" t="s">
        <v>580</v>
      </c>
      <c r="D44" s="333"/>
      <c r="F44" s="333"/>
      <c r="H44" s="333"/>
      <c r="J44" s="333"/>
      <c r="K44" s="327"/>
      <c r="L44" s="333"/>
      <c r="N44" s="404"/>
      <c r="U44" s="246"/>
      <c r="V44" s="250"/>
    </row>
    <row r="45" spans="1:22" ht="12.75">
      <c r="A45" s="5">
        <v>1475</v>
      </c>
      <c r="B45" s="6" t="s">
        <v>581</v>
      </c>
      <c r="D45" s="333"/>
      <c r="F45" s="333"/>
      <c r="H45" s="333"/>
      <c r="J45" s="333"/>
      <c r="K45" s="327"/>
      <c r="L45" s="333"/>
      <c r="N45" s="404"/>
      <c r="U45" s="246"/>
      <c r="V45" s="250"/>
    </row>
    <row r="46" spans="1:22" ht="12.75">
      <c r="A46" s="5">
        <v>1480</v>
      </c>
      <c r="B46" s="6" t="s">
        <v>582</v>
      </c>
      <c r="D46" s="333"/>
      <c r="F46" s="333"/>
      <c r="H46" s="333"/>
      <c r="J46" s="333"/>
      <c r="K46" s="327"/>
      <c r="L46" s="333"/>
      <c r="N46" s="404"/>
      <c r="U46" s="246"/>
      <c r="V46" s="250"/>
    </row>
    <row r="47" spans="1:22" ht="12.75">
      <c r="A47" s="5">
        <v>1485</v>
      </c>
      <c r="B47" s="6" t="s">
        <v>583</v>
      </c>
      <c r="D47" s="333"/>
      <c r="F47" s="333"/>
      <c r="H47" s="333"/>
      <c r="J47" s="333"/>
      <c r="K47" s="327"/>
      <c r="L47" s="333"/>
      <c r="N47" s="404"/>
      <c r="U47" s="246"/>
      <c r="V47" s="250"/>
    </row>
    <row r="48" spans="1:22" ht="12.75">
      <c r="A48" s="5">
        <v>1490</v>
      </c>
      <c r="B48" s="6" t="s">
        <v>584</v>
      </c>
      <c r="D48" s="333"/>
      <c r="F48" s="333"/>
      <c r="H48" s="333"/>
      <c r="J48" s="333"/>
      <c r="K48" s="327"/>
      <c r="L48" s="333"/>
      <c r="N48" s="404"/>
      <c r="U48" s="246"/>
      <c r="V48" s="250"/>
    </row>
    <row r="49" spans="1:22" ht="12.75">
      <c r="A49" s="5"/>
      <c r="B49" s="251" t="s">
        <v>107</v>
      </c>
      <c r="D49" s="332"/>
      <c r="E49" s="332"/>
      <c r="F49" s="332"/>
      <c r="H49" s="332"/>
      <c r="J49" s="332"/>
      <c r="K49" s="327"/>
      <c r="L49" s="332"/>
      <c r="N49" s="404"/>
      <c r="U49" s="246"/>
      <c r="V49" s="250"/>
    </row>
    <row r="50" spans="1:22" ht="12.75">
      <c r="A50" s="5">
        <v>1505</v>
      </c>
      <c r="B50" s="6" t="s">
        <v>585</v>
      </c>
      <c r="D50" s="333">
        <v>0</v>
      </c>
      <c r="F50" s="333">
        <v>0</v>
      </c>
      <c r="H50" s="333">
        <v>0</v>
      </c>
      <c r="J50" s="407"/>
      <c r="K50" s="327"/>
      <c r="L50" s="407"/>
      <c r="N50" s="404"/>
      <c r="U50" s="246"/>
      <c r="V50" s="250"/>
    </row>
    <row r="51" spans="1:22" ht="12.75">
      <c r="A51" s="5">
        <v>1508</v>
      </c>
      <c r="B51" s="6" t="s">
        <v>586</v>
      </c>
      <c r="D51" s="333">
        <v>-59.42116346</v>
      </c>
      <c r="F51" s="333">
        <v>9653.66</v>
      </c>
      <c r="H51" s="333">
        <v>26641.8</v>
      </c>
      <c r="J51" s="333">
        <v>60000</v>
      </c>
      <c r="K51" s="327"/>
      <c r="L51" s="333">
        <v>60000</v>
      </c>
      <c r="N51" s="404"/>
      <c r="U51" s="246"/>
      <c r="V51" s="250"/>
    </row>
    <row r="52" spans="1:22" ht="12.75">
      <c r="A52" s="5">
        <v>1510</v>
      </c>
      <c r="B52" s="6" t="s">
        <v>587</v>
      </c>
      <c r="D52" s="333"/>
      <c r="F52" s="333"/>
      <c r="H52" s="333"/>
      <c r="J52" s="333"/>
      <c r="K52" s="327"/>
      <c r="L52" s="333"/>
      <c r="N52" s="404"/>
      <c r="U52" s="246"/>
      <c r="V52" s="250"/>
    </row>
    <row r="53" spans="1:22" ht="12.75">
      <c r="A53" s="5">
        <v>1515</v>
      </c>
      <c r="B53" s="6" t="s">
        <v>588</v>
      </c>
      <c r="D53" s="333"/>
      <c r="F53" s="333"/>
      <c r="H53" s="333"/>
      <c r="J53" s="333"/>
      <c r="K53" s="327"/>
      <c r="L53" s="333"/>
      <c r="N53" s="404"/>
      <c r="U53" s="246"/>
      <c r="V53" s="250"/>
    </row>
    <row r="54" spans="1:22" ht="12.75">
      <c r="A54" s="5">
        <v>1516</v>
      </c>
      <c r="B54" s="6" t="s">
        <v>589</v>
      </c>
      <c r="D54" s="333"/>
      <c r="F54" s="333"/>
      <c r="H54" s="333"/>
      <c r="J54" s="333"/>
      <c r="K54" s="327"/>
      <c r="L54" s="333"/>
      <c r="N54" s="404"/>
      <c r="U54" s="246"/>
      <c r="V54" s="250"/>
    </row>
    <row r="55" spans="1:22" ht="12.75">
      <c r="A55" s="5">
        <v>1518</v>
      </c>
      <c r="B55" s="263" t="s">
        <v>800</v>
      </c>
      <c r="D55" s="333">
        <v>3743.26</v>
      </c>
      <c r="F55" s="333">
        <v>4013.05</v>
      </c>
      <c r="H55" s="333">
        <v>723.18</v>
      </c>
      <c r="J55" s="333">
        <v>723</v>
      </c>
      <c r="K55" s="327"/>
      <c r="L55" s="333">
        <v>723</v>
      </c>
      <c r="N55" s="404"/>
      <c r="U55" s="246"/>
      <c r="V55" s="250"/>
    </row>
    <row r="56" spans="1:22" ht="12.75">
      <c r="A56" s="5">
        <v>1521</v>
      </c>
      <c r="B56" s="389" t="s">
        <v>850</v>
      </c>
      <c r="D56" s="333"/>
      <c r="F56" s="333"/>
      <c r="H56" s="333">
        <v>61989.95</v>
      </c>
      <c r="J56" s="333">
        <v>8000</v>
      </c>
      <c r="K56" s="327"/>
      <c r="L56" s="333">
        <v>0</v>
      </c>
      <c r="N56" s="404"/>
      <c r="U56" s="246"/>
      <c r="V56" s="250"/>
    </row>
    <row r="57" spans="1:22" ht="12.75">
      <c r="A57" s="5">
        <v>1525</v>
      </c>
      <c r="B57" s="6" t="s">
        <v>590</v>
      </c>
      <c r="D57" s="333"/>
      <c r="F57" s="333"/>
      <c r="H57" s="333"/>
      <c r="J57" s="333"/>
      <c r="K57" s="327"/>
      <c r="L57" s="333"/>
      <c r="N57" s="404"/>
      <c r="U57" s="246"/>
      <c r="V57" s="250"/>
    </row>
    <row r="58" spans="1:22" ht="12.75">
      <c r="A58" s="5">
        <v>1530</v>
      </c>
      <c r="B58" s="6" t="s">
        <v>591</v>
      </c>
      <c r="D58" s="333"/>
      <c r="F58" s="333"/>
      <c r="H58" s="333">
        <v>351.27</v>
      </c>
      <c r="J58" s="333"/>
      <c r="K58" s="327"/>
      <c r="L58" s="333"/>
      <c r="N58" s="404"/>
      <c r="U58" s="246"/>
      <c r="V58" s="250"/>
    </row>
    <row r="59" spans="1:22" ht="12.75">
      <c r="A59" s="5">
        <v>1540</v>
      </c>
      <c r="B59" s="6" t="s">
        <v>591</v>
      </c>
      <c r="D59" s="333"/>
      <c r="F59" s="333"/>
      <c r="H59" s="333"/>
      <c r="J59" s="333"/>
      <c r="K59" s="327"/>
      <c r="L59" s="333"/>
      <c r="N59" s="404"/>
      <c r="U59" s="246"/>
      <c r="V59" s="250"/>
    </row>
    <row r="60" spans="1:22" ht="12.75">
      <c r="A60" s="5">
        <v>1545</v>
      </c>
      <c r="B60" s="6" t="s">
        <v>592</v>
      </c>
      <c r="D60" s="333"/>
      <c r="F60" s="333"/>
      <c r="H60" s="333"/>
      <c r="J60" s="333"/>
      <c r="K60" s="327"/>
      <c r="L60" s="333"/>
      <c r="N60" s="404"/>
      <c r="U60" s="246"/>
      <c r="V60" s="250"/>
    </row>
    <row r="61" spans="1:22" ht="12.75">
      <c r="A61" s="5">
        <v>1548</v>
      </c>
      <c r="B61" s="6" t="s">
        <v>593</v>
      </c>
      <c r="D61" s="333">
        <v>53913.83</v>
      </c>
      <c r="F61" s="333">
        <v>70571.63</v>
      </c>
      <c r="H61" s="333">
        <v>89115.22</v>
      </c>
      <c r="J61" s="333">
        <v>95000</v>
      </c>
      <c r="K61" s="327"/>
      <c r="L61" s="333">
        <v>100000</v>
      </c>
      <c r="N61" s="404"/>
      <c r="U61" s="246"/>
      <c r="V61" s="250"/>
    </row>
    <row r="62" spans="1:22" ht="12.75">
      <c r="A62" s="5">
        <v>1550</v>
      </c>
      <c r="B62" s="6" t="s">
        <v>594</v>
      </c>
      <c r="D62" s="333">
        <v>125724.01</v>
      </c>
      <c r="F62" s="333">
        <v>81900.28</v>
      </c>
      <c r="H62" s="333">
        <v>-65386.73</v>
      </c>
      <c r="J62" s="333">
        <v>-65000</v>
      </c>
      <c r="K62" s="327"/>
      <c r="L62" s="333">
        <v>-65000</v>
      </c>
      <c r="N62" s="404"/>
      <c r="U62" s="246"/>
      <c r="V62" s="250"/>
    </row>
    <row r="63" spans="1:22" ht="12.75">
      <c r="A63" s="5">
        <v>1555</v>
      </c>
      <c r="B63" s="6" t="s">
        <v>595</v>
      </c>
      <c r="D63" s="333">
        <v>-4245.56</v>
      </c>
      <c r="F63" s="333">
        <v>818653.49</v>
      </c>
      <c r="H63" s="333">
        <v>874588.07</v>
      </c>
      <c r="J63" s="333">
        <v>180000</v>
      </c>
      <c r="K63" s="327"/>
      <c r="L63" s="333">
        <v>180000</v>
      </c>
      <c r="N63" s="404"/>
      <c r="U63" s="246"/>
      <c r="V63" s="250"/>
    </row>
    <row r="64" spans="1:22" ht="12.75">
      <c r="A64" s="5">
        <v>1556</v>
      </c>
      <c r="B64" s="6" t="s">
        <v>596</v>
      </c>
      <c r="D64" s="333">
        <v>1636.23</v>
      </c>
      <c r="F64" s="333">
        <v>874.65</v>
      </c>
      <c r="H64" s="333">
        <v>72580.24</v>
      </c>
      <c r="J64" s="333"/>
      <c r="K64" s="327"/>
      <c r="L64" s="333"/>
      <c r="N64" s="404"/>
      <c r="U64" s="246"/>
      <c r="V64" s="250"/>
    </row>
    <row r="65" spans="1:22" ht="12.75">
      <c r="A65" s="5">
        <v>1562</v>
      </c>
      <c r="B65" s="6" t="s">
        <v>537</v>
      </c>
      <c r="D65" s="333">
        <v>39096.23</v>
      </c>
      <c r="F65" s="333">
        <v>39394.94</v>
      </c>
      <c r="H65" s="333">
        <v>39581.81</v>
      </c>
      <c r="J65" s="333">
        <v>39582</v>
      </c>
      <c r="K65" s="327"/>
      <c r="L65" s="333">
        <v>0</v>
      </c>
      <c r="N65" s="404"/>
      <c r="U65" s="246"/>
      <c r="V65" s="250"/>
    </row>
    <row r="66" spans="1:22" ht="12.75">
      <c r="A66" s="5">
        <v>1563</v>
      </c>
      <c r="B66" s="6" t="s">
        <v>597</v>
      </c>
      <c r="D66" s="333">
        <v>-39096.23</v>
      </c>
      <c r="F66" s="333">
        <v>-39394.94</v>
      </c>
      <c r="H66" s="333">
        <v>-39581.81</v>
      </c>
      <c r="J66" s="333">
        <v>-39582</v>
      </c>
      <c r="K66" s="327"/>
      <c r="L66" s="333">
        <v>0</v>
      </c>
      <c r="N66" s="404"/>
      <c r="U66" s="246"/>
      <c r="V66" s="250"/>
    </row>
    <row r="67" spans="1:22" ht="12.75">
      <c r="A67" s="5">
        <v>1565</v>
      </c>
      <c r="B67" s="6" t="s">
        <v>598</v>
      </c>
      <c r="D67" s="333"/>
      <c r="F67" s="333"/>
      <c r="H67" s="333"/>
      <c r="J67" s="333"/>
      <c r="K67" s="327"/>
      <c r="L67" s="333"/>
      <c r="N67" s="404"/>
      <c r="U67" s="246"/>
      <c r="V67" s="250"/>
    </row>
    <row r="68" spans="1:22" ht="12.75">
      <c r="A68" s="5">
        <v>1566</v>
      </c>
      <c r="B68" s="6" t="s">
        <v>910</v>
      </c>
      <c r="D68" s="333"/>
      <c r="F68" s="333"/>
      <c r="H68" s="333"/>
      <c r="J68" s="333"/>
      <c r="K68" s="327"/>
      <c r="L68" s="333"/>
      <c r="N68" s="404"/>
      <c r="U68" s="246"/>
      <c r="V68" s="250"/>
    </row>
    <row r="69" spans="1:22" ht="12.75">
      <c r="A69" s="5">
        <v>1570</v>
      </c>
      <c r="B69" s="6" t="s">
        <v>599</v>
      </c>
      <c r="D69" s="333"/>
      <c r="F69" s="333"/>
      <c r="H69" s="333">
        <v>-1142779</v>
      </c>
      <c r="J69" s="333"/>
      <c r="K69" s="327"/>
      <c r="L69" s="333"/>
      <c r="N69" s="404"/>
      <c r="U69" s="246"/>
      <c r="V69" s="250"/>
    </row>
    <row r="70" spans="1:22" ht="12.75">
      <c r="A70" s="5">
        <v>1571</v>
      </c>
      <c r="B70" s="6" t="s">
        <v>600</v>
      </c>
      <c r="D70" s="333"/>
      <c r="F70" s="333"/>
      <c r="H70" s="333"/>
      <c r="J70" s="333"/>
      <c r="K70" s="327"/>
      <c r="L70" s="333"/>
      <c r="N70" s="404"/>
      <c r="U70" s="246"/>
      <c r="V70" s="250"/>
    </row>
    <row r="71" spans="1:22" ht="12.75">
      <c r="A71" s="5">
        <v>1572</v>
      </c>
      <c r="B71" s="6" t="s">
        <v>778</v>
      </c>
      <c r="D71" s="333"/>
      <c r="F71" s="333"/>
      <c r="H71" s="333"/>
      <c r="J71" s="333"/>
      <c r="K71" s="327"/>
      <c r="L71" s="333"/>
      <c r="N71" s="404"/>
      <c r="U71" s="246"/>
      <c r="V71" s="250"/>
    </row>
    <row r="72" spans="1:22" ht="12.75">
      <c r="A72" s="5">
        <v>1574</v>
      </c>
      <c r="B72" s="6" t="s">
        <v>601</v>
      </c>
      <c r="D72" s="333"/>
      <c r="F72" s="333"/>
      <c r="H72" s="333"/>
      <c r="J72" s="333"/>
      <c r="K72" s="327"/>
      <c r="L72" s="333"/>
      <c r="N72" s="404"/>
      <c r="U72" s="246"/>
      <c r="V72" s="250"/>
    </row>
    <row r="73" spans="1:22" ht="12.75">
      <c r="A73" s="5">
        <v>1580</v>
      </c>
      <c r="B73" s="6" t="s">
        <v>602</v>
      </c>
      <c r="D73" s="333">
        <v>-245972.74</v>
      </c>
      <c r="F73" s="333">
        <v>-285935.54</v>
      </c>
      <c r="H73" s="333">
        <v>-157898.11</v>
      </c>
      <c r="J73" s="333">
        <v>-2000</v>
      </c>
      <c r="K73" s="327"/>
      <c r="L73" s="333">
        <v>-2000</v>
      </c>
      <c r="N73" s="404"/>
      <c r="U73" s="246"/>
      <c r="V73" s="250"/>
    </row>
    <row r="74" spans="1:22" ht="12.75">
      <c r="A74" s="5">
        <v>1582</v>
      </c>
      <c r="B74" s="6" t="s">
        <v>603</v>
      </c>
      <c r="D74" s="333">
        <v>7369.78</v>
      </c>
      <c r="F74" s="333">
        <v>7450.84</v>
      </c>
      <c r="H74" s="333">
        <v>7501.51</v>
      </c>
      <c r="J74" s="333">
        <v>7500</v>
      </c>
      <c r="K74" s="327"/>
      <c r="L74" s="333">
        <v>7500</v>
      </c>
      <c r="N74" s="404"/>
      <c r="U74" s="246"/>
      <c r="V74" s="250"/>
    </row>
    <row r="75" spans="1:22" ht="12.75">
      <c r="A75" s="5">
        <v>1584</v>
      </c>
      <c r="B75" s="6" t="s">
        <v>604</v>
      </c>
      <c r="D75" s="333">
        <v>-107978.79</v>
      </c>
      <c r="F75" s="333">
        <v>-184906.14</v>
      </c>
      <c r="H75" s="333">
        <v>-148068.28</v>
      </c>
      <c r="J75" s="333">
        <v>-148068</v>
      </c>
      <c r="K75" s="327"/>
      <c r="L75" s="333">
        <v>-150000</v>
      </c>
      <c r="N75" s="404"/>
      <c r="U75" s="246"/>
      <c r="V75" s="250"/>
    </row>
    <row r="76" spans="1:22" ht="12.75">
      <c r="A76" s="5">
        <v>1586</v>
      </c>
      <c r="B76" s="6" t="s">
        <v>605</v>
      </c>
      <c r="D76" s="333">
        <v>-113664.96</v>
      </c>
      <c r="F76" s="333">
        <v>-191841.95</v>
      </c>
      <c r="H76" s="333">
        <v>-93377.9</v>
      </c>
      <c r="J76" s="333">
        <v>-93378</v>
      </c>
      <c r="K76" s="327"/>
      <c r="L76" s="333">
        <v>-94000</v>
      </c>
      <c r="N76" s="404"/>
      <c r="U76" s="246"/>
      <c r="V76" s="250"/>
    </row>
    <row r="77" spans="1:22" ht="12.75">
      <c r="A77" s="5">
        <v>1588</v>
      </c>
      <c r="B77" s="6" t="s">
        <v>606</v>
      </c>
      <c r="D77" s="333">
        <v>634984.98</v>
      </c>
      <c r="F77" s="333">
        <v>908940.52</v>
      </c>
      <c r="H77" s="333">
        <v>-200798.96</v>
      </c>
      <c r="J77" s="333">
        <v>-200799</v>
      </c>
      <c r="K77" s="327"/>
      <c r="L77" s="333">
        <v>-200000</v>
      </c>
      <c r="N77" s="404"/>
      <c r="U77" s="246"/>
      <c r="V77" s="250"/>
    </row>
    <row r="78" spans="1:22" ht="12.75">
      <c r="A78" s="5">
        <v>1590</v>
      </c>
      <c r="B78" s="6" t="s">
        <v>779</v>
      </c>
      <c r="D78" s="333">
        <v>-89686.34</v>
      </c>
      <c r="F78" s="333">
        <v>-90146.39</v>
      </c>
      <c r="H78" s="333">
        <v>4756.61</v>
      </c>
      <c r="J78" s="333">
        <v>4757</v>
      </c>
      <c r="K78" s="327"/>
      <c r="L78" s="333">
        <v>0</v>
      </c>
      <c r="N78" s="404"/>
      <c r="U78" s="246"/>
      <c r="V78" s="250"/>
    </row>
    <row r="79" spans="1:22" ht="12.75">
      <c r="A79" s="5">
        <v>1592</v>
      </c>
      <c r="B79" s="6" t="s">
        <v>133</v>
      </c>
      <c r="D79" s="333"/>
      <c r="F79" s="333"/>
      <c r="H79" s="333">
        <f>-11643.74+11643.74</f>
        <v>0</v>
      </c>
      <c r="J79" s="333"/>
      <c r="K79" s="327"/>
      <c r="L79" s="333"/>
      <c r="N79" s="404"/>
      <c r="U79" s="246"/>
      <c r="V79" s="250"/>
    </row>
    <row r="80" spans="1:22" ht="12.75">
      <c r="A80" s="5">
        <v>1595</v>
      </c>
      <c r="B80" s="14" t="s">
        <v>821</v>
      </c>
      <c r="D80" s="333">
        <v>47975.63</v>
      </c>
      <c r="F80" s="333">
        <v>16671.46</v>
      </c>
      <c r="H80" s="333">
        <v>5472.1</v>
      </c>
      <c r="J80" s="333">
        <v>5472</v>
      </c>
      <c r="K80" s="327"/>
      <c r="L80" s="333">
        <v>5500</v>
      </c>
      <c r="N80" s="404"/>
      <c r="U80" s="246"/>
      <c r="V80" s="250"/>
    </row>
    <row r="81" spans="1:22" ht="12.75">
      <c r="A81" s="5"/>
      <c r="B81" s="251" t="s">
        <v>109</v>
      </c>
      <c r="D81" s="332"/>
      <c r="E81" s="332"/>
      <c r="F81" s="332"/>
      <c r="H81" s="332"/>
      <c r="J81" s="332"/>
      <c r="K81" s="327"/>
      <c r="L81" s="332"/>
      <c r="N81" s="404"/>
      <c r="U81" s="246"/>
      <c r="V81" s="250"/>
    </row>
    <row r="82" spans="1:22" ht="12.75">
      <c r="A82" s="5">
        <v>1610</v>
      </c>
      <c r="B82" s="6" t="s">
        <v>848</v>
      </c>
      <c r="D82" s="335">
        <f>'FA Continuity 2008'!G10</f>
        <v>0</v>
      </c>
      <c r="F82" s="335">
        <f>'FA Continuity 2009'!G10</f>
        <v>0</v>
      </c>
      <c r="H82" s="335">
        <f>'FA Continuity 2010'!G10</f>
        <v>0</v>
      </c>
      <c r="J82" s="335">
        <f>'FA Continuity MIFRS 2011'!G10</f>
        <v>0</v>
      </c>
      <c r="K82" s="327"/>
      <c r="L82" s="335">
        <f>'FA Continuity 2012'!G10</f>
        <v>0</v>
      </c>
      <c r="N82" s="404">
        <f>(J82+L82)/2</f>
        <v>0</v>
      </c>
      <c r="U82" s="246"/>
      <c r="V82" s="250"/>
    </row>
    <row r="83" spans="1:22" ht="12.75">
      <c r="A83" s="5">
        <v>1805</v>
      </c>
      <c r="B83" s="6" t="s">
        <v>513</v>
      </c>
      <c r="D83" s="335">
        <f>'FA Continuity 2008'!G11</f>
        <v>84205.25</v>
      </c>
      <c r="F83" s="335">
        <f>'FA Continuity 2009'!G11</f>
        <v>84205.25</v>
      </c>
      <c r="H83" s="335">
        <f>'FA Continuity 2010'!G11</f>
        <v>84205.25</v>
      </c>
      <c r="J83" s="335">
        <f>'FA Continuity MIFRS 2011'!G11</f>
        <v>84205.25</v>
      </c>
      <c r="K83" s="327"/>
      <c r="L83" s="335">
        <f>'FA Continuity 2012'!G11</f>
        <v>84205.25</v>
      </c>
      <c r="M83">
        <f>(L83+J83)/2</f>
        <v>84205.25</v>
      </c>
      <c r="N83" s="404">
        <f>(J83+L83)/2</f>
        <v>84205.25</v>
      </c>
      <c r="U83" s="246"/>
      <c r="V83" s="250"/>
    </row>
    <row r="84" spans="1:22" ht="12.75">
      <c r="A84" s="5">
        <v>1806</v>
      </c>
      <c r="B84" s="6" t="s">
        <v>514</v>
      </c>
      <c r="D84" s="335">
        <f>'FA Continuity 2008'!G12</f>
        <v>0</v>
      </c>
      <c r="F84" s="335">
        <f>'FA Continuity 2009'!G12</f>
        <v>0</v>
      </c>
      <c r="H84" s="335">
        <f>'FA Continuity 2010'!G12</f>
        <v>0</v>
      </c>
      <c r="J84" s="335">
        <f>'FA Continuity MIFRS 2011'!G12</f>
        <v>0</v>
      </c>
      <c r="K84" s="327"/>
      <c r="L84" s="335">
        <f>'FA Continuity 2012'!G12</f>
        <v>0</v>
      </c>
      <c r="M84">
        <f aca="true" t="shared" si="0" ref="M84:M117">(L84+J84)/2</f>
        <v>0</v>
      </c>
      <c r="N84" s="404">
        <f>(J84+L84)/2</f>
        <v>0</v>
      </c>
      <c r="U84" s="246"/>
      <c r="V84" s="250"/>
    </row>
    <row r="85" spans="1:22" ht="12.75">
      <c r="A85" s="5">
        <v>1808</v>
      </c>
      <c r="B85" s="6" t="s">
        <v>607</v>
      </c>
      <c r="D85" s="335">
        <f>'FA Continuity 2008'!G13</f>
        <v>75719.51000000001</v>
      </c>
      <c r="F85" s="335">
        <f>'FA Continuity 2009'!G13</f>
        <v>82287.41</v>
      </c>
      <c r="H85" s="335">
        <f>'FA Continuity 2010'!G13</f>
        <v>82287.41</v>
      </c>
      <c r="J85" s="335">
        <f>'FA Continuity MIFRS 2011'!G13</f>
        <v>82287.41</v>
      </c>
      <c r="K85" s="327"/>
      <c r="L85" s="335">
        <f>'FA Continuity 2012'!G13</f>
        <v>89977.41</v>
      </c>
      <c r="M85">
        <f t="shared" si="0"/>
        <v>86132.41</v>
      </c>
      <c r="N85" s="404">
        <f aca="true" t="shared" si="1" ref="N85:N117">(J85+L85)/2</f>
        <v>86132.41</v>
      </c>
      <c r="U85" s="246"/>
      <c r="V85" s="250"/>
    </row>
    <row r="86" spans="1:22" ht="12.75">
      <c r="A86" s="5">
        <v>1810</v>
      </c>
      <c r="B86" s="6" t="s">
        <v>511</v>
      </c>
      <c r="D86" s="335">
        <f>'FA Continuity 2008'!G14</f>
        <v>0</v>
      </c>
      <c r="F86" s="335">
        <f>'FA Continuity 2009'!G14</f>
        <v>0</v>
      </c>
      <c r="H86" s="335">
        <f>'FA Continuity 2010'!G14</f>
        <v>0</v>
      </c>
      <c r="J86" s="335">
        <f>'FA Continuity MIFRS 2011'!G14</f>
        <v>0</v>
      </c>
      <c r="K86" s="327"/>
      <c r="L86" s="335">
        <f>'FA Continuity 2012'!G14</f>
        <v>0</v>
      </c>
      <c r="M86">
        <f t="shared" si="0"/>
        <v>0</v>
      </c>
      <c r="N86" s="404">
        <f t="shared" si="1"/>
        <v>0</v>
      </c>
      <c r="U86" s="246"/>
      <c r="V86" s="250"/>
    </row>
    <row r="87" spans="1:22" ht="12.75">
      <c r="A87" s="5">
        <v>1815</v>
      </c>
      <c r="B87" s="6" t="s">
        <v>608</v>
      </c>
      <c r="D87" s="335">
        <f>'FA Continuity 2008'!G15</f>
        <v>0</v>
      </c>
      <c r="F87" s="335">
        <f>'FA Continuity 2009'!G15</f>
        <v>0</v>
      </c>
      <c r="H87" s="335">
        <f>'FA Continuity 2010'!G15</f>
        <v>0</v>
      </c>
      <c r="J87" s="335">
        <f>'FA Continuity MIFRS 2011'!G15</f>
        <v>0</v>
      </c>
      <c r="K87" s="327"/>
      <c r="L87" s="335">
        <f>'FA Continuity 2012'!G15</f>
        <v>341991.85000000003</v>
      </c>
      <c r="M87">
        <f t="shared" si="0"/>
        <v>170995.92500000002</v>
      </c>
      <c r="N87" s="404">
        <f t="shared" si="1"/>
        <v>170995.92500000002</v>
      </c>
      <c r="U87" s="246"/>
      <c r="V87" s="250"/>
    </row>
    <row r="88" spans="1:22" ht="12.75">
      <c r="A88" s="5">
        <v>1820</v>
      </c>
      <c r="B88" s="6" t="s">
        <v>609</v>
      </c>
      <c r="D88" s="335">
        <f>'FA Continuity 2008'!G16</f>
        <v>662340.11</v>
      </c>
      <c r="F88" s="335">
        <f>'FA Continuity 2009'!G16</f>
        <v>663460.76</v>
      </c>
      <c r="H88" s="335">
        <f>'FA Continuity 2010'!G16</f>
        <v>689883.89</v>
      </c>
      <c r="J88" s="335">
        <f>'FA Continuity MIFRS 2011'!G16</f>
        <v>724883.89</v>
      </c>
      <c r="K88" s="327"/>
      <c r="L88" s="335">
        <f>'FA Continuity 2012'!G16</f>
        <v>417892.04</v>
      </c>
      <c r="M88">
        <f t="shared" si="0"/>
        <v>571387.965</v>
      </c>
      <c r="N88" s="404">
        <f t="shared" si="1"/>
        <v>571387.965</v>
      </c>
      <c r="U88" s="246"/>
      <c r="V88" s="250"/>
    </row>
    <row r="89" spans="1:22" ht="12.75">
      <c r="A89" s="5">
        <v>1825</v>
      </c>
      <c r="B89" s="6" t="s">
        <v>205</v>
      </c>
      <c r="D89" s="335">
        <f>'FA Continuity 2008'!G17</f>
        <v>0</v>
      </c>
      <c r="F89" s="335">
        <f>'FA Continuity 2009'!G17</f>
        <v>0</v>
      </c>
      <c r="H89" s="335"/>
      <c r="J89" s="335"/>
      <c r="K89" s="327"/>
      <c r="L89" s="335"/>
      <c r="M89">
        <f t="shared" si="0"/>
        <v>0</v>
      </c>
      <c r="N89" s="404">
        <f t="shared" si="1"/>
        <v>0</v>
      </c>
      <c r="U89" s="246"/>
      <c r="V89" s="250"/>
    </row>
    <row r="90" spans="1:22" ht="12.75">
      <c r="A90" s="5">
        <v>1830</v>
      </c>
      <c r="B90" s="6" t="s">
        <v>610</v>
      </c>
      <c r="D90" s="335">
        <f>'FA Continuity 2008'!G18</f>
        <v>370492.70999999996</v>
      </c>
      <c r="F90" s="335">
        <f>'FA Continuity 2009'!G18</f>
        <v>427683.87</v>
      </c>
      <c r="H90" s="335">
        <f>'FA Continuity 2010'!G18</f>
        <v>452091.9</v>
      </c>
      <c r="J90" s="335">
        <f>'FA Continuity MIFRS 2011'!G18</f>
        <v>502091.9</v>
      </c>
      <c r="K90" s="327"/>
      <c r="L90" s="335">
        <f>'FA Continuity 2012'!G18</f>
        <v>574401.9</v>
      </c>
      <c r="M90">
        <f t="shared" si="0"/>
        <v>538246.9</v>
      </c>
      <c r="N90" s="404">
        <f t="shared" si="1"/>
        <v>538246.9</v>
      </c>
      <c r="U90" s="246"/>
      <c r="V90" s="250"/>
    </row>
    <row r="91" spans="1:22" ht="12.75">
      <c r="A91" s="5">
        <v>1835</v>
      </c>
      <c r="B91" s="6" t="s">
        <v>611</v>
      </c>
      <c r="D91" s="335">
        <f>'FA Continuity 2008'!G19</f>
        <v>1688815.12</v>
      </c>
      <c r="F91" s="335">
        <f>'FA Continuity 2009'!G19</f>
        <v>1744679.51</v>
      </c>
      <c r="H91" s="335">
        <f>'FA Continuity 2010'!G19</f>
        <v>1794430.1</v>
      </c>
      <c r="J91" s="335">
        <f>'FA Continuity MIFRS 2011'!G19</f>
        <v>1839430.1</v>
      </c>
      <c r="K91" s="327"/>
      <c r="L91" s="335">
        <f>'FA Continuity 2012'!G19</f>
        <v>1889430.1</v>
      </c>
      <c r="M91">
        <f t="shared" si="0"/>
        <v>1864430.1</v>
      </c>
      <c r="N91" s="404">
        <f t="shared" si="1"/>
        <v>1864430.1</v>
      </c>
      <c r="U91" s="246"/>
      <c r="V91" s="250"/>
    </row>
    <row r="92" spans="1:22" ht="12.75">
      <c r="A92" s="5">
        <v>1840</v>
      </c>
      <c r="B92" s="6" t="s">
        <v>612</v>
      </c>
      <c r="D92" s="335">
        <f>'FA Continuity 2008'!G20</f>
        <v>461238.46</v>
      </c>
      <c r="F92" s="335">
        <f>'FA Continuity 2009'!G20</f>
        <v>463826.49000000005</v>
      </c>
      <c r="H92" s="335">
        <f>'FA Continuity 2010'!G20</f>
        <v>463826.49000000005</v>
      </c>
      <c r="J92" s="335">
        <f>'FA Continuity MIFRS 2011'!G20</f>
        <v>36862.350000000035</v>
      </c>
      <c r="K92" s="327"/>
      <c r="L92" s="335">
        <f>'FA Continuity 2012'!G20</f>
        <v>36862.350000000035</v>
      </c>
      <c r="M92">
        <f t="shared" si="0"/>
        <v>36862.350000000035</v>
      </c>
      <c r="N92" s="404">
        <f t="shared" si="1"/>
        <v>36862.350000000035</v>
      </c>
      <c r="U92" s="246"/>
      <c r="V92" s="250"/>
    </row>
    <row r="93" spans="1:22" ht="12.75">
      <c r="A93" s="5">
        <v>1845</v>
      </c>
      <c r="B93" s="6" t="s">
        <v>613</v>
      </c>
      <c r="D93" s="335">
        <f>'FA Continuity 2008'!G21</f>
        <v>340746.85000000003</v>
      </c>
      <c r="F93" s="335">
        <f>'FA Continuity 2009'!G21</f>
        <v>351173.88000000006</v>
      </c>
      <c r="H93" s="335">
        <f>'FA Continuity 2010'!G21</f>
        <v>360284.18000000005</v>
      </c>
      <c r="J93" s="335">
        <f>'FA Continuity MIFRS 2011'!G21</f>
        <v>797248.3200000001</v>
      </c>
      <c r="K93" s="327"/>
      <c r="L93" s="335">
        <f>'FA Continuity 2012'!G21</f>
        <v>817248.3200000001</v>
      </c>
      <c r="M93">
        <f t="shared" si="0"/>
        <v>807248.3200000001</v>
      </c>
      <c r="N93" s="404">
        <f t="shared" si="1"/>
        <v>807248.3200000001</v>
      </c>
      <c r="U93" s="246"/>
      <c r="V93" s="250"/>
    </row>
    <row r="94" spans="1:22" ht="12.75">
      <c r="A94" s="5">
        <v>1850</v>
      </c>
      <c r="B94" s="6" t="s">
        <v>512</v>
      </c>
      <c r="D94" s="335">
        <f>'FA Continuity 2008'!G22</f>
        <v>904492.1000000001</v>
      </c>
      <c r="F94" s="335">
        <f>'FA Continuity 2009'!G22</f>
        <v>946852.4400000001</v>
      </c>
      <c r="H94" s="335">
        <f>'FA Continuity 2010'!G22</f>
        <v>991223.28</v>
      </c>
      <c r="J94" s="335">
        <f>'FA Continuity MIFRS 2011'!G22</f>
        <v>1031223.28</v>
      </c>
      <c r="K94" s="327"/>
      <c r="L94" s="335">
        <f>'FA Continuity 2012'!G22</f>
        <v>1091223.28</v>
      </c>
      <c r="M94">
        <f t="shared" si="0"/>
        <v>1061223.28</v>
      </c>
      <c r="N94" s="404">
        <f t="shared" si="1"/>
        <v>1061223.28</v>
      </c>
      <c r="U94" s="246"/>
      <c r="V94" s="250"/>
    </row>
    <row r="95" spans="1:22" ht="12.75">
      <c r="A95" s="5">
        <v>1855</v>
      </c>
      <c r="B95" s="6" t="s">
        <v>538</v>
      </c>
      <c r="D95" s="335">
        <f>'FA Continuity 2008'!G23</f>
        <v>211087.19999999998</v>
      </c>
      <c r="F95" s="335">
        <f>'FA Continuity 2009'!G23</f>
        <v>244897.81999999998</v>
      </c>
      <c r="H95" s="335">
        <f>'FA Continuity 2010'!G23</f>
        <v>261636.53999999998</v>
      </c>
      <c r="J95" s="335">
        <f>'FA Continuity MIFRS 2011'!G23</f>
        <v>281636.54</v>
      </c>
      <c r="K95" s="327"/>
      <c r="L95" s="335">
        <f>'FA Continuity 2012'!G23</f>
        <v>301636.54</v>
      </c>
      <c r="M95">
        <f t="shared" si="0"/>
        <v>291636.54</v>
      </c>
      <c r="N95" s="404">
        <f t="shared" si="1"/>
        <v>291636.54</v>
      </c>
      <c r="U95" s="246"/>
      <c r="V95" s="250"/>
    </row>
    <row r="96" spans="1:22" ht="12.75">
      <c r="A96" s="5">
        <v>1860</v>
      </c>
      <c r="B96" s="6" t="s">
        <v>539</v>
      </c>
      <c r="D96" s="335">
        <f>'FA Continuity 2008'!G24</f>
        <v>409373.44</v>
      </c>
      <c r="F96" s="335">
        <f>'FA Continuity 2009'!G24</f>
        <v>412858.02</v>
      </c>
      <c r="H96" s="335">
        <f>'FA Continuity 2010'!G24+'FA Continuity 2010'!G17</f>
        <v>1574705.0599999998</v>
      </c>
      <c r="J96" s="335">
        <f>'FA Continuity MIFRS 2011'!G24+'FA Continuity MIFRS 2011'!G17</f>
        <v>1470244.2799999998</v>
      </c>
      <c r="K96" s="327"/>
      <c r="L96" s="335">
        <f>'FA Continuity 2012'!G24+'FA Continuity 2012'!G17</f>
        <v>1510244.2799999998</v>
      </c>
      <c r="M96">
        <f t="shared" si="0"/>
        <v>1490244.2799999998</v>
      </c>
      <c r="N96" s="404">
        <f t="shared" si="1"/>
        <v>1490244.2799999998</v>
      </c>
      <c r="U96" s="246"/>
      <c r="V96" s="250"/>
    </row>
    <row r="97" spans="1:22" ht="12.75">
      <c r="A97" s="5">
        <v>1865</v>
      </c>
      <c r="B97" s="6" t="s">
        <v>614</v>
      </c>
      <c r="D97" s="335">
        <f>'FA Continuity 2008'!G25</f>
        <v>0</v>
      </c>
      <c r="F97" s="335">
        <f>'FA Continuity 2009'!G25</f>
        <v>0</v>
      </c>
      <c r="H97" s="335">
        <f>'FA Continuity 2010'!G25</f>
        <v>0</v>
      </c>
      <c r="J97" s="335">
        <f>'FA Continuity MIFRS 2011'!G25</f>
        <v>0</v>
      </c>
      <c r="K97" s="327"/>
      <c r="L97" s="335">
        <f>'FA Continuity 2012'!G25</f>
        <v>0</v>
      </c>
      <c r="M97">
        <f t="shared" si="0"/>
        <v>0</v>
      </c>
      <c r="N97" s="404">
        <f t="shared" si="1"/>
        <v>0</v>
      </c>
      <c r="U97" s="246"/>
      <c r="V97" s="250"/>
    </row>
    <row r="98" spans="1:22" ht="12.75">
      <c r="A98" s="5">
        <v>1905</v>
      </c>
      <c r="B98" s="6" t="s">
        <v>513</v>
      </c>
      <c r="D98" s="335">
        <f>'FA Continuity 2008'!G26</f>
        <v>0</v>
      </c>
      <c r="F98" s="335">
        <f>'FA Continuity 2009'!G26</f>
        <v>0</v>
      </c>
      <c r="H98" s="335">
        <f>'FA Continuity 2010'!G26</f>
        <v>0</v>
      </c>
      <c r="J98" s="335">
        <f>'FA Continuity MIFRS 2011'!G26</f>
        <v>0</v>
      </c>
      <c r="K98" s="327"/>
      <c r="L98" s="335">
        <f>'FA Continuity 2012'!G26</f>
        <v>0</v>
      </c>
      <c r="M98">
        <f t="shared" si="0"/>
        <v>0</v>
      </c>
      <c r="N98" s="404">
        <f t="shared" si="1"/>
        <v>0</v>
      </c>
      <c r="U98" s="246"/>
      <c r="V98" s="250"/>
    </row>
    <row r="99" spans="1:22" ht="12.75">
      <c r="A99" s="5">
        <v>1906</v>
      </c>
      <c r="B99" s="6" t="s">
        <v>514</v>
      </c>
      <c r="D99" s="335">
        <f>'FA Continuity 2008'!G27</f>
        <v>0</v>
      </c>
      <c r="F99" s="335">
        <f>'FA Continuity 2009'!G27</f>
        <v>0</v>
      </c>
      <c r="H99" s="335">
        <f>'FA Continuity 2010'!G27</f>
        <v>0</v>
      </c>
      <c r="J99" s="335">
        <f>'FA Continuity MIFRS 2011'!G27</f>
        <v>0</v>
      </c>
      <c r="K99" s="327"/>
      <c r="L99" s="335">
        <f>'FA Continuity 2012'!G27</f>
        <v>0</v>
      </c>
      <c r="M99">
        <f t="shared" si="0"/>
        <v>0</v>
      </c>
      <c r="N99" s="404">
        <f t="shared" si="1"/>
        <v>0</v>
      </c>
      <c r="U99" s="246"/>
      <c r="V99" s="250"/>
    </row>
    <row r="100" spans="1:22" ht="12.75">
      <c r="A100" s="5">
        <v>1908</v>
      </c>
      <c r="B100" s="6" t="s">
        <v>607</v>
      </c>
      <c r="D100" s="335">
        <f>'FA Continuity 2008'!G28</f>
        <v>0</v>
      </c>
      <c r="F100" s="335">
        <f>'FA Continuity 2009'!G28</f>
        <v>0</v>
      </c>
      <c r="H100" s="335">
        <f>'FA Continuity 2010'!G28</f>
        <v>0</v>
      </c>
      <c r="J100" s="335">
        <f>'FA Continuity MIFRS 2011'!G28</f>
        <v>0</v>
      </c>
      <c r="K100" s="327"/>
      <c r="L100" s="335">
        <f>'FA Continuity 2012'!G28</f>
        <v>0</v>
      </c>
      <c r="M100">
        <f t="shared" si="0"/>
        <v>0</v>
      </c>
      <c r="N100" s="404">
        <f t="shared" si="1"/>
        <v>0</v>
      </c>
      <c r="U100" s="246"/>
      <c r="V100" s="250"/>
    </row>
    <row r="101" spans="1:22" ht="12.75">
      <c r="A101" s="5">
        <v>1910</v>
      </c>
      <c r="B101" s="6" t="s">
        <v>511</v>
      </c>
      <c r="D101" s="335">
        <f>'FA Continuity 2008'!G29</f>
        <v>8796.45</v>
      </c>
      <c r="F101" s="335">
        <f>'FA Continuity 2009'!G29</f>
        <v>8796.45</v>
      </c>
      <c r="H101" s="335">
        <f>'FA Continuity 2010'!G29</f>
        <v>8796.45</v>
      </c>
      <c r="J101" s="335">
        <f>'FA Continuity MIFRS 2011'!G29</f>
        <v>8796.45</v>
      </c>
      <c r="K101" s="327"/>
      <c r="L101" s="335">
        <f>'FA Continuity 2012'!G29</f>
        <v>8796.45</v>
      </c>
      <c r="M101">
        <f t="shared" si="0"/>
        <v>8796.45</v>
      </c>
      <c r="N101" s="404">
        <f t="shared" si="1"/>
        <v>8796.45</v>
      </c>
      <c r="U101" s="246"/>
      <c r="V101" s="250"/>
    </row>
    <row r="102" spans="1:22" ht="12.75">
      <c r="A102" s="5">
        <v>1915</v>
      </c>
      <c r="B102" s="6" t="s">
        <v>615</v>
      </c>
      <c r="D102" s="335">
        <f>'FA Continuity 2008'!G30</f>
        <v>0</v>
      </c>
      <c r="F102" s="335">
        <f>'FA Continuity 2009'!G30</f>
        <v>0</v>
      </c>
      <c r="H102" s="335">
        <f>'FA Continuity 2010'!G30</f>
        <v>0</v>
      </c>
      <c r="J102" s="335">
        <f>'FA Continuity MIFRS 2011'!G30</f>
        <v>0</v>
      </c>
      <c r="K102" s="327"/>
      <c r="L102" s="335">
        <f>'FA Continuity 2012'!G30</f>
        <v>0</v>
      </c>
      <c r="M102">
        <f t="shared" si="0"/>
        <v>0</v>
      </c>
      <c r="N102" s="404">
        <f t="shared" si="1"/>
        <v>0</v>
      </c>
      <c r="U102" s="246"/>
      <c r="V102" s="250"/>
    </row>
    <row r="103" spans="1:22" ht="12.75">
      <c r="A103" s="5">
        <v>1920</v>
      </c>
      <c r="B103" s="6" t="s">
        <v>616</v>
      </c>
      <c r="D103" s="335">
        <f>'FA Continuity 2008'!G31</f>
        <v>134070.38999999998</v>
      </c>
      <c r="F103" s="335">
        <f>'FA Continuity 2009'!G31</f>
        <v>151382.71999999997</v>
      </c>
      <c r="H103" s="335">
        <f>'FA Continuity 2010'!G31</f>
        <v>153687.65999999997</v>
      </c>
      <c r="J103" s="335">
        <f>'FA Continuity MIFRS 2011'!G31</f>
        <v>163687.65999999997</v>
      </c>
      <c r="K103" s="327"/>
      <c r="L103" s="335">
        <f>'FA Continuity 2012'!G31</f>
        <v>183687.65999999997</v>
      </c>
      <c r="M103">
        <f t="shared" si="0"/>
        <v>173687.65999999997</v>
      </c>
      <c r="N103" s="404">
        <f t="shared" si="1"/>
        <v>173687.65999999997</v>
      </c>
      <c r="U103" s="246"/>
      <c r="V103" s="250"/>
    </row>
    <row r="104" spans="1:22" ht="12.75">
      <c r="A104" s="5">
        <v>1925</v>
      </c>
      <c r="B104" s="6" t="s">
        <v>505</v>
      </c>
      <c r="D104" s="335">
        <f>'FA Continuity 2008'!G32</f>
        <v>81210</v>
      </c>
      <c r="F104" s="335">
        <f>'FA Continuity 2009'!G32</f>
        <v>119602.53</v>
      </c>
      <c r="H104" s="335">
        <f>'FA Continuity 2010'!G32</f>
        <v>154826.66</v>
      </c>
      <c r="J104" s="335">
        <f>'FA Continuity MIFRS 2011'!G32</f>
        <v>164826.66</v>
      </c>
      <c r="K104" s="327"/>
      <c r="L104" s="335">
        <f>'FA Continuity 2012'!G32</f>
        <v>214826.66</v>
      </c>
      <c r="M104">
        <f t="shared" si="0"/>
        <v>189826.66</v>
      </c>
      <c r="N104" s="404">
        <f t="shared" si="1"/>
        <v>189826.66</v>
      </c>
      <c r="U104" s="246"/>
      <c r="V104" s="250"/>
    </row>
    <row r="105" spans="1:22" ht="12.75">
      <c r="A105" s="5">
        <v>1930</v>
      </c>
      <c r="B105" s="6" t="s">
        <v>515</v>
      </c>
      <c r="D105" s="335">
        <f>'FA Continuity 2008'!G33</f>
        <v>22126.36</v>
      </c>
      <c r="F105" s="335">
        <f>'FA Continuity 2009'!G33</f>
        <v>289160.77999999997</v>
      </c>
      <c r="H105" s="335">
        <f>'FA Continuity 2010'!G33</f>
        <v>327095.37999999995</v>
      </c>
      <c r="J105" s="335">
        <f>'FA Continuity MIFRS 2011'!G33</f>
        <v>627095.3799999999</v>
      </c>
      <c r="K105" s="327"/>
      <c r="L105" s="335">
        <f>'FA Continuity 2012'!G33</f>
        <v>627095.3799999999</v>
      </c>
      <c r="M105">
        <f t="shared" si="0"/>
        <v>627095.3799999999</v>
      </c>
      <c r="N105" s="404">
        <f t="shared" si="1"/>
        <v>627095.3799999999</v>
      </c>
      <c r="U105" s="246"/>
      <c r="V105" s="250"/>
    </row>
    <row r="106" spans="1:22" ht="12.75">
      <c r="A106" s="5">
        <v>1935</v>
      </c>
      <c r="B106" s="6" t="s">
        <v>516</v>
      </c>
      <c r="D106" s="335">
        <f>'FA Continuity 2008'!G34</f>
        <v>0</v>
      </c>
      <c r="F106" s="335">
        <f>'FA Continuity 2009'!G34</f>
        <v>0</v>
      </c>
      <c r="H106" s="335">
        <f>'FA Continuity 2010'!G34</f>
        <v>0</v>
      </c>
      <c r="J106" s="335">
        <f>'FA Continuity MIFRS 2011'!G34</f>
        <v>0</v>
      </c>
      <c r="K106" s="327"/>
      <c r="L106" s="335">
        <f>'FA Continuity 2012'!G34</f>
        <v>0</v>
      </c>
      <c r="M106">
        <f t="shared" si="0"/>
        <v>0</v>
      </c>
      <c r="N106" s="404">
        <f t="shared" si="1"/>
        <v>0</v>
      </c>
      <c r="U106" s="246"/>
      <c r="V106" s="250"/>
    </row>
    <row r="107" spans="1:22" ht="12.75">
      <c r="A107" s="5">
        <v>1940</v>
      </c>
      <c r="B107" s="6" t="s">
        <v>617</v>
      </c>
      <c r="D107" s="335">
        <f>'FA Continuity 2008'!G35</f>
        <v>122568.85</v>
      </c>
      <c r="F107" s="335">
        <f>'FA Continuity 2009'!G35</f>
        <v>129208.53</v>
      </c>
      <c r="H107" s="335">
        <f>'FA Continuity 2010'!G35</f>
        <v>132983.96</v>
      </c>
      <c r="J107" s="335">
        <f>'FA Continuity MIFRS 2011'!G35</f>
        <v>137983.96</v>
      </c>
      <c r="K107" s="327"/>
      <c r="L107" s="335">
        <f>'FA Continuity 2012'!G35</f>
        <v>147983.96</v>
      </c>
      <c r="M107">
        <f t="shared" si="0"/>
        <v>142983.96</v>
      </c>
      <c r="N107" s="404">
        <f t="shared" si="1"/>
        <v>142983.96</v>
      </c>
      <c r="U107" s="246"/>
      <c r="V107" s="250"/>
    </row>
    <row r="108" spans="1:22" ht="12.75">
      <c r="A108" s="5">
        <v>1945</v>
      </c>
      <c r="B108" s="6" t="s">
        <v>618</v>
      </c>
      <c r="D108" s="335">
        <f>'FA Continuity 2008'!G36</f>
        <v>0</v>
      </c>
      <c r="F108" s="335">
        <f>'FA Continuity 2009'!G36</f>
        <v>0</v>
      </c>
      <c r="H108" s="335">
        <f>'FA Continuity 2010'!G36</f>
        <v>0</v>
      </c>
      <c r="J108" s="335">
        <f>'FA Continuity MIFRS 2011'!G36</f>
        <v>0</v>
      </c>
      <c r="K108" s="327"/>
      <c r="L108" s="335">
        <f>'FA Continuity 2012'!G36</f>
        <v>0</v>
      </c>
      <c r="M108">
        <f t="shared" si="0"/>
        <v>0</v>
      </c>
      <c r="N108" s="404">
        <f t="shared" si="1"/>
        <v>0</v>
      </c>
      <c r="U108" s="246"/>
      <c r="V108" s="250"/>
    </row>
    <row r="109" spans="1:22" ht="12.75">
      <c r="A109" s="5">
        <v>1950</v>
      </c>
      <c r="B109" s="6" t="s">
        <v>619</v>
      </c>
      <c r="D109" s="335">
        <f>'FA Continuity 2008'!G37</f>
        <v>0</v>
      </c>
      <c r="F109" s="335">
        <f>'FA Continuity 2009'!G37</f>
        <v>0</v>
      </c>
      <c r="H109" s="335">
        <f>'FA Continuity 2010'!G37</f>
        <v>0</v>
      </c>
      <c r="J109" s="335">
        <f>'FA Continuity MIFRS 2011'!G37</f>
        <v>0</v>
      </c>
      <c r="K109" s="327"/>
      <c r="L109" s="335">
        <f>'FA Continuity 2012'!G37</f>
        <v>0</v>
      </c>
      <c r="M109">
        <f t="shared" si="0"/>
        <v>0</v>
      </c>
      <c r="N109" s="404">
        <f t="shared" si="1"/>
        <v>0</v>
      </c>
      <c r="U109" s="246"/>
      <c r="V109" s="250"/>
    </row>
    <row r="110" spans="1:22" ht="12.75">
      <c r="A110" s="5">
        <v>1955</v>
      </c>
      <c r="B110" s="6" t="s">
        <v>620</v>
      </c>
      <c r="D110" s="335">
        <f>'FA Continuity 2008'!G38</f>
        <v>0</v>
      </c>
      <c r="F110" s="335">
        <f>'FA Continuity 2009'!G38</f>
        <v>0</v>
      </c>
      <c r="H110" s="335">
        <f>'FA Continuity 2010'!G38</f>
        <v>0</v>
      </c>
      <c r="J110" s="335">
        <f>'FA Continuity MIFRS 2011'!G38</f>
        <v>0</v>
      </c>
      <c r="K110" s="327"/>
      <c r="L110" s="335">
        <f>'FA Continuity 2012'!G38</f>
        <v>0</v>
      </c>
      <c r="M110">
        <f t="shared" si="0"/>
        <v>0</v>
      </c>
      <c r="N110" s="404">
        <f t="shared" si="1"/>
        <v>0</v>
      </c>
      <c r="U110" s="246"/>
      <c r="V110" s="250"/>
    </row>
    <row r="111" spans="1:22" ht="12.75">
      <c r="A111" s="5">
        <v>1960</v>
      </c>
      <c r="B111" s="6" t="s">
        <v>517</v>
      </c>
      <c r="D111" s="335">
        <f>'FA Continuity 2008'!G39</f>
        <v>0</v>
      </c>
      <c r="F111" s="335">
        <f>'FA Continuity 2009'!G39</f>
        <v>0</v>
      </c>
      <c r="H111" s="335">
        <f>'FA Continuity 2010'!G39</f>
        <v>0</v>
      </c>
      <c r="J111" s="335">
        <f>'FA Continuity MIFRS 2011'!G39</f>
        <v>0</v>
      </c>
      <c r="K111" s="327"/>
      <c r="L111" s="335">
        <f>'FA Continuity 2012'!G39</f>
        <v>0</v>
      </c>
      <c r="M111">
        <f t="shared" si="0"/>
        <v>0</v>
      </c>
      <c r="N111" s="404">
        <f t="shared" si="1"/>
        <v>0</v>
      </c>
      <c r="U111" s="246"/>
      <c r="V111" s="250"/>
    </row>
    <row r="112" spans="1:22" ht="12.75">
      <c r="A112" s="5">
        <v>1970</v>
      </c>
      <c r="B112" s="6" t="s">
        <v>621</v>
      </c>
      <c r="D112" s="335">
        <f>'FA Continuity 2008'!G40</f>
        <v>0</v>
      </c>
      <c r="F112" s="335">
        <f>'FA Continuity 2009'!G40</f>
        <v>0</v>
      </c>
      <c r="H112" s="335">
        <f>'FA Continuity 2010'!G40</f>
        <v>0</v>
      </c>
      <c r="J112" s="335">
        <f>'FA Continuity MIFRS 2011'!G40</f>
        <v>0</v>
      </c>
      <c r="K112" s="327"/>
      <c r="L112" s="335">
        <f>'FA Continuity 2012'!G40</f>
        <v>0</v>
      </c>
      <c r="M112">
        <f t="shared" si="0"/>
        <v>0</v>
      </c>
      <c r="N112" s="404">
        <f t="shared" si="1"/>
        <v>0</v>
      </c>
      <c r="U112" s="246"/>
      <c r="V112" s="250"/>
    </row>
    <row r="113" spans="1:22" ht="12.75">
      <c r="A113" s="5">
        <v>1975</v>
      </c>
      <c r="B113" s="6" t="s">
        <v>622</v>
      </c>
      <c r="D113" s="335">
        <f>'FA Continuity 2008'!G41</f>
        <v>0</v>
      </c>
      <c r="F113" s="335">
        <f>'FA Continuity 2009'!G41</f>
        <v>0</v>
      </c>
      <c r="H113" s="335">
        <f>'FA Continuity 2010'!G41</f>
        <v>0</v>
      </c>
      <c r="J113" s="335">
        <f>'FA Continuity MIFRS 2011'!G41</f>
        <v>0</v>
      </c>
      <c r="K113" s="327"/>
      <c r="L113" s="335">
        <f>'FA Continuity 2012'!G41</f>
        <v>0</v>
      </c>
      <c r="M113">
        <f t="shared" si="0"/>
        <v>0</v>
      </c>
      <c r="N113" s="404">
        <f t="shared" si="1"/>
        <v>0</v>
      </c>
      <c r="U113" s="246"/>
      <c r="V113" s="250"/>
    </row>
    <row r="114" spans="1:22" ht="12.75">
      <c r="A114" s="5">
        <v>1980</v>
      </c>
      <c r="B114" s="6" t="s">
        <v>518</v>
      </c>
      <c r="D114" s="335">
        <f>'FA Continuity 2008'!G42</f>
        <v>0</v>
      </c>
      <c r="F114" s="335">
        <f>'FA Continuity 2009'!G42</f>
        <v>0</v>
      </c>
      <c r="H114" s="335">
        <f>'FA Continuity 2010'!G42</f>
        <v>0</v>
      </c>
      <c r="J114" s="335">
        <f>'FA Continuity MIFRS 2011'!G42</f>
        <v>0</v>
      </c>
      <c r="K114" s="327"/>
      <c r="L114" s="335">
        <f>'FA Continuity 2012'!G42</f>
        <v>0</v>
      </c>
      <c r="M114">
        <f t="shared" si="0"/>
        <v>0</v>
      </c>
      <c r="N114" s="404">
        <f t="shared" si="1"/>
        <v>0</v>
      </c>
      <c r="U114" s="246"/>
      <c r="V114" s="250"/>
    </row>
    <row r="115" spans="1:22" ht="12.75">
      <c r="A115" s="5">
        <v>1985</v>
      </c>
      <c r="B115" s="6" t="s">
        <v>623</v>
      </c>
      <c r="D115" s="335">
        <f>'FA Continuity 2008'!G43</f>
        <v>0</v>
      </c>
      <c r="F115" s="335">
        <f>'FA Continuity 2009'!G43</f>
        <v>0</v>
      </c>
      <c r="H115" s="335">
        <f>'FA Continuity 2010'!G43</f>
        <v>0</v>
      </c>
      <c r="J115" s="335">
        <f>'FA Continuity MIFRS 2011'!G43</f>
        <v>0</v>
      </c>
      <c r="K115" s="327"/>
      <c r="L115" s="335">
        <f>'FA Continuity 2012'!G43</f>
        <v>0</v>
      </c>
      <c r="M115">
        <f t="shared" si="0"/>
        <v>0</v>
      </c>
      <c r="N115" s="404">
        <f t="shared" si="1"/>
        <v>0</v>
      </c>
      <c r="U115" s="246"/>
      <c r="V115" s="250"/>
    </row>
    <row r="116" spans="1:22" ht="12.75">
      <c r="A116" s="5">
        <v>1990</v>
      </c>
      <c r="B116" s="6" t="s">
        <v>624</v>
      </c>
      <c r="D116" s="335">
        <f>'FA Continuity 2008'!G44</f>
        <v>0</v>
      </c>
      <c r="F116" s="335">
        <f>'FA Continuity 2009'!G44</f>
        <v>0</v>
      </c>
      <c r="H116" s="335">
        <f>'FA Continuity 2010'!G44</f>
        <v>0</v>
      </c>
      <c r="J116" s="335">
        <f>'FA Continuity MIFRS 2011'!G44</f>
        <v>0</v>
      </c>
      <c r="K116" s="327"/>
      <c r="L116" s="335">
        <f>'FA Continuity 2012'!G44</f>
        <v>0</v>
      </c>
      <c r="M116">
        <f t="shared" si="0"/>
        <v>0</v>
      </c>
      <c r="N116" s="404">
        <f t="shared" si="1"/>
        <v>0</v>
      </c>
      <c r="U116" s="246"/>
      <c r="V116" s="250"/>
    </row>
    <row r="117" spans="1:22" ht="12.75">
      <c r="A117" s="5">
        <v>1995</v>
      </c>
      <c r="B117" s="6" t="s">
        <v>625</v>
      </c>
      <c r="D117" s="335">
        <f>'FA Continuity 2008'!G45</f>
        <v>-361203.58999999997</v>
      </c>
      <c r="F117" s="335">
        <f>'FA Continuity 2009'!G45</f>
        <v>-360987.58999999997</v>
      </c>
      <c r="H117" s="335">
        <f>'FA Continuity 2010'!G45</f>
        <v>-360987.58999999997</v>
      </c>
      <c r="J117" s="335">
        <f>'FA Continuity MIFRS 2011'!G45</f>
        <v>-360987.58999999997</v>
      </c>
      <c r="K117" s="327"/>
      <c r="L117" s="335">
        <f>'FA Continuity 2012'!G45</f>
        <v>-360987.58999999997</v>
      </c>
      <c r="M117">
        <f t="shared" si="0"/>
        <v>-360987.58999999997</v>
      </c>
      <c r="N117" s="404">
        <f t="shared" si="1"/>
        <v>-360987.58999999997</v>
      </c>
      <c r="U117" s="246"/>
      <c r="V117" s="250"/>
    </row>
    <row r="118" spans="2:22" ht="12.75">
      <c r="B118" s="251" t="s">
        <v>110</v>
      </c>
      <c r="K118" s="327"/>
      <c r="N118" s="404"/>
      <c r="U118" s="246"/>
      <c r="V118" s="250"/>
    </row>
    <row r="119" spans="1:22" ht="12.75">
      <c r="A119" s="5">
        <v>2005</v>
      </c>
      <c r="B119" s="6" t="s">
        <v>626</v>
      </c>
      <c r="D119" s="333"/>
      <c r="F119" s="333"/>
      <c r="H119" s="333"/>
      <c r="J119" s="333"/>
      <c r="K119" s="327"/>
      <c r="L119" s="333"/>
      <c r="N119" s="404"/>
      <c r="U119" s="246"/>
      <c r="V119" s="250"/>
    </row>
    <row r="120" spans="1:22" ht="12.75">
      <c r="A120" s="5">
        <v>2010</v>
      </c>
      <c r="B120" s="6" t="s">
        <v>627</v>
      </c>
      <c r="D120" s="333"/>
      <c r="F120" s="333"/>
      <c r="H120" s="333"/>
      <c r="J120" s="333"/>
      <c r="K120" s="327"/>
      <c r="L120" s="333"/>
      <c r="N120" s="404"/>
      <c r="U120" s="246"/>
      <c r="V120" s="250"/>
    </row>
    <row r="121" spans="1:22" ht="12.75">
      <c r="A121" s="5">
        <v>2020</v>
      </c>
      <c r="B121" s="6" t="s">
        <v>628</v>
      </c>
      <c r="D121" s="333"/>
      <c r="F121" s="333"/>
      <c r="H121" s="333"/>
      <c r="J121" s="333"/>
      <c r="K121" s="327"/>
      <c r="L121" s="333"/>
      <c r="N121" s="404"/>
      <c r="U121" s="246"/>
      <c r="V121" s="250"/>
    </row>
    <row r="122" spans="1:22" ht="12.75">
      <c r="A122" s="5">
        <v>2030</v>
      </c>
      <c r="B122" s="6" t="s">
        <v>629</v>
      </c>
      <c r="D122" s="333"/>
      <c r="F122" s="333"/>
      <c r="H122" s="333"/>
      <c r="J122" s="333"/>
      <c r="K122" s="327"/>
      <c r="L122" s="333"/>
      <c r="N122" s="404"/>
      <c r="U122" s="246"/>
      <c r="V122" s="250"/>
    </row>
    <row r="123" spans="1:22" ht="12.75">
      <c r="A123" s="5">
        <v>2040</v>
      </c>
      <c r="B123" s="6" t="s">
        <v>630</v>
      </c>
      <c r="D123" s="333"/>
      <c r="F123" s="333"/>
      <c r="H123" s="333"/>
      <c r="J123" s="333"/>
      <c r="K123" s="327"/>
      <c r="L123" s="333"/>
      <c r="N123" s="404"/>
      <c r="U123" s="246"/>
      <c r="V123" s="250"/>
    </row>
    <row r="124" spans="1:22" ht="12.75">
      <c r="A124" s="5">
        <v>2050</v>
      </c>
      <c r="B124" s="6" t="s">
        <v>631</v>
      </c>
      <c r="D124" s="333"/>
      <c r="F124" s="333"/>
      <c r="H124" s="333"/>
      <c r="J124" s="333"/>
      <c r="K124" s="327"/>
      <c r="L124" s="333"/>
      <c r="N124" s="404"/>
      <c r="U124" s="246"/>
      <c r="V124" s="250"/>
    </row>
    <row r="125" spans="1:22" ht="12.75">
      <c r="A125" s="5">
        <v>2055</v>
      </c>
      <c r="B125" s="6" t="s">
        <v>632</v>
      </c>
      <c r="D125" s="333">
        <v>7063.76</v>
      </c>
      <c r="F125" s="333"/>
      <c r="H125" s="333"/>
      <c r="J125" s="333"/>
      <c r="K125" s="327"/>
      <c r="L125" s="333"/>
      <c r="N125" s="404"/>
      <c r="U125" s="246"/>
      <c r="V125" s="250"/>
    </row>
    <row r="126" spans="1:22" ht="12.75">
      <c r="A126" s="5">
        <v>2060</v>
      </c>
      <c r="B126" s="6" t="s">
        <v>633</v>
      </c>
      <c r="D126" s="333"/>
      <c r="F126" s="333"/>
      <c r="H126" s="333"/>
      <c r="J126" s="333"/>
      <c r="K126" s="327"/>
      <c r="L126" s="333"/>
      <c r="N126" s="404"/>
      <c r="U126" s="246"/>
      <c r="V126" s="250"/>
    </row>
    <row r="127" spans="1:22" ht="12.75">
      <c r="A127" s="5">
        <v>2065</v>
      </c>
      <c r="B127" s="6" t="s">
        <v>634</v>
      </c>
      <c r="D127" s="333"/>
      <c r="F127" s="333"/>
      <c r="H127" s="333"/>
      <c r="J127" s="333"/>
      <c r="K127" s="327"/>
      <c r="L127" s="333"/>
      <c r="N127" s="404"/>
      <c r="U127" s="246"/>
      <c r="V127" s="250"/>
    </row>
    <row r="128" spans="1:22" ht="12.75">
      <c r="A128" s="5">
        <v>2070</v>
      </c>
      <c r="B128" s="6" t="s">
        <v>635</v>
      </c>
      <c r="D128" s="333"/>
      <c r="F128" s="333"/>
      <c r="H128" s="333"/>
      <c r="J128" s="333"/>
      <c r="K128" s="327"/>
      <c r="L128" s="333"/>
      <c r="N128" s="404"/>
      <c r="U128" s="246"/>
      <c r="V128" s="250"/>
    </row>
    <row r="129" spans="1:22" ht="12.75">
      <c r="A129" s="5">
        <v>2075</v>
      </c>
      <c r="B129" s="6" t="s">
        <v>636</v>
      </c>
      <c r="D129" s="333"/>
      <c r="F129" s="333"/>
      <c r="H129" s="333"/>
      <c r="J129" s="333"/>
      <c r="K129" s="327"/>
      <c r="L129" s="333"/>
      <c r="N129" s="404"/>
      <c r="T129" s="248"/>
      <c r="U129" s="246"/>
      <c r="V129" s="250"/>
    </row>
    <row r="130" spans="2:22" ht="12.75">
      <c r="B130" s="251" t="s">
        <v>111</v>
      </c>
      <c r="K130" s="327"/>
      <c r="N130" s="404"/>
      <c r="U130" s="246"/>
      <c r="V130" s="250"/>
    </row>
    <row r="131" spans="1:22" ht="12.75">
      <c r="A131" s="5">
        <v>2105</v>
      </c>
      <c r="B131" s="6" t="s">
        <v>637</v>
      </c>
      <c r="D131" s="335">
        <f>-'FA Continuity 2008'!L50</f>
        <v>-1367599.6099999999</v>
      </c>
      <c r="F131" s="335">
        <f>-'FA Continuity 2009'!L50</f>
        <v>-1643983.35</v>
      </c>
      <c r="H131" s="335">
        <f>-'FA Continuity 2010'!L50</f>
        <v>-2023384.4043333333</v>
      </c>
      <c r="J131" s="335">
        <f>-'FA Continuity MIFRS 2011'!L50</f>
        <v>-2242277.8329401133</v>
      </c>
      <c r="K131" s="327"/>
      <c r="L131" s="335">
        <f>-'FA Continuity 2012'!L50</f>
        <v>-2606677.0473845582</v>
      </c>
      <c r="N131">
        <f>(L131+J131)/2</f>
        <v>-2424477.4401623355</v>
      </c>
      <c r="U131" s="246"/>
      <c r="V131" s="250"/>
    </row>
    <row r="132" spans="1:22" ht="12.75">
      <c r="A132" s="5">
        <v>2120</v>
      </c>
      <c r="B132" s="6" t="s">
        <v>638</v>
      </c>
      <c r="D132" s="333"/>
      <c r="F132" s="333"/>
      <c r="H132" s="333"/>
      <c r="J132" s="333"/>
      <c r="K132" s="327"/>
      <c r="L132" s="333"/>
      <c r="U132" s="246"/>
      <c r="V132" s="250"/>
    </row>
    <row r="133" spans="1:22" ht="12.75">
      <c r="A133" s="5">
        <v>2140</v>
      </c>
      <c r="B133" s="6" t="s">
        <v>639</v>
      </c>
      <c r="D133" s="333"/>
      <c r="F133" s="333"/>
      <c r="H133" s="333"/>
      <c r="J133" s="333"/>
      <c r="K133" s="327"/>
      <c r="L133" s="333"/>
      <c r="U133" s="246"/>
      <c r="V133" s="250"/>
    </row>
    <row r="134" spans="1:22" ht="12.75">
      <c r="A134" s="5">
        <v>2160</v>
      </c>
      <c r="B134" s="6" t="s">
        <v>640</v>
      </c>
      <c r="D134" s="333"/>
      <c r="F134" s="333"/>
      <c r="H134" s="333"/>
      <c r="J134" s="333"/>
      <c r="K134" s="327"/>
      <c r="L134" s="333"/>
      <c r="T134" s="249"/>
      <c r="U134" s="246"/>
      <c r="V134" s="250"/>
    </row>
    <row r="135" spans="1:22" ht="12.75">
      <c r="A135" s="5">
        <v>2180</v>
      </c>
      <c r="B135" s="6" t="s">
        <v>641</v>
      </c>
      <c r="D135" s="333"/>
      <c r="F135" s="333"/>
      <c r="H135" s="333"/>
      <c r="J135" s="333"/>
      <c r="K135" s="327"/>
      <c r="L135" s="333"/>
      <c r="T135" s="249"/>
      <c r="U135" s="246"/>
      <c r="V135" s="250"/>
    </row>
    <row r="136" spans="2:22" ht="12.75">
      <c r="B136" s="251" t="s">
        <v>112</v>
      </c>
      <c r="D136" s="334"/>
      <c r="F136" s="334"/>
      <c r="H136" s="334"/>
      <c r="J136" s="334"/>
      <c r="K136" s="327"/>
      <c r="L136" s="334"/>
      <c r="T136" s="249"/>
      <c r="U136" s="246"/>
      <c r="V136" s="250"/>
    </row>
    <row r="137" spans="1:22" ht="12.75">
      <c r="A137" s="5">
        <v>2205</v>
      </c>
      <c r="B137" s="6" t="s">
        <v>642</v>
      </c>
      <c r="D137" s="333">
        <v>-159248.37000000002</v>
      </c>
      <c r="F137" s="333">
        <f>-45484.14-1</f>
        <v>-45485.14</v>
      </c>
      <c r="H137" s="333">
        <v>-29226.06</v>
      </c>
      <c r="J137" s="333">
        <v>-69845</v>
      </c>
      <c r="K137" s="327"/>
      <c r="L137" s="333">
        <f>-65837+8000-40182</f>
        <v>-98019</v>
      </c>
      <c r="T137" s="249"/>
      <c r="U137" s="246"/>
      <c r="V137" s="250"/>
    </row>
    <row r="138" spans="1:22" ht="12.75">
      <c r="A138" s="5">
        <v>2208</v>
      </c>
      <c r="B138" s="6" t="s">
        <v>643</v>
      </c>
      <c r="D138" s="333">
        <v>-90328.63</v>
      </c>
      <c r="F138" s="333">
        <v>-88418.1</v>
      </c>
      <c r="H138" s="333">
        <v>-87650.15</v>
      </c>
      <c r="J138" s="333">
        <v>-90000</v>
      </c>
      <c r="K138" s="327"/>
      <c r="L138" s="333">
        <v>-90000</v>
      </c>
      <c r="T138" s="249"/>
      <c r="U138" s="246"/>
      <c r="V138" s="250"/>
    </row>
    <row r="139" spans="1:22" ht="12.75">
      <c r="A139" s="5">
        <v>2210</v>
      </c>
      <c r="B139" s="6" t="s">
        <v>644</v>
      </c>
      <c r="D139" s="333">
        <v>-79000</v>
      </c>
      <c r="F139" s="333">
        <v>-79000</v>
      </c>
      <c r="H139" s="333">
        <v>-79000</v>
      </c>
      <c r="J139" s="333">
        <v>-79000</v>
      </c>
      <c r="K139" s="327"/>
      <c r="L139" s="333">
        <v>-60000</v>
      </c>
      <c r="T139" s="249"/>
      <c r="U139" s="246"/>
      <c r="V139" s="250"/>
    </row>
    <row r="140" spans="1:22" ht="12.75">
      <c r="A140" s="5">
        <v>2215</v>
      </c>
      <c r="B140" s="6" t="s">
        <v>645</v>
      </c>
      <c r="D140" s="333"/>
      <c r="F140" s="333"/>
      <c r="H140" s="333"/>
      <c r="J140" s="333"/>
      <c r="K140" s="327"/>
      <c r="L140" s="333"/>
      <c r="T140" s="249"/>
      <c r="U140" s="246"/>
      <c r="V140" s="250"/>
    </row>
    <row r="141" spans="1:22" ht="12.75">
      <c r="A141" s="5">
        <v>2220</v>
      </c>
      <c r="B141" s="6" t="s">
        <v>646</v>
      </c>
      <c r="D141" s="333">
        <v>-1249224.36</v>
      </c>
      <c r="F141" s="333">
        <v>-1282669.62</v>
      </c>
      <c r="H141" s="333">
        <v>-1153482.63</v>
      </c>
      <c r="J141" s="333">
        <v>-1200000</v>
      </c>
      <c r="K141" s="327"/>
      <c r="L141" s="333">
        <v>-1200000</v>
      </c>
      <c r="T141" s="249"/>
      <c r="U141" s="246"/>
      <c r="V141" s="250"/>
    </row>
    <row r="142" spans="1:22" ht="12.75">
      <c r="A142" s="5">
        <v>2225</v>
      </c>
      <c r="B142" s="6" t="s">
        <v>647</v>
      </c>
      <c r="D142" s="333"/>
      <c r="F142" s="333">
        <v>-1078402.77</v>
      </c>
      <c r="H142" s="333">
        <v>-70939.84</v>
      </c>
      <c r="J142" s="333">
        <v>-80000</v>
      </c>
      <c r="K142" s="327"/>
      <c r="L142" s="333">
        <v>-80000</v>
      </c>
      <c r="T142" s="249"/>
      <c r="U142" s="246"/>
      <c r="V142" s="250"/>
    </row>
    <row r="143" spans="1:22" ht="12.75">
      <c r="A143" s="5">
        <v>2240</v>
      </c>
      <c r="B143" s="6" t="s">
        <v>648</v>
      </c>
      <c r="D143" s="333">
        <v>-575850.41</v>
      </c>
      <c r="F143" s="333">
        <v>-654543.36</v>
      </c>
      <c r="H143" s="333">
        <v>-605116.23</v>
      </c>
      <c r="J143" s="333">
        <v>-600000</v>
      </c>
      <c r="K143" s="327"/>
      <c r="L143" s="333">
        <v>-600000</v>
      </c>
      <c r="T143" s="249"/>
      <c r="U143" s="246"/>
      <c r="V143" s="250"/>
    </row>
    <row r="144" spans="1:22" ht="12.75">
      <c r="A144" s="5">
        <v>2242</v>
      </c>
      <c r="B144" s="6" t="s">
        <v>649</v>
      </c>
      <c r="D144" s="333">
        <v>-1163352.49</v>
      </c>
      <c r="F144" s="333">
        <v>-1163352.49</v>
      </c>
      <c r="H144" s="333">
        <v>-1163352.49</v>
      </c>
      <c r="J144" s="333">
        <v>-1163352</v>
      </c>
      <c r="K144" s="327"/>
      <c r="L144" s="333">
        <v>-1163352</v>
      </c>
      <c r="T144" s="249"/>
      <c r="U144" s="246"/>
      <c r="V144" s="250"/>
    </row>
    <row r="145" spans="1:22" ht="12.75">
      <c r="A145" s="5">
        <v>2250</v>
      </c>
      <c r="B145" s="6" t="s">
        <v>802</v>
      </c>
      <c r="D145" s="333">
        <v>-63061.62</v>
      </c>
      <c r="F145" s="333">
        <v>-70290.34</v>
      </c>
      <c r="H145" s="333">
        <v>1257.61</v>
      </c>
      <c r="J145" s="333">
        <v>-70000</v>
      </c>
      <c r="K145" s="327"/>
      <c r="L145" s="333">
        <v>-70000</v>
      </c>
      <c r="T145" s="249"/>
      <c r="U145" s="246"/>
      <c r="V145" s="250"/>
    </row>
    <row r="146" spans="1:22" ht="12.75">
      <c r="A146" s="5">
        <v>2252</v>
      </c>
      <c r="B146" s="6" t="s">
        <v>650</v>
      </c>
      <c r="D146" s="333"/>
      <c r="F146" s="333"/>
      <c r="H146" s="333"/>
      <c r="J146" s="333"/>
      <c r="K146" s="327"/>
      <c r="L146" s="333"/>
      <c r="T146" s="249"/>
      <c r="U146" s="246"/>
      <c r="V146" s="250"/>
    </row>
    <row r="147" spans="1:22" ht="12.75">
      <c r="A147" s="5">
        <v>2254</v>
      </c>
      <c r="B147" s="6" t="s">
        <v>651</v>
      </c>
      <c r="D147" s="333"/>
      <c r="F147" s="333"/>
      <c r="H147" s="333"/>
      <c r="J147" s="333"/>
      <c r="K147" s="327"/>
      <c r="L147" s="333"/>
      <c r="T147" s="249"/>
      <c r="U147" s="246"/>
      <c r="V147" s="250"/>
    </row>
    <row r="148" spans="1:22" ht="12.75">
      <c r="A148" s="5">
        <v>2256</v>
      </c>
      <c r="B148" s="6" t="s">
        <v>652</v>
      </c>
      <c r="D148" s="333"/>
      <c r="F148" s="333"/>
      <c r="H148" s="333"/>
      <c r="J148" s="333"/>
      <c r="K148" s="327"/>
      <c r="L148" s="333"/>
      <c r="T148" s="249"/>
      <c r="U148" s="246"/>
      <c r="V148" s="250"/>
    </row>
    <row r="149" spans="1:22" ht="12.75">
      <c r="A149" s="5">
        <v>2260</v>
      </c>
      <c r="B149" s="6" t="s">
        <v>653</v>
      </c>
      <c r="D149" s="333">
        <v>-109500</v>
      </c>
      <c r="F149" s="333">
        <v>-117500</v>
      </c>
      <c r="H149" s="333"/>
      <c r="J149" s="333">
        <v>0</v>
      </c>
      <c r="K149" s="327"/>
      <c r="L149" s="333"/>
      <c r="T149" s="249"/>
      <c r="U149" s="246"/>
      <c r="V149" s="250"/>
    </row>
    <row r="150" spans="1:22" ht="12.75">
      <c r="A150" s="5">
        <v>2262</v>
      </c>
      <c r="B150" s="6" t="s">
        <v>654</v>
      </c>
      <c r="D150" s="333"/>
      <c r="F150" s="333"/>
      <c r="H150" s="333"/>
      <c r="J150" s="333"/>
      <c r="K150" s="327"/>
      <c r="L150" s="333"/>
      <c r="T150" s="249"/>
      <c r="U150" s="246"/>
      <c r="V150" s="250"/>
    </row>
    <row r="151" spans="1:22" ht="12.75">
      <c r="A151" s="5">
        <v>2264</v>
      </c>
      <c r="B151" s="6" t="s">
        <v>655</v>
      </c>
      <c r="D151" s="333"/>
      <c r="F151" s="333"/>
      <c r="H151" s="333"/>
      <c r="J151" s="333"/>
      <c r="K151" s="327"/>
      <c r="L151" s="333"/>
      <c r="T151" s="249"/>
      <c r="U151" s="246"/>
      <c r="V151" s="250"/>
    </row>
    <row r="152" spans="1:22" ht="12.75">
      <c r="A152" s="5">
        <v>2268</v>
      </c>
      <c r="B152" s="6" t="s">
        <v>656</v>
      </c>
      <c r="D152" s="333"/>
      <c r="F152" s="333"/>
      <c r="H152" s="333"/>
      <c r="J152" s="333"/>
      <c r="K152" s="327"/>
      <c r="L152" s="333"/>
      <c r="T152" s="249"/>
      <c r="U152" s="246"/>
      <c r="V152" s="250"/>
    </row>
    <row r="153" spans="1:22" ht="12.75">
      <c r="A153" s="5">
        <v>2270</v>
      </c>
      <c r="B153" s="6" t="s">
        <v>657</v>
      </c>
      <c r="D153" s="333"/>
      <c r="F153" s="333"/>
      <c r="H153" s="333"/>
      <c r="J153" s="333"/>
      <c r="K153" s="327"/>
      <c r="L153" s="333"/>
      <c r="T153" s="249"/>
      <c r="U153" s="246"/>
      <c r="V153" s="250"/>
    </row>
    <row r="154" spans="1:22" ht="12.75">
      <c r="A154" s="5">
        <v>2272</v>
      </c>
      <c r="B154" s="6" t="s">
        <v>658</v>
      </c>
      <c r="D154" s="333"/>
      <c r="F154" s="333"/>
      <c r="H154" s="333"/>
      <c r="J154" s="333"/>
      <c r="K154" s="327"/>
      <c r="L154" s="333"/>
      <c r="T154" s="249"/>
      <c r="U154" s="246"/>
      <c r="V154" s="250"/>
    </row>
    <row r="155" spans="1:22" ht="12.75">
      <c r="A155" s="5">
        <v>2285</v>
      </c>
      <c r="B155" s="6" t="s">
        <v>659</v>
      </c>
      <c r="D155" s="333"/>
      <c r="F155" s="333"/>
      <c r="H155" s="333"/>
      <c r="J155" s="333"/>
      <c r="K155" s="327"/>
      <c r="L155" s="333"/>
      <c r="T155" s="249"/>
      <c r="U155" s="246"/>
      <c r="V155" s="250"/>
    </row>
    <row r="156" spans="1:22" ht="12.75">
      <c r="A156" s="5">
        <v>2290</v>
      </c>
      <c r="B156" s="6" t="s">
        <v>660</v>
      </c>
      <c r="D156" s="333">
        <v>-62351.81</v>
      </c>
      <c r="F156" s="333">
        <v>2225.67</v>
      </c>
      <c r="H156" s="333">
        <v>-65085.83</v>
      </c>
      <c r="J156" s="333">
        <v>-65000</v>
      </c>
      <c r="K156" s="327"/>
      <c r="L156" s="333">
        <v>-65000</v>
      </c>
      <c r="T156" s="249"/>
      <c r="U156" s="246"/>
      <c r="V156" s="250"/>
    </row>
    <row r="157" spans="1:22" ht="12.75">
      <c r="A157" s="5">
        <v>2292</v>
      </c>
      <c r="B157" s="6" t="s">
        <v>661</v>
      </c>
      <c r="D157" s="333">
        <v>-28721.66</v>
      </c>
      <c r="F157" s="333">
        <v>-15765.62</v>
      </c>
      <c r="H157" s="333"/>
      <c r="J157" s="333">
        <v>-20000</v>
      </c>
      <c r="K157" s="327"/>
      <c r="L157" s="333">
        <v>-20000</v>
      </c>
      <c r="T157" s="249"/>
      <c r="U157" s="246"/>
      <c r="V157" s="250"/>
    </row>
    <row r="158" spans="1:22" ht="12.75">
      <c r="A158" s="5">
        <v>2294</v>
      </c>
      <c r="B158" s="6" t="s">
        <v>662</v>
      </c>
      <c r="D158" s="333">
        <v>5847</v>
      </c>
      <c r="F158" s="333">
        <v>-306</v>
      </c>
      <c r="H158" s="333">
        <v>19932</v>
      </c>
      <c r="J158" s="333">
        <v>0</v>
      </c>
      <c r="K158" s="327"/>
      <c r="L158" s="333"/>
      <c r="T158" s="249"/>
      <c r="U158" s="246"/>
      <c r="V158" s="250"/>
    </row>
    <row r="159" spans="1:22" ht="12.75">
      <c r="A159" s="5">
        <v>2296</v>
      </c>
      <c r="B159" s="6" t="s">
        <v>663</v>
      </c>
      <c r="D159" s="333"/>
      <c r="F159" s="333"/>
      <c r="H159" s="333"/>
      <c r="J159" s="333"/>
      <c r="K159" s="327"/>
      <c r="L159" s="333"/>
      <c r="T159" s="249"/>
      <c r="U159" s="246"/>
      <c r="V159" s="250"/>
    </row>
    <row r="160" spans="2:22" ht="12.75">
      <c r="B160" s="251" t="s">
        <v>113</v>
      </c>
      <c r="K160" s="327"/>
      <c r="T160" s="249"/>
      <c r="U160" s="246"/>
      <c r="V160" s="250"/>
    </row>
    <row r="161" spans="1:22" ht="12.75">
      <c r="A161" s="5">
        <v>2305</v>
      </c>
      <c r="B161" s="6" t="s">
        <v>664</v>
      </c>
      <c r="D161" s="333"/>
      <c r="F161" s="333"/>
      <c r="H161" s="333"/>
      <c r="J161" s="333"/>
      <c r="K161" s="327"/>
      <c r="L161" s="333"/>
      <c r="T161" s="249"/>
      <c r="U161" s="246"/>
      <c r="V161" s="250"/>
    </row>
    <row r="162" spans="1:22" ht="12.75">
      <c r="A162" s="5">
        <v>2306</v>
      </c>
      <c r="B162" s="6" t="s">
        <v>665</v>
      </c>
      <c r="D162" s="333"/>
      <c r="F162" s="333"/>
      <c r="H162" s="333"/>
      <c r="J162" s="333"/>
      <c r="K162" s="327"/>
      <c r="L162" s="333"/>
      <c r="T162" s="249"/>
      <c r="U162" s="246"/>
      <c r="V162" s="250"/>
    </row>
    <row r="163" spans="1:22" ht="12.75">
      <c r="A163" s="5">
        <v>2308</v>
      </c>
      <c r="B163" s="6" t="s">
        <v>666</v>
      </c>
      <c r="D163" s="333"/>
      <c r="F163" s="333"/>
      <c r="H163" s="333"/>
      <c r="J163" s="333"/>
      <c r="K163" s="327"/>
      <c r="L163" s="333"/>
      <c r="T163" s="249"/>
      <c r="U163" s="246"/>
      <c r="V163" s="250"/>
    </row>
    <row r="164" spans="1:22" ht="12.75">
      <c r="A164" s="5">
        <v>2310</v>
      </c>
      <c r="B164" s="6" t="s">
        <v>667</v>
      </c>
      <c r="D164" s="333"/>
      <c r="F164" s="333"/>
      <c r="H164" s="333"/>
      <c r="J164" s="333"/>
      <c r="K164" s="327"/>
      <c r="L164" s="333"/>
      <c r="T164" s="249"/>
      <c r="U164" s="246"/>
      <c r="V164" s="250"/>
    </row>
    <row r="165" spans="1:22" ht="12.75">
      <c r="A165" s="5">
        <v>2315</v>
      </c>
      <c r="B165" s="6" t="s">
        <v>668</v>
      </c>
      <c r="D165" s="333"/>
      <c r="F165" s="333"/>
      <c r="H165" s="333"/>
      <c r="J165" s="333"/>
      <c r="K165" s="327"/>
      <c r="L165" s="333"/>
      <c r="T165" s="249"/>
      <c r="U165" s="246"/>
      <c r="V165" s="250"/>
    </row>
    <row r="166" spans="1:22" ht="12.75">
      <c r="A166" s="5">
        <v>2320</v>
      </c>
      <c r="B166" s="6" t="s">
        <v>540</v>
      </c>
      <c r="D166" s="333"/>
      <c r="F166" s="333"/>
      <c r="H166" s="333"/>
      <c r="J166" s="333"/>
      <c r="K166" s="327"/>
      <c r="L166" s="333"/>
      <c r="T166" s="249"/>
      <c r="U166" s="246"/>
      <c r="V166" s="250"/>
    </row>
    <row r="167" spans="1:22" ht="12.75">
      <c r="A167" s="5">
        <v>2325</v>
      </c>
      <c r="B167" s="6" t="s">
        <v>669</v>
      </c>
      <c r="D167" s="333"/>
      <c r="F167" s="333"/>
      <c r="H167" s="333"/>
      <c r="J167" s="333"/>
      <c r="K167" s="327"/>
      <c r="L167" s="333"/>
      <c r="T167" s="249"/>
      <c r="U167" s="246"/>
      <c r="V167" s="250"/>
    </row>
    <row r="168" spans="1:22" ht="12.75">
      <c r="A168" s="5">
        <v>2330</v>
      </c>
      <c r="B168" s="6" t="s">
        <v>670</v>
      </c>
      <c r="D168" s="333"/>
      <c r="F168" s="333"/>
      <c r="H168" s="333"/>
      <c r="J168" s="333"/>
      <c r="K168" s="327"/>
      <c r="L168" s="333"/>
      <c r="T168" s="249"/>
      <c r="U168" s="246"/>
      <c r="V168" s="250"/>
    </row>
    <row r="169" spans="1:22" ht="12.75">
      <c r="A169" s="5">
        <v>2335</v>
      </c>
      <c r="B169" s="6" t="s">
        <v>671</v>
      </c>
      <c r="D169" s="333">
        <v>-70992.15</v>
      </c>
      <c r="F169" s="333">
        <v>-51127.18</v>
      </c>
      <c r="H169" s="333">
        <v>-44833.28</v>
      </c>
      <c r="J169" s="333">
        <v>-45000</v>
      </c>
      <c r="K169" s="327"/>
      <c r="L169" s="333">
        <v>-35000</v>
      </c>
      <c r="T169" s="249"/>
      <c r="U169" s="246"/>
      <c r="V169" s="250"/>
    </row>
    <row r="170" spans="1:22" ht="12.75">
      <c r="A170" s="5">
        <v>2340</v>
      </c>
      <c r="B170" s="6" t="s">
        <v>672</v>
      </c>
      <c r="D170" s="333"/>
      <c r="F170" s="333"/>
      <c r="H170" s="333"/>
      <c r="J170" s="333"/>
      <c r="K170" s="327"/>
      <c r="L170" s="333"/>
      <c r="T170" s="249"/>
      <c r="U170" s="246"/>
      <c r="V170" s="250"/>
    </row>
    <row r="171" spans="1:22" ht="12.75">
      <c r="A171" s="5">
        <v>2345</v>
      </c>
      <c r="B171" s="6" t="s">
        <v>673</v>
      </c>
      <c r="D171" s="333"/>
      <c r="F171" s="333"/>
      <c r="H171" s="333"/>
      <c r="J171" s="333"/>
      <c r="K171" s="327"/>
      <c r="L171" s="333"/>
      <c r="T171" s="249"/>
      <c r="U171" s="246"/>
      <c r="V171" s="250"/>
    </row>
    <row r="172" spans="1:22" ht="12.75">
      <c r="A172" s="5">
        <v>2348</v>
      </c>
      <c r="B172" s="6" t="s">
        <v>674</v>
      </c>
      <c r="D172" s="333"/>
      <c r="F172" s="333"/>
      <c r="H172" s="333"/>
      <c r="J172" s="333"/>
      <c r="K172" s="327"/>
      <c r="L172" s="333"/>
      <c r="T172" s="249"/>
      <c r="U172" s="246"/>
      <c r="V172" s="250"/>
    </row>
    <row r="173" spans="1:22" ht="12.75">
      <c r="A173" s="5">
        <v>2350</v>
      </c>
      <c r="B173" s="6" t="s">
        <v>675</v>
      </c>
      <c r="D173" s="333"/>
      <c r="F173" s="333"/>
      <c r="H173" s="333"/>
      <c r="J173" s="333"/>
      <c r="K173" s="327"/>
      <c r="L173" s="333"/>
      <c r="T173" s="249"/>
      <c r="U173" s="246"/>
      <c r="V173" s="250"/>
    </row>
    <row r="174" spans="2:22" ht="12.75">
      <c r="B174" s="251" t="s">
        <v>114</v>
      </c>
      <c r="K174" s="327"/>
      <c r="T174" s="249"/>
      <c r="U174" s="246"/>
      <c r="V174" s="250"/>
    </row>
    <row r="175" spans="1:22" ht="12.75">
      <c r="A175" s="5">
        <v>2405</v>
      </c>
      <c r="B175" s="6" t="s">
        <v>541</v>
      </c>
      <c r="D175" s="333"/>
      <c r="F175" s="333">
        <v>-14508</v>
      </c>
      <c r="H175" s="333"/>
      <c r="J175" s="333"/>
      <c r="K175" s="327"/>
      <c r="L175" s="333"/>
      <c r="T175" s="249"/>
      <c r="U175" s="246"/>
      <c r="V175" s="250"/>
    </row>
    <row r="176" spans="1:22" ht="12.75">
      <c r="A176" s="5">
        <v>2410</v>
      </c>
      <c r="B176" s="6" t="s">
        <v>676</v>
      </c>
      <c r="D176" s="333"/>
      <c r="F176" s="333"/>
      <c r="H176" s="333"/>
      <c r="J176" s="333"/>
      <c r="K176" s="327"/>
      <c r="L176" s="333"/>
      <c r="T176" s="249"/>
      <c r="U176" s="246"/>
      <c r="V176" s="250"/>
    </row>
    <row r="177" spans="1:22" ht="12.75">
      <c r="A177" s="5">
        <v>2415</v>
      </c>
      <c r="B177" s="6" t="s">
        <v>677</v>
      </c>
      <c r="D177" s="333"/>
      <c r="F177" s="333"/>
      <c r="H177" s="333"/>
      <c r="J177" s="333"/>
      <c r="K177" s="327"/>
      <c r="L177" s="333"/>
      <c r="T177" s="249"/>
      <c r="U177" s="246"/>
      <c r="V177" s="250"/>
    </row>
    <row r="178" spans="1:22" ht="12.75">
      <c r="A178" s="5">
        <v>2425</v>
      </c>
      <c r="B178" s="6" t="s">
        <v>678</v>
      </c>
      <c r="D178" s="333">
        <v>-30000</v>
      </c>
      <c r="F178" s="333">
        <v>-30000</v>
      </c>
      <c r="H178" s="333">
        <v>-30000</v>
      </c>
      <c r="J178" s="333">
        <v>-30000</v>
      </c>
      <c r="K178" s="327"/>
      <c r="L178" s="333">
        <v>-30000</v>
      </c>
      <c r="T178" s="249"/>
      <c r="U178" s="246"/>
      <c r="V178" s="250"/>
    </row>
    <row r="179" spans="1:22" ht="12.75">
      <c r="A179" s="5">
        <v>2435</v>
      </c>
      <c r="B179" s="6" t="s">
        <v>679</v>
      </c>
      <c r="D179" s="333"/>
      <c r="F179" s="333"/>
      <c r="H179" s="333"/>
      <c r="J179" s="333"/>
      <c r="K179" s="327"/>
      <c r="L179" s="333"/>
      <c r="T179" s="249"/>
      <c r="U179" s="246"/>
      <c r="V179" s="250"/>
    </row>
    <row r="180" spans="2:22" ht="12.75">
      <c r="B180" s="251" t="s">
        <v>424</v>
      </c>
      <c r="K180" s="327"/>
      <c r="T180" s="249"/>
      <c r="U180" s="246"/>
      <c r="V180" s="250"/>
    </row>
    <row r="181" spans="1:22" ht="12.75">
      <c r="A181" s="5">
        <v>2505</v>
      </c>
      <c r="B181" s="6" t="s">
        <v>680</v>
      </c>
      <c r="D181" s="333"/>
      <c r="F181" s="333"/>
      <c r="H181" s="333"/>
      <c r="J181" s="333">
        <f>-'Debt &amp; Capital Structure'!H14-'Debt &amp; Capital Structure'!H15</f>
        <v>-1042255.2</v>
      </c>
      <c r="K181" s="327"/>
      <c r="L181" s="333">
        <f>-'Debt &amp; Capital Structure'!H17-'Debt &amp; Capital Structure'!H18</f>
        <v>-1009292.33</v>
      </c>
      <c r="T181" s="249"/>
      <c r="U181" s="246"/>
      <c r="V181" s="250"/>
    </row>
    <row r="182" spans="1:22" ht="12.75">
      <c r="A182" s="5">
        <v>2510</v>
      </c>
      <c r="B182" s="6" t="s">
        <v>681</v>
      </c>
      <c r="D182" s="333"/>
      <c r="F182" s="333"/>
      <c r="H182" s="333"/>
      <c r="J182" s="333"/>
      <c r="K182" s="327"/>
      <c r="L182" s="333"/>
      <c r="T182" s="249"/>
      <c r="U182" s="246"/>
      <c r="V182" s="250"/>
    </row>
    <row r="183" spans="1:22" ht="12.75">
      <c r="A183" s="5">
        <v>2515</v>
      </c>
      <c r="B183" s="6" t="s">
        <v>682</v>
      </c>
      <c r="D183" s="333"/>
      <c r="F183" s="333"/>
      <c r="H183" s="333"/>
      <c r="J183" s="333"/>
      <c r="K183" s="327"/>
      <c r="L183" s="333"/>
      <c r="T183" s="249"/>
      <c r="U183" s="246"/>
      <c r="V183" s="250"/>
    </row>
    <row r="184" spans="1:22" ht="12.75">
      <c r="A184" s="5">
        <v>2520</v>
      </c>
      <c r="B184" s="6" t="s">
        <v>683</v>
      </c>
      <c r="D184" s="333"/>
      <c r="F184" s="333"/>
      <c r="H184" s="333">
        <v>-214375.04</v>
      </c>
      <c r="J184" s="333">
        <v>-214375</v>
      </c>
      <c r="K184" s="327"/>
      <c r="L184" s="333">
        <v>214375</v>
      </c>
      <c r="T184" s="249"/>
      <c r="U184" s="246"/>
      <c r="V184" s="250"/>
    </row>
    <row r="185" spans="1:22" ht="12.75">
      <c r="A185" s="5">
        <v>2525</v>
      </c>
      <c r="B185" s="6" t="s">
        <v>684</v>
      </c>
      <c r="D185" s="333">
        <v>-190801.52</v>
      </c>
      <c r="F185" s="333">
        <v>-70969.89</v>
      </c>
      <c r="H185" s="333">
        <v>-791732.59</v>
      </c>
      <c r="J185" s="333">
        <v>-800000</v>
      </c>
      <c r="K185" s="327"/>
      <c r="L185" s="333">
        <v>-800000</v>
      </c>
      <c r="T185" s="249"/>
      <c r="U185" s="246"/>
      <c r="V185" s="250"/>
    </row>
    <row r="186" spans="1:22" ht="12.75">
      <c r="A186" s="5">
        <v>2530</v>
      </c>
      <c r="B186" s="6" t="s">
        <v>685</v>
      </c>
      <c r="D186" s="333"/>
      <c r="F186" s="333"/>
      <c r="H186" s="333"/>
      <c r="J186" s="333"/>
      <c r="K186" s="327"/>
      <c r="L186" s="333"/>
      <c r="T186" s="249"/>
      <c r="U186" s="246"/>
      <c r="V186" s="250"/>
    </row>
    <row r="187" spans="1:22" ht="12.75">
      <c r="A187" s="5">
        <v>2550</v>
      </c>
      <c r="B187" s="6" t="s">
        <v>686</v>
      </c>
      <c r="D187" s="333"/>
      <c r="F187" s="333"/>
      <c r="H187" s="333"/>
      <c r="J187" s="333"/>
      <c r="K187" s="327"/>
      <c r="L187" s="333"/>
      <c r="T187" s="249"/>
      <c r="U187" s="246"/>
      <c r="V187" s="250"/>
    </row>
    <row r="188" spans="2:22" ht="12.75">
      <c r="B188" s="251" t="s">
        <v>115</v>
      </c>
      <c r="K188" s="327"/>
      <c r="T188" s="249"/>
      <c r="U188" s="246"/>
      <c r="V188" s="250"/>
    </row>
    <row r="189" spans="1:22" ht="12.75">
      <c r="A189" s="5">
        <v>3005</v>
      </c>
      <c r="B189" s="6" t="s">
        <v>542</v>
      </c>
      <c r="D189" s="333">
        <v>-2511123.49</v>
      </c>
      <c r="F189" s="333">
        <v>-2511123.49</v>
      </c>
      <c r="H189" s="333">
        <v>-2511123.49</v>
      </c>
      <c r="J189" s="333">
        <f>+H189</f>
        <v>-2511123.49</v>
      </c>
      <c r="K189" s="327"/>
      <c r="L189" s="333">
        <f>+J189</f>
        <v>-2511123.49</v>
      </c>
      <c r="T189" s="249"/>
      <c r="U189" s="246"/>
      <c r="V189" s="250"/>
    </row>
    <row r="190" spans="1:22" ht="12.75">
      <c r="A190" s="5">
        <v>3008</v>
      </c>
      <c r="B190" s="6" t="s">
        <v>687</v>
      </c>
      <c r="D190" s="333"/>
      <c r="F190" s="333"/>
      <c r="H190" s="333"/>
      <c r="J190" s="333"/>
      <c r="K190" s="327"/>
      <c r="L190" s="333"/>
      <c r="T190" s="249"/>
      <c r="U190" s="246"/>
      <c r="V190" s="250"/>
    </row>
    <row r="191" spans="1:22" ht="12.75">
      <c r="A191" s="5">
        <v>3010</v>
      </c>
      <c r="B191" s="6" t="s">
        <v>688</v>
      </c>
      <c r="D191" s="333"/>
      <c r="F191" s="333"/>
      <c r="H191" s="333"/>
      <c r="J191" s="333"/>
      <c r="K191" s="327"/>
      <c r="L191" s="333"/>
      <c r="T191" s="249"/>
      <c r="U191" s="246"/>
      <c r="V191" s="250"/>
    </row>
    <row r="192" spans="1:22" ht="12.75">
      <c r="A192" s="5">
        <v>3020</v>
      </c>
      <c r="B192" s="6" t="s">
        <v>689</v>
      </c>
      <c r="D192" s="333"/>
      <c r="F192" s="333"/>
      <c r="H192" s="333"/>
      <c r="J192" s="333"/>
      <c r="K192" s="327"/>
      <c r="L192" s="333"/>
      <c r="T192" s="249"/>
      <c r="U192" s="246"/>
      <c r="V192" s="250"/>
    </row>
    <row r="193" spans="1:22" ht="12.75">
      <c r="A193" s="5">
        <v>3022</v>
      </c>
      <c r="B193" s="6" t="s">
        <v>690</v>
      </c>
      <c r="D193" s="333"/>
      <c r="F193" s="333"/>
      <c r="H193" s="333"/>
      <c r="J193" s="333"/>
      <c r="K193" s="327"/>
      <c r="L193" s="333"/>
      <c r="T193" s="249"/>
      <c r="U193" s="246"/>
      <c r="V193" s="250"/>
    </row>
    <row r="194" spans="1:22" ht="12.75">
      <c r="A194" s="5">
        <v>3026</v>
      </c>
      <c r="B194" s="6" t="s">
        <v>691</v>
      </c>
      <c r="D194" s="333"/>
      <c r="F194" s="333"/>
      <c r="H194" s="333"/>
      <c r="J194" s="333"/>
      <c r="K194" s="327"/>
      <c r="L194" s="333"/>
      <c r="T194" s="249"/>
      <c r="U194" s="246"/>
      <c r="V194" s="250"/>
    </row>
    <row r="195" spans="1:22" ht="12.75">
      <c r="A195" s="5">
        <v>3030</v>
      </c>
      <c r="B195" s="6" t="s">
        <v>692</v>
      </c>
      <c r="D195" s="333"/>
      <c r="F195" s="333"/>
      <c r="H195" s="333"/>
      <c r="J195" s="333"/>
      <c r="K195" s="327"/>
      <c r="L195" s="333"/>
      <c r="T195" s="249"/>
      <c r="U195" s="246"/>
      <c r="V195" s="250"/>
    </row>
    <row r="196" spans="1:22" ht="12.75">
      <c r="A196" s="5">
        <v>3035</v>
      </c>
      <c r="B196" s="6" t="s">
        <v>693</v>
      </c>
      <c r="D196" s="333"/>
      <c r="F196" s="333"/>
      <c r="H196" s="333"/>
      <c r="J196" s="333"/>
      <c r="K196" s="327"/>
      <c r="L196" s="333"/>
      <c r="T196" s="249"/>
      <c r="U196" s="246"/>
      <c r="V196" s="250"/>
    </row>
    <row r="197" spans="1:22" ht="12.75">
      <c r="A197" s="5">
        <v>3040</v>
      </c>
      <c r="B197" s="6" t="s">
        <v>694</v>
      </c>
      <c r="D197" s="333"/>
      <c r="F197" s="333"/>
      <c r="H197" s="333"/>
      <c r="J197" s="333"/>
      <c r="K197" s="327"/>
      <c r="L197" s="333"/>
      <c r="T197" s="249"/>
      <c r="U197" s="246"/>
      <c r="V197" s="250"/>
    </row>
    <row r="198" spans="1:22" ht="12.75">
      <c r="A198" s="5">
        <v>3045</v>
      </c>
      <c r="B198" s="6" t="s">
        <v>695</v>
      </c>
      <c r="D198" s="333"/>
      <c r="F198" s="333"/>
      <c r="H198" s="333"/>
      <c r="J198" s="333"/>
      <c r="K198" s="327"/>
      <c r="L198" s="333"/>
      <c r="U198" s="246"/>
      <c r="V198" s="250"/>
    </row>
    <row r="199" spans="1:22" ht="12.75">
      <c r="A199" s="5">
        <v>3046</v>
      </c>
      <c r="B199" s="6" t="s">
        <v>696</v>
      </c>
      <c r="D199" s="333">
        <v>-743256.9</v>
      </c>
      <c r="F199" s="333">
        <v>-850950.78</v>
      </c>
      <c r="H199" s="333">
        <v>-968588.35</v>
      </c>
      <c r="J199" s="333">
        <f>+H199+H202+'2011 Income Statement'!B214</f>
        <v>-769739.7434752797</v>
      </c>
      <c r="K199" s="327"/>
      <c r="L199" s="333">
        <f>+J199+J202+'2012 Income Statement'!B214</f>
        <v>-957143.8904081406</v>
      </c>
      <c r="U199" s="246"/>
      <c r="V199" s="250"/>
    </row>
    <row r="200" spans="1:22" ht="12.75">
      <c r="A200" s="5">
        <v>3047</v>
      </c>
      <c r="B200" s="6" t="s">
        <v>697</v>
      </c>
      <c r="D200" s="333"/>
      <c r="F200" s="333"/>
      <c r="H200" s="333"/>
      <c r="J200" s="333"/>
      <c r="K200" s="327"/>
      <c r="L200" s="333"/>
      <c r="U200" s="246"/>
      <c r="V200" s="250"/>
    </row>
    <row r="201" spans="1:22" ht="12.75">
      <c r="A201" s="5">
        <v>3048</v>
      </c>
      <c r="B201" s="6" t="s">
        <v>698</v>
      </c>
      <c r="D201" s="333"/>
      <c r="F201" s="333"/>
      <c r="H201" s="333"/>
      <c r="J201" s="333"/>
      <c r="K201" s="327"/>
      <c r="L201" s="333"/>
      <c r="U201" s="246"/>
      <c r="V201" s="250"/>
    </row>
    <row r="202" spans="1:22" ht="12.75">
      <c r="A202" s="5">
        <v>3049</v>
      </c>
      <c r="B202" s="6" t="s">
        <v>699</v>
      </c>
      <c r="D202" s="333">
        <v>106319</v>
      </c>
      <c r="F202" s="388">
        <v>120000</v>
      </c>
      <c r="H202" s="333">
        <v>130000</v>
      </c>
      <c r="J202" s="333">
        <v>130000</v>
      </c>
      <c r="K202" s="327"/>
      <c r="L202" s="333">
        <v>130000</v>
      </c>
      <c r="U202" s="246"/>
      <c r="V202" s="250"/>
    </row>
    <row r="203" spans="1:22" ht="12.75">
      <c r="A203" s="5">
        <v>3055</v>
      </c>
      <c r="B203" s="6" t="s">
        <v>700</v>
      </c>
      <c r="D203" s="333"/>
      <c r="F203" s="333"/>
      <c r="H203" s="333"/>
      <c r="J203" s="333"/>
      <c r="K203" s="327"/>
      <c r="L203" s="333"/>
      <c r="U203" s="246"/>
      <c r="V203" s="250"/>
    </row>
    <row r="204" spans="1:22" ht="12.75">
      <c r="A204" s="5">
        <v>3065</v>
      </c>
      <c r="B204" s="6" t="s">
        <v>701</v>
      </c>
      <c r="D204" s="333"/>
      <c r="F204" s="333"/>
      <c r="H204" s="333"/>
      <c r="J204" s="333"/>
      <c r="K204" s="327"/>
      <c r="L204" s="333"/>
      <c r="U204" s="246"/>
      <c r="V204" s="250"/>
    </row>
    <row r="205" spans="2:22" ht="12.75">
      <c r="B205" s="251" t="s">
        <v>116</v>
      </c>
      <c r="K205" s="327"/>
      <c r="U205" s="246"/>
      <c r="V205" s="250"/>
    </row>
    <row r="206" spans="1:22" ht="12.75">
      <c r="A206" s="5">
        <v>4006</v>
      </c>
      <c r="B206" s="6" t="s">
        <v>702</v>
      </c>
      <c r="D206" s="333">
        <v>-2248509.4</v>
      </c>
      <c r="F206" s="388">
        <v>-2410293.09</v>
      </c>
      <c r="H206" s="333">
        <v>-2319909.2</v>
      </c>
      <c r="J206" s="333">
        <f>-'[7]2011 COP'!$F$14-'[7]2011 COP'!$F$25</f>
        <v>-3271680.951083817</v>
      </c>
      <c r="K206" s="327"/>
      <c r="L206" s="333">
        <f>-'[7]2012 COP'!$F$14-'[7]2012 COP'!$F$25</f>
        <v>-3618282.0296509443</v>
      </c>
      <c r="U206" s="246"/>
      <c r="V206" s="250"/>
    </row>
    <row r="207" spans="1:22" ht="12.75">
      <c r="A207" s="5">
        <v>4010</v>
      </c>
      <c r="B207" s="6" t="s">
        <v>855</v>
      </c>
      <c r="D207" s="333">
        <v>-1158118.85</v>
      </c>
      <c r="F207" s="388">
        <v>-1223836.35</v>
      </c>
      <c r="H207" s="333">
        <v>-1311474.73</v>
      </c>
      <c r="J207" s="333">
        <f>-'[7]2011 COP'!$F$15-'[7]2011 COP'!$F$26-'[7]2011 COP'!$F$20-'[7]2011 COP'!$F$31</f>
        <v>-1513692.6319006688</v>
      </c>
      <c r="K207" s="327"/>
      <c r="L207" s="333">
        <f>-'[7]2012 COP'!$F$15-'[7]2012 COP'!$F$26-'[7]2012 COP'!$F$20-'[7]2012 COP'!$F$31</f>
        <v>-1643329.2892768716</v>
      </c>
      <c r="U207" s="246"/>
      <c r="V207" s="250"/>
    </row>
    <row r="208" spans="1:22" ht="12.75">
      <c r="A208" s="5">
        <v>4015</v>
      </c>
      <c r="B208" s="6" t="s">
        <v>853</v>
      </c>
      <c r="D208" s="333">
        <v>-1863026.38</v>
      </c>
      <c r="F208" s="388">
        <v>-2012543.23</v>
      </c>
      <c r="H208" s="333">
        <v>-2017511.8</v>
      </c>
      <c r="J208" s="333">
        <f>-'[7]2011 COP'!$F$16-'[7]2011 COP'!$F$27</f>
        <v>-2832645.6440009153</v>
      </c>
      <c r="K208" s="327"/>
      <c r="L208" s="333">
        <f>-'[7]2012 COP'!$F$16-'[7]2012 COP'!$F$27</f>
        <v>-2987994.804775769</v>
      </c>
      <c r="U208" s="246"/>
      <c r="V208" s="250"/>
    </row>
    <row r="209" spans="1:22" ht="12.75">
      <c r="A209" s="5">
        <v>4020</v>
      </c>
      <c r="B209" s="6" t="s">
        <v>543</v>
      </c>
      <c r="D209" s="333"/>
      <c r="F209" s="388"/>
      <c r="H209" s="333"/>
      <c r="J209" s="333"/>
      <c r="K209" s="327"/>
      <c r="L209" s="333"/>
      <c r="U209" s="246"/>
      <c r="V209" s="250"/>
    </row>
    <row r="210" spans="1:22" ht="12.75">
      <c r="A210" s="5">
        <v>4025</v>
      </c>
      <c r="B210" s="6" t="s">
        <v>703</v>
      </c>
      <c r="D210" s="333">
        <v>-90030.92</v>
      </c>
      <c r="F210" s="388">
        <v>-92753.55</v>
      </c>
      <c r="H210" s="333">
        <v>-92823.34</v>
      </c>
      <c r="J210" s="333">
        <f>-'[7]2011 COP'!$F$18-'[7]2011 COP'!$F$29</f>
        <v>-101392.03424934646</v>
      </c>
      <c r="K210" s="327"/>
      <c r="L210" s="333">
        <f>-'[7]2012 COP'!$F$18-'[7]2012 COP'!$F$29</f>
        <v>-111938.91335420767</v>
      </c>
      <c r="U210" s="246"/>
      <c r="V210" s="250"/>
    </row>
    <row r="211" spans="1:22" ht="12.75">
      <c r="A211" s="5">
        <v>4030</v>
      </c>
      <c r="B211" s="6" t="s">
        <v>704</v>
      </c>
      <c r="D211" s="333">
        <v>-4895.68</v>
      </c>
      <c r="F211" s="388">
        <v>-5982.54</v>
      </c>
      <c r="H211" s="333">
        <v>-6525.13</v>
      </c>
      <c r="J211" s="333">
        <f>-'[7]2011 COP'!$F$30-'[7]2011 COP'!$F$19</f>
        <v>-7969.645428264</v>
      </c>
      <c r="K211" s="327"/>
      <c r="L211" s="333">
        <f>-'[7]2012 COP'!$F$30-'[7]2012 COP'!$F$19</f>
        <v>-8844.136933181173</v>
      </c>
      <c r="V211" s="250"/>
    </row>
    <row r="212" spans="1:22" ht="12.75">
      <c r="A212" s="5">
        <v>4035</v>
      </c>
      <c r="B212" s="6" t="s">
        <v>854</v>
      </c>
      <c r="D212" s="333"/>
      <c r="F212" s="388"/>
      <c r="H212" s="333"/>
      <c r="J212" s="333"/>
      <c r="K212" s="327"/>
      <c r="L212" s="333"/>
      <c r="U212" s="246"/>
      <c r="V212" s="250"/>
    </row>
    <row r="213" spans="1:22" ht="12.75">
      <c r="A213" s="5">
        <v>4040</v>
      </c>
      <c r="B213" s="6" t="s">
        <v>705</v>
      </c>
      <c r="D213" s="333"/>
      <c r="F213" s="388"/>
      <c r="H213" s="333"/>
      <c r="J213" s="333"/>
      <c r="K213" s="327"/>
      <c r="L213" s="333"/>
      <c r="U213" s="246"/>
      <c r="V213" s="250"/>
    </row>
    <row r="214" spans="1:22" ht="12.75">
      <c r="A214" s="5">
        <v>4045</v>
      </c>
      <c r="B214" s="6" t="s">
        <v>706</v>
      </c>
      <c r="D214" s="333"/>
      <c r="F214" s="388"/>
      <c r="H214" s="333"/>
      <c r="J214" s="333"/>
      <c r="K214" s="327"/>
      <c r="L214" s="333"/>
      <c r="U214" s="246"/>
      <c r="V214" s="250"/>
    </row>
    <row r="215" spans="1:22" ht="12.75">
      <c r="A215" s="5">
        <v>4050</v>
      </c>
      <c r="B215" s="6" t="s">
        <v>707</v>
      </c>
      <c r="D215" s="333">
        <v>-40870</v>
      </c>
      <c r="F215" s="388"/>
      <c r="H215" s="333"/>
      <c r="J215" s="333"/>
      <c r="K215" s="327"/>
      <c r="L215" s="333"/>
      <c r="U215" s="246"/>
      <c r="V215" s="250"/>
    </row>
    <row r="216" spans="1:22" ht="12.75">
      <c r="A216" s="5">
        <v>4055</v>
      </c>
      <c r="B216" s="6" t="s">
        <v>544</v>
      </c>
      <c r="D216" s="333">
        <v>-1354156.4700000002</v>
      </c>
      <c r="F216" s="388">
        <v>-1377673.53</v>
      </c>
      <c r="H216" s="333">
        <v>-1417143.59</v>
      </c>
      <c r="J216" s="333"/>
      <c r="K216" s="327"/>
      <c r="L216" s="333"/>
      <c r="U216" s="246"/>
      <c r="V216" s="250"/>
    </row>
    <row r="217" spans="1:22" ht="12.75">
      <c r="A217" s="5">
        <v>4060</v>
      </c>
      <c r="B217" s="6" t="s">
        <v>708</v>
      </c>
      <c r="D217" s="333"/>
      <c r="F217" s="388"/>
      <c r="H217" s="333"/>
      <c r="J217" s="333"/>
      <c r="K217" s="327"/>
      <c r="L217" s="333"/>
      <c r="U217" s="246"/>
      <c r="V217" s="250"/>
    </row>
    <row r="218" spans="1:22" ht="12.75">
      <c r="A218" s="5">
        <v>4062</v>
      </c>
      <c r="B218" s="6" t="s">
        <v>709</v>
      </c>
      <c r="D218" s="333">
        <v>-741874.78</v>
      </c>
      <c r="F218" s="388">
        <v>-723476.27</v>
      </c>
      <c r="H218" s="333">
        <v>-635585.03</v>
      </c>
      <c r="J218" s="333">
        <f>-J265</f>
        <v>-746768.895470876</v>
      </c>
      <c r="K218" s="327"/>
      <c r="L218" s="333">
        <f>-L265</f>
        <v>-711086.0269435996</v>
      </c>
      <c r="U218" s="246"/>
      <c r="V218" s="250"/>
    </row>
    <row r="219" spans="1:22" ht="12.75">
      <c r="A219" s="5">
        <v>4064</v>
      </c>
      <c r="B219" s="6" t="s">
        <v>134</v>
      </c>
      <c r="D219" s="333"/>
      <c r="F219" s="388"/>
      <c r="H219" s="333"/>
      <c r="J219" s="333"/>
      <c r="K219" s="327"/>
      <c r="L219" s="333"/>
      <c r="U219" s="246"/>
      <c r="V219" s="250"/>
    </row>
    <row r="220" spans="1:22" ht="12.75">
      <c r="A220" s="5">
        <v>4066</v>
      </c>
      <c r="B220" s="6" t="s">
        <v>0</v>
      </c>
      <c r="D220" s="333">
        <v>-592957.87</v>
      </c>
      <c r="F220" s="388">
        <v>-540602.17</v>
      </c>
      <c r="H220" s="333">
        <v>-616961.51</v>
      </c>
      <c r="I220" s="333"/>
      <c r="J220" s="333">
        <f>-J268</f>
        <v>-660849.6274092953</v>
      </c>
      <c r="K220" s="327"/>
      <c r="L220" s="333">
        <f>-L268</f>
        <v>-643422</v>
      </c>
      <c r="U220" s="246"/>
      <c r="V220" s="250"/>
    </row>
    <row r="221" spans="1:22" ht="12.75">
      <c r="A221" s="5">
        <v>4068</v>
      </c>
      <c r="B221" s="6" t="s">
        <v>1</v>
      </c>
      <c r="D221" s="333">
        <v>-539937.7</v>
      </c>
      <c r="F221" s="388">
        <v>-483114.84</v>
      </c>
      <c r="H221" s="333">
        <v>-542831.74</v>
      </c>
      <c r="J221" s="411">
        <f>-J270</f>
        <v>-517418.2168456368</v>
      </c>
      <c r="K221" s="327"/>
      <c r="L221" s="333">
        <f>-L270</f>
        <v>-554146</v>
      </c>
      <c r="U221" s="246"/>
      <c r="V221" s="250"/>
    </row>
    <row r="222" spans="1:22" ht="12.75">
      <c r="A222" s="5">
        <v>4075</v>
      </c>
      <c r="B222" s="6" t="s">
        <v>710</v>
      </c>
      <c r="D222" s="333">
        <v>-168167.99</v>
      </c>
      <c r="F222" s="388">
        <v>-99554.05</v>
      </c>
      <c r="H222" s="333">
        <v>-162271.28</v>
      </c>
      <c r="J222" s="333">
        <f>-J274</f>
        <v>-182627.3176259127</v>
      </c>
      <c r="K222" s="327"/>
      <c r="L222" s="333">
        <f>-L274</f>
        <v>-255551</v>
      </c>
      <c r="U222" s="246"/>
      <c r="V222" s="250"/>
    </row>
    <row r="223" spans="2:22" ht="12.75">
      <c r="B223" s="251" t="s">
        <v>117</v>
      </c>
      <c r="K223" s="327"/>
      <c r="U223" s="246"/>
      <c r="V223" s="250"/>
    </row>
    <row r="224" spans="1:22" ht="12.75">
      <c r="A224" s="5">
        <v>4080</v>
      </c>
      <c r="B224" s="6" t="s">
        <v>711</v>
      </c>
      <c r="D224" s="333">
        <v>-1753784.97</v>
      </c>
      <c r="F224" s="388">
        <v>-1983789.05</v>
      </c>
      <c r="H224" s="333">
        <v>-1976633.77</v>
      </c>
      <c r="J224" s="400">
        <f>-'[8]2011 Bridge Yr On Existing Ra'!$J$17-'[3]App.2-C_Other_Oper_Rev'!$H$17</f>
        <v>-1942223.6821998083</v>
      </c>
      <c r="L224" s="408">
        <f>-'Revenue Requirement'!E55+'Revenue Requirement'!F15</f>
        <v>-2444833.2085197233</v>
      </c>
      <c r="U224" s="246"/>
      <c r="V224" s="250"/>
    </row>
    <row r="225" spans="1:22" ht="12.75">
      <c r="A225" s="5">
        <v>4082</v>
      </c>
      <c r="B225" s="6" t="s">
        <v>712</v>
      </c>
      <c r="D225" s="333">
        <v>-9408.3</v>
      </c>
      <c r="F225" s="388">
        <v>-8766.4</v>
      </c>
      <c r="H225" s="333">
        <v>-6766.95</v>
      </c>
      <c r="J225" s="333">
        <f>'[3]App.2-C_Other_Oper_Rev'!$H$18</f>
        <v>-9501</v>
      </c>
      <c r="K225" s="327"/>
      <c r="L225" s="333">
        <f>'[3]App.2-C_Other_Oper_Rev'!$I$18</f>
        <v>-8550</v>
      </c>
      <c r="M225" t="s">
        <v>858</v>
      </c>
      <c r="U225" s="246"/>
      <c r="V225" s="250"/>
    </row>
    <row r="226" spans="1:22" ht="12.75">
      <c r="A226" s="5">
        <v>4084</v>
      </c>
      <c r="B226" s="6" t="s">
        <v>713</v>
      </c>
      <c r="D226" s="333">
        <v>-257.75</v>
      </c>
      <c r="F226" s="388">
        <v>-158.25</v>
      </c>
      <c r="H226" s="333">
        <v>-248</v>
      </c>
      <c r="J226" s="333">
        <f>'[3]App.2-C_Other_Oper_Rev'!$H$19</f>
        <v>-151</v>
      </c>
      <c r="K226" s="327"/>
      <c r="L226" s="333">
        <f>'[3]App.2-C_Other_Oper_Rev'!$I$19</f>
        <v>-136</v>
      </c>
      <c r="M226" t="s">
        <v>859</v>
      </c>
      <c r="U226" s="246"/>
      <c r="V226" s="250"/>
    </row>
    <row r="227" spans="1:22" ht="12.75">
      <c r="A227" s="5">
        <v>4090</v>
      </c>
      <c r="B227" s="6" t="s">
        <v>714</v>
      </c>
      <c r="D227" s="333"/>
      <c r="F227" s="388"/>
      <c r="H227" s="333"/>
      <c r="J227" s="333"/>
      <c r="K227" s="327"/>
      <c r="L227" s="333"/>
      <c r="U227" s="246"/>
      <c r="V227" s="250"/>
    </row>
    <row r="228" spans="2:22" ht="12.75">
      <c r="B228" s="251" t="s">
        <v>118</v>
      </c>
      <c r="K228" s="327"/>
      <c r="U228" s="246"/>
      <c r="V228" s="250"/>
    </row>
    <row r="229" spans="1:22" ht="12.75">
      <c r="A229" s="5">
        <v>4205</v>
      </c>
      <c r="B229" s="6" t="s">
        <v>715</v>
      </c>
      <c r="D229" s="333"/>
      <c r="F229" s="388"/>
      <c r="H229" s="333"/>
      <c r="J229" s="333"/>
      <c r="K229" s="327"/>
      <c r="L229" s="333"/>
      <c r="U229" s="246"/>
      <c r="V229" s="250"/>
    </row>
    <row r="230" spans="1:22" ht="12.75">
      <c r="A230" s="5">
        <v>4210</v>
      </c>
      <c r="B230" s="6" t="s">
        <v>716</v>
      </c>
      <c r="D230" s="333">
        <v>-47024.28</v>
      </c>
      <c r="F230" s="388">
        <v>-37234.98</v>
      </c>
      <c r="H230" s="333">
        <v>-59022.3</v>
      </c>
      <c r="J230" s="333">
        <f>'[3]App.2-C_Other_Oper_Rev'!$H$20</f>
        <v>-44700.28</v>
      </c>
      <c r="K230" s="327"/>
      <c r="L230" s="333">
        <f>'[3]App.2-C_Other_Oper_Rev'!$I$20</f>
        <v>-44029</v>
      </c>
      <c r="M230" t="s">
        <v>877</v>
      </c>
      <c r="U230" s="246"/>
      <c r="V230" s="250"/>
    </row>
    <row r="231" spans="1:22" ht="12.75">
      <c r="A231" s="5">
        <v>4215</v>
      </c>
      <c r="B231" s="6" t="s">
        <v>717</v>
      </c>
      <c r="D231" s="333"/>
      <c r="F231" s="388"/>
      <c r="H231" s="333"/>
      <c r="J231" s="333"/>
      <c r="K231" s="327"/>
      <c r="L231" s="333"/>
      <c r="U231" s="246"/>
      <c r="V231" s="250"/>
    </row>
    <row r="232" spans="1:22" ht="12.75">
      <c r="A232" s="5">
        <v>4220</v>
      </c>
      <c r="B232" s="6" t="s">
        <v>718</v>
      </c>
      <c r="D232" s="333"/>
      <c r="F232" s="388"/>
      <c r="H232" s="333"/>
      <c r="J232" s="333"/>
      <c r="K232" s="327"/>
      <c r="L232" s="333"/>
      <c r="U232" s="246"/>
      <c r="V232" s="250"/>
    </row>
    <row r="233" spans="1:22" ht="12.75">
      <c r="A233" s="5">
        <v>4225</v>
      </c>
      <c r="B233" s="6" t="s">
        <v>719</v>
      </c>
      <c r="D233" s="333">
        <v>-47319.69</v>
      </c>
      <c r="F233" s="388">
        <v>-52702.94</v>
      </c>
      <c r="H233" s="333">
        <v>-44525.83</v>
      </c>
      <c r="J233" s="333">
        <f>'[3]App.2-C_Other_Oper_Rev'!$H$15</f>
        <v>-34093</v>
      </c>
      <c r="K233" s="327"/>
      <c r="L233" s="333">
        <f>'[3]App.2-C_Other_Oper_Rev'!$I$15</f>
        <v>-32400</v>
      </c>
      <c r="M233" t="s">
        <v>860</v>
      </c>
      <c r="U233" s="246"/>
      <c r="V233" s="250"/>
    </row>
    <row r="234" spans="1:22" ht="12.75">
      <c r="A234" s="5">
        <v>4230</v>
      </c>
      <c r="B234" s="6" t="s">
        <v>720</v>
      </c>
      <c r="D234" s="333"/>
      <c r="F234" s="388"/>
      <c r="H234" s="333"/>
      <c r="J234" s="333"/>
      <c r="K234" s="327"/>
      <c r="L234" s="333"/>
      <c r="U234" s="246"/>
      <c r="V234" s="250"/>
    </row>
    <row r="235" spans="1:22" ht="12.75">
      <c r="A235" s="5">
        <v>4235</v>
      </c>
      <c r="B235" s="6" t="s">
        <v>721</v>
      </c>
      <c r="D235" s="333">
        <v>-119858.79</v>
      </c>
      <c r="F235" s="388">
        <v>-102691.5</v>
      </c>
      <c r="H235" s="333">
        <v>-104818.5</v>
      </c>
      <c r="J235" s="333">
        <f>'[3]App.2-C_Other_Oper_Rev'!$H$14</f>
        <v>-93160</v>
      </c>
      <c r="K235" s="327"/>
      <c r="L235" s="333">
        <f>'[3]App.2-C_Other_Oper_Rev'!$I$14</f>
        <v>-88900</v>
      </c>
      <c r="M235" t="s">
        <v>861</v>
      </c>
      <c r="U235" s="246"/>
      <c r="V235" s="250"/>
    </row>
    <row r="236" spans="1:22" ht="12.75">
      <c r="A236" s="5">
        <v>4240</v>
      </c>
      <c r="B236" s="6" t="s">
        <v>722</v>
      </c>
      <c r="D236" s="333"/>
      <c r="F236" s="388"/>
      <c r="H236" s="333"/>
      <c r="J236" s="333"/>
      <c r="K236" s="327"/>
      <c r="L236" s="333"/>
      <c r="U236" s="246"/>
      <c r="V236" s="250"/>
    </row>
    <row r="237" spans="1:22" ht="12.75">
      <c r="A237" s="5">
        <v>4245</v>
      </c>
      <c r="B237" s="6" t="s">
        <v>723</v>
      </c>
      <c r="D237" s="333"/>
      <c r="F237" s="388"/>
      <c r="H237" s="333"/>
      <c r="J237" s="333"/>
      <c r="K237" s="327"/>
      <c r="L237" s="333"/>
      <c r="U237" s="246"/>
      <c r="V237" s="250"/>
    </row>
    <row r="238" spans="2:22" ht="12.75">
      <c r="B238" s="251" t="s">
        <v>119</v>
      </c>
      <c r="K238" s="327"/>
      <c r="U238" s="246"/>
      <c r="V238" s="250"/>
    </row>
    <row r="239" spans="1:22" ht="12.75">
      <c r="A239" s="5">
        <v>4305</v>
      </c>
      <c r="B239" s="6" t="s">
        <v>724</v>
      </c>
      <c r="D239" s="333"/>
      <c r="F239" s="333"/>
      <c r="H239" s="333"/>
      <c r="J239" s="333"/>
      <c r="K239" s="327"/>
      <c r="L239" s="333"/>
      <c r="U239" s="246"/>
      <c r="V239" s="250"/>
    </row>
    <row r="240" spans="1:22" ht="12.75">
      <c r="A240" s="5">
        <v>4310</v>
      </c>
      <c r="B240" s="6" t="s">
        <v>725</v>
      </c>
      <c r="D240" s="333"/>
      <c r="F240" s="333"/>
      <c r="H240" s="333"/>
      <c r="J240" s="333"/>
      <c r="K240" s="327"/>
      <c r="L240" s="333"/>
      <c r="U240" s="246"/>
      <c r="V240" s="250"/>
    </row>
    <row r="241" spans="1:22" ht="12.75">
      <c r="A241" s="5">
        <v>4315</v>
      </c>
      <c r="B241" s="6" t="s">
        <v>726</v>
      </c>
      <c r="D241" s="333"/>
      <c r="F241" s="333"/>
      <c r="H241" s="333"/>
      <c r="J241" s="333"/>
      <c r="K241" s="327"/>
      <c r="L241" s="333"/>
      <c r="U241" s="246"/>
      <c r="V241" s="250"/>
    </row>
    <row r="242" spans="1:22" ht="12.75">
      <c r="A242" s="5">
        <v>4320</v>
      </c>
      <c r="B242" s="6" t="s">
        <v>727</v>
      </c>
      <c r="D242" s="333"/>
      <c r="F242" s="333"/>
      <c r="H242" s="333"/>
      <c r="J242" s="333"/>
      <c r="K242" s="327"/>
      <c r="L242" s="333"/>
      <c r="U242" s="246"/>
      <c r="V242" s="250"/>
    </row>
    <row r="243" spans="1:22" ht="12.75">
      <c r="A243" s="5">
        <v>4324</v>
      </c>
      <c r="B243" s="6" t="s">
        <v>851</v>
      </c>
      <c r="D243" s="333"/>
      <c r="F243" s="333"/>
      <c r="H243" s="333">
        <v>-1796.63</v>
      </c>
      <c r="J243" s="333">
        <v>0</v>
      </c>
      <c r="K243" s="327"/>
      <c r="L243" s="333"/>
      <c r="U243" s="246"/>
      <c r="V243" s="250"/>
    </row>
    <row r="244" spans="1:22" ht="12.75">
      <c r="A244" s="5">
        <v>4325</v>
      </c>
      <c r="B244" s="6" t="s">
        <v>728</v>
      </c>
      <c r="D244" s="333"/>
      <c r="F244" s="333"/>
      <c r="H244" s="333"/>
      <c r="J244" s="333"/>
      <c r="K244" s="327"/>
      <c r="L244" s="333"/>
      <c r="U244" s="246"/>
      <c r="V244" s="250"/>
    </row>
    <row r="245" spans="1:22" ht="12.75">
      <c r="A245" s="5">
        <v>4330</v>
      </c>
      <c r="B245" s="6" t="s">
        <v>729</v>
      </c>
      <c r="D245" s="333"/>
      <c r="F245" s="333"/>
      <c r="H245" s="333"/>
      <c r="J245" s="333"/>
      <c r="K245" s="327"/>
      <c r="L245" s="333"/>
      <c r="U245" s="246"/>
      <c r="V245" s="250"/>
    </row>
    <row r="246" spans="1:22" ht="12.75">
      <c r="A246" s="5">
        <v>4335</v>
      </c>
      <c r="B246" s="6" t="s">
        <v>730</v>
      </c>
      <c r="D246" s="333"/>
      <c r="F246" s="388"/>
      <c r="H246" s="333"/>
      <c r="J246" s="333"/>
      <c r="K246" s="327"/>
      <c r="L246" s="333"/>
      <c r="U246" s="246"/>
      <c r="V246" s="250"/>
    </row>
    <row r="247" spans="1:22" ht="12.75">
      <c r="A247" s="5">
        <v>4340</v>
      </c>
      <c r="B247" s="6" t="s">
        <v>731</v>
      </c>
      <c r="D247" s="333"/>
      <c r="F247" s="388"/>
      <c r="H247" s="333"/>
      <c r="J247" s="333"/>
      <c r="K247" s="327"/>
      <c r="L247" s="333"/>
      <c r="U247" s="246"/>
      <c r="V247" s="250"/>
    </row>
    <row r="248" spans="1:22" ht="12.75">
      <c r="A248" s="5">
        <v>4345</v>
      </c>
      <c r="B248" s="6" t="s">
        <v>732</v>
      </c>
      <c r="D248" s="333"/>
      <c r="F248" s="388"/>
      <c r="H248" s="333"/>
      <c r="J248" s="333"/>
      <c r="K248" s="327"/>
      <c r="L248" s="333"/>
      <c r="U248" s="246"/>
      <c r="V248" s="250"/>
    </row>
    <row r="249" spans="1:22" ht="12.75">
      <c r="A249" s="5">
        <v>4350</v>
      </c>
      <c r="B249" s="6" t="s">
        <v>733</v>
      </c>
      <c r="D249" s="333"/>
      <c r="F249" s="388"/>
      <c r="H249" s="333"/>
      <c r="J249" s="333"/>
      <c r="K249" s="327"/>
      <c r="L249" s="333"/>
      <c r="U249" s="246"/>
      <c r="V249" s="250"/>
    </row>
    <row r="250" spans="1:22" ht="12.75">
      <c r="A250" s="5">
        <v>4355</v>
      </c>
      <c r="B250" s="6" t="s">
        <v>734</v>
      </c>
      <c r="D250" s="333">
        <v>-6513.44</v>
      </c>
      <c r="F250" s="388">
        <v>-2886.64</v>
      </c>
      <c r="H250" s="333"/>
      <c r="J250" s="333">
        <v>-14500</v>
      </c>
      <c r="K250" s="327"/>
      <c r="L250" s="333"/>
      <c r="U250" s="246"/>
      <c r="V250" s="250"/>
    </row>
    <row r="251" spans="1:22" ht="12.75">
      <c r="A251" s="5">
        <v>4360</v>
      </c>
      <c r="B251" s="6" t="s">
        <v>735</v>
      </c>
      <c r="D251" s="333"/>
      <c r="F251" s="388"/>
      <c r="H251" s="333"/>
      <c r="J251" s="333"/>
      <c r="K251" s="327"/>
      <c r="L251" s="333"/>
      <c r="U251" s="246"/>
      <c r="V251" s="250"/>
    </row>
    <row r="252" spans="1:22" ht="12.75">
      <c r="A252" s="5">
        <v>4365</v>
      </c>
      <c r="B252" s="6" t="s">
        <v>736</v>
      </c>
      <c r="D252" s="333"/>
      <c r="F252" s="388"/>
      <c r="H252" s="333"/>
      <c r="J252" s="333"/>
      <c r="K252" s="327"/>
      <c r="L252" s="333"/>
      <c r="U252" s="246"/>
      <c r="V252" s="250"/>
    </row>
    <row r="253" spans="1:22" ht="12.75">
      <c r="A253" s="5">
        <v>4370</v>
      </c>
      <c r="B253" s="6" t="s">
        <v>737</v>
      </c>
      <c r="D253" s="333"/>
      <c r="F253" s="388"/>
      <c r="H253" s="333"/>
      <c r="J253" s="333"/>
      <c r="K253" s="327"/>
      <c r="L253" s="333"/>
      <c r="U253" s="246"/>
      <c r="V253" s="250"/>
    </row>
    <row r="254" spans="1:22" ht="12.75">
      <c r="A254" s="5">
        <v>4375</v>
      </c>
      <c r="B254" s="6" t="s">
        <v>738</v>
      </c>
      <c r="D254" s="333">
        <v>-20123.06</v>
      </c>
      <c r="F254" s="388">
        <v>-25118.1</v>
      </c>
      <c r="H254" s="333">
        <v>-554.11</v>
      </c>
      <c r="J254" s="333"/>
      <c r="K254" s="327"/>
      <c r="L254" s="333"/>
      <c r="U254" s="246"/>
      <c r="V254" s="250"/>
    </row>
    <row r="255" spans="1:22" ht="12.75">
      <c r="A255" s="5">
        <v>4380</v>
      </c>
      <c r="B255" s="6" t="s">
        <v>739</v>
      </c>
      <c r="D255" s="333"/>
      <c r="F255" s="388">
        <v>-5038.75</v>
      </c>
      <c r="H255" s="333">
        <v>-32070.27</v>
      </c>
      <c r="J255" s="333"/>
      <c r="K255" s="327"/>
      <c r="L255" s="333"/>
      <c r="U255" s="246"/>
      <c r="V255" s="250"/>
    </row>
    <row r="256" spans="1:22" ht="12.75">
      <c r="A256" s="5">
        <v>4385</v>
      </c>
      <c r="B256" s="6" t="s">
        <v>739</v>
      </c>
      <c r="D256" s="333"/>
      <c r="F256" s="388"/>
      <c r="H256" s="333"/>
      <c r="J256" s="333"/>
      <c r="K256" s="327"/>
      <c r="L256" s="333"/>
      <c r="U256" s="246"/>
      <c r="V256" s="250"/>
    </row>
    <row r="257" spans="1:22" ht="12.75">
      <c r="A257" s="5">
        <v>4390</v>
      </c>
      <c r="B257" s="6" t="s">
        <v>740</v>
      </c>
      <c r="D257" s="333"/>
      <c r="F257" s="388"/>
      <c r="H257" s="333"/>
      <c r="J257" s="333"/>
      <c r="K257" s="327"/>
      <c r="L257" s="333"/>
      <c r="U257" s="246"/>
      <c r="V257" s="250"/>
    </row>
    <row r="258" spans="1:22" ht="12.75">
      <c r="A258" s="5">
        <v>4395</v>
      </c>
      <c r="B258" s="6" t="s">
        <v>741</v>
      </c>
      <c r="D258" s="333"/>
      <c r="F258" s="333"/>
      <c r="H258" s="333"/>
      <c r="J258" s="333"/>
      <c r="K258" s="327"/>
      <c r="L258" s="333"/>
      <c r="U258" s="246"/>
      <c r="V258" s="250"/>
    </row>
    <row r="259" spans="1:22" ht="12.75">
      <c r="A259" s="5">
        <v>4398</v>
      </c>
      <c r="B259" s="6" t="s">
        <v>742</v>
      </c>
      <c r="D259" s="333"/>
      <c r="F259" s="333"/>
      <c r="H259" s="333"/>
      <c r="J259" s="333"/>
      <c r="K259" s="327"/>
      <c r="L259" s="333"/>
      <c r="U259" s="246"/>
      <c r="V259" s="250"/>
    </row>
    <row r="260" spans="2:22" ht="12.75">
      <c r="B260" s="251" t="s">
        <v>120</v>
      </c>
      <c r="K260" s="327"/>
      <c r="U260" s="246"/>
      <c r="V260" s="250"/>
    </row>
    <row r="261" spans="1:22" ht="12.75">
      <c r="A261" s="5">
        <v>4405</v>
      </c>
      <c r="B261" s="6" t="s">
        <v>743</v>
      </c>
      <c r="D261" s="333">
        <v>-26582.99</v>
      </c>
      <c r="F261" s="388">
        <v>-4516.67</v>
      </c>
      <c r="H261" s="333">
        <v>-8018.52</v>
      </c>
      <c r="J261" s="333">
        <f>'[3]App.2-C_Other_Oper_Rev'!$H$22</f>
        <v>-12000</v>
      </c>
      <c r="K261" s="327"/>
      <c r="L261" s="333">
        <f>'[3]App.2-C_Other_Oper_Rev'!$I$22</f>
        <v>-12000</v>
      </c>
      <c r="M261" t="s">
        <v>871</v>
      </c>
      <c r="U261" s="246"/>
      <c r="V261" s="250"/>
    </row>
    <row r="262" spans="1:22" ht="12.75">
      <c r="A262" s="5">
        <v>4415</v>
      </c>
      <c r="B262" s="6" t="s">
        <v>744</v>
      </c>
      <c r="D262" s="333"/>
      <c r="F262" s="333"/>
      <c r="H262" s="333"/>
      <c r="J262" s="333"/>
      <c r="K262" s="327"/>
      <c r="L262" s="333"/>
      <c r="U262" s="246"/>
      <c r="V262" s="250"/>
    </row>
    <row r="263" spans="2:22" ht="12.75">
      <c r="B263" s="251" t="s">
        <v>121</v>
      </c>
      <c r="K263" s="327"/>
      <c r="U263" s="246"/>
      <c r="V263" s="250"/>
    </row>
    <row r="264" spans="1:22" ht="12.75">
      <c r="A264" s="5">
        <v>4705</v>
      </c>
      <c r="B264" s="6" t="s">
        <v>545</v>
      </c>
      <c r="D264" s="333">
        <v>6728402.75</v>
      </c>
      <c r="F264" s="388">
        <v>7132006.94</v>
      </c>
      <c r="H264" s="333">
        <f>7172402.74+1796.63</f>
        <v>7174199.37</v>
      </c>
      <c r="J264" s="333">
        <f>+'[7]2011 COP'!$B$92</f>
        <v>7727380.90666301</v>
      </c>
      <c r="K264" s="327"/>
      <c r="L264" s="333">
        <f>+'[7]2012 COP'!$B$92</f>
        <v>8370389.173990974</v>
      </c>
      <c r="U264" s="246"/>
      <c r="V264" s="250"/>
    </row>
    <row r="265" spans="1:22" ht="12.75">
      <c r="A265" s="5">
        <v>4708</v>
      </c>
      <c r="B265" s="6" t="s">
        <v>709</v>
      </c>
      <c r="D265" s="333">
        <v>620540.14</v>
      </c>
      <c r="F265" s="388">
        <v>582596.89</v>
      </c>
      <c r="H265" s="333">
        <v>484014.52</v>
      </c>
      <c r="J265" s="333">
        <f>+'[7]2011 COP'!$B$93+'[7]2011 COP'!$B$96</f>
        <v>746768.895470876</v>
      </c>
      <c r="K265" s="327"/>
      <c r="L265" s="333">
        <f>+'[7]2012 COP'!$B$93+'[7]2012 COP'!$B$96</f>
        <v>711086.0269435996</v>
      </c>
      <c r="U265" s="246"/>
      <c r="V265" s="250"/>
    </row>
    <row r="266" spans="1:22" ht="12.75">
      <c r="A266" s="5">
        <v>4710</v>
      </c>
      <c r="B266" s="6" t="s">
        <v>129</v>
      </c>
      <c r="D266" s="333"/>
      <c r="F266" s="388"/>
      <c r="H266" s="333"/>
      <c r="J266" s="333"/>
      <c r="K266" s="327"/>
      <c r="L266" s="333"/>
      <c r="U266" s="246"/>
      <c r="V266" s="250"/>
    </row>
    <row r="267" spans="1:22" ht="12.75">
      <c r="A267" s="5">
        <v>4712</v>
      </c>
      <c r="B267" s="6">
        <v>0</v>
      </c>
      <c r="D267" s="333"/>
      <c r="F267" s="388"/>
      <c r="H267" s="333"/>
      <c r="J267" s="333"/>
      <c r="K267" s="327"/>
      <c r="L267" s="333"/>
      <c r="U267" s="246"/>
      <c r="V267" s="250"/>
    </row>
    <row r="268" spans="1:22" ht="12.75">
      <c r="A268" s="5">
        <v>4714</v>
      </c>
      <c r="B268" s="6" t="s">
        <v>745</v>
      </c>
      <c r="D268" s="333">
        <v>592957.87</v>
      </c>
      <c r="F268" s="388">
        <v>540602.17</v>
      </c>
      <c r="H268" s="333">
        <v>616961.51</v>
      </c>
      <c r="J268" s="333">
        <f>+'[7]2011 COP'!$B$94</f>
        <v>660849.6274092953</v>
      </c>
      <c r="K268" s="327"/>
      <c r="L268" s="333">
        <v>643422</v>
      </c>
      <c r="U268" s="246"/>
      <c r="V268" s="250"/>
    </row>
    <row r="269" spans="1:22" ht="12.75">
      <c r="A269" s="5">
        <v>4715</v>
      </c>
      <c r="B269" s="6" t="s">
        <v>130</v>
      </c>
      <c r="D269" s="333"/>
      <c r="F269" s="388"/>
      <c r="H269" s="333"/>
      <c r="J269" s="333"/>
      <c r="K269" s="327"/>
      <c r="L269" s="333"/>
      <c r="U269" s="246"/>
      <c r="V269" s="250"/>
    </row>
    <row r="270" spans="1:22" ht="12.75">
      <c r="A270" s="5">
        <v>4716</v>
      </c>
      <c r="B270" s="6" t="s">
        <v>746</v>
      </c>
      <c r="D270" s="333">
        <v>539937.7</v>
      </c>
      <c r="F270" s="388">
        <v>483114.84</v>
      </c>
      <c r="H270" s="333">
        <v>542831.74</v>
      </c>
      <c r="J270" s="333">
        <f>+'[7]2011 COP'!$B$95</f>
        <v>517418.2168456368</v>
      </c>
      <c r="K270" s="327"/>
      <c r="L270" s="333">
        <v>554146</v>
      </c>
      <c r="U270" s="246"/>
      <c r="V270" s="250"/>
    </row>
    <row r="271" spans="1:22" ht="12.75">
      <c r="A271" s="5">
        <v>4720</v>
      </c>
      <c r="B271" s="6" t="s">
        <v>122</v>
      </c>
      <c r="D271" s="333"/>
      <c r="F271" s="388"/>
      <c r="H271" s="333"/>
      <c r="J271" s="333"/>
      <c r="K271" s="327"/>
      <c r="L271" s="333"/>
      <c r="U271" s="246"/>
      <c r="V271" s="250"/>
    </row>
    <row r="272" spans="1:22" ht="12.75">
      <c r="A272" s="5">
        <v>4725</v>
      </c>
      <c r="B272" s="6" t="s">
        <v>131</v>
      </c>
      <c r="D272" s="333"/>
      <c r="F272" s="388"/>
      <c r="H272" s="333"/>
      <c r="J272" s="333"/>
      <c r="K272" s="327"/>
      <c r="L272" s="333"/>
      <c r="U272" s="246"/>
      <c r="V272" s="250"/>
    </row>
    <row r="273" spans="1:22" ht="12.75">
      <c r="A273" s="5">
        <v>4730</v>
      </c>
      <c r="B273" s="6" t="s">
        <v>132</v>
      </c>
      <c r="D273" s="333">
        <v>121334.64</v>
      </c>
      <c r="F273" s="388">
        <v>140879.38</v>
      </c>
      <c r="H273" s="333">
        <v>151570.51</v>
      </c>
      <c r="J273" s="333"/>
      <c r="K273" s="327"/>
      <c r="L273" s="333"/>
      <c r="U273" s="246"/>
      <c r="V273" s="250"/>
    </row>
    <row r="274" spans="1:22" ht="12.75">
      <c r="A274" s="5">
        <v>4750</v>
      </c>
      <c r="B274" s="6" t="s">
        <v>710</v>
      </c>
      <c r="D274" s="333">
        <v>168167.99</v>
      </c>
      <c r="F274" s="388">
        <v>99554.05</v>
      </c>
      <c r="H274" s="333">
        <v>162271.28</v>
      </c>
      <c r="J274" s="333">
        <f>+'[7]2011 COP'!$B$97</f>
        <v>182627.3176259127</v>
      </c>
      <c r="K274" s="327"/>
      <c r="L274" s="333">
        <v>255551</v>
      </c>
      <c r="U274" s="246"/>
      <c r="V274" s="250"/>
    </row>
    <row r="275" spans="2:22" ht="12.75">
      <c r="B275" s="251" t="s">
        <v>157</v>
      </c>
      <c r="K275" s="327"/>
      <c r="L275" s="252">
        <v>1.03</v>
      </c>
      <c r="U275" s="246"/>
      <c r="V275" s="250"/>
    </row>
    <row r="276" spans="1:22" ht="12.75">
      <c r="A276" s="5">
        <v>5005</v>
      </c>
      <c r="B276" s="6" t="s">
        <v>747</v>
      </c>
      <c r="D276" s="333">
        <v>89638.7</v>
      </c>
      <c r="F276" s="388">
        <v>103931.17</v>
      </c>
      <c r="H276" s="333">
        <v>68611.19</v>
      </c>
      <c r="J276" s="333">
        <f>'[3]App.2-F_Detailed_OM&amp;A_Expenses'!$G16</f>
        <v>105000</v>
      </c>
      <c r="L276" s="333">
        <f>+'[9]App.2-F_Detailed_OM&amp;A_Expenses'!$I16</f>
        <v>103900</v>
      </c>
      <c r="U276" s="246"/>
      <c r="V276" s="250"/>
    </row>
    <row r="277" spans="1:22" ht="12.75">
      <c r="A277" s="5">
        <v>5010</v>
      </c>
      <c r="B277" s="6" t="s">
        <v>748</v>
      </c>
      <c r="D277" s="333"/>
      <c r="F277" s="333"/>
      <c r="H277" s="333"/>
      <c r="J277" s="387"/>
      <c r="L277" s="387"/>
      <c r="U277" s="246"/>
      <c r="V277" s="250"/>
    </row>
    <row r="278" spans="1:22" ht="12.75">
      <c r="A278" s="5">
        <v>5012</v>
      </c>
      <c r="B278" s="6" t="s">
        <v>749</v>
      </c>
      <c r="D278" s="333">
        <v>1997.15</v>
      </c>
      <c r="F278" s="333">
        <v>1053.36</v>
      </c>
      <c r="H278" s="333">
        <v>0</v>
      </c>
      <c r="J278" s="333">
        <f>'[10]OM&amp;Adetail2011-12'!$I$45</f>
        <v>1000</v>
      </c>
      <c r="L278" s="333">
        <f>+'[9]App.2-F_Detailed_OM&amp;A_Expenses'!$I18</f>
        <v>1000</v>
      </c>
      <c r="U278" s="246"/>
      <c r="V278" s="250"/>
    </row>
    <row r="279" spans="1:22" ht="12.75">
      <c r="A279" s="5">
        <v>5014</v>
      </c>
      <c r="B279" s="6" t="s">
        <v>750</v>
      </c>
      <c r="D279" s="333"/>
      <c r="F279" s="333"/>
      <c r="H279" s="333"/>
      <c r="J279" s="333"/>
      <c r="L279" s="333"/>
      <c r="U279" s="246"/>
      <c r="V279" s="250"/>
    </row>
    <row r="280" spans="1:22" ht="12.75">
      <c r="A280" s="409">
        <v>5015</v>
      </c>
      <c r="B280" s="6" t="s">
        <v>751</v>
      </c>
      <c r="D280" s="333"/>
      <c r="F280" s="388"/>
      <c r="H280" s="333"/>
      <c r="J280" s="333"/>
      <c r="L280" s="333"/>
      <c r="U280" s="246"/>
      <c r="V280" s="250"/>
    </row>
    <row r="281" spans="1:22" ht="12.75">
      <c r="A281" s="409">
        <v>5016</v>
      </c>
      <c r="B281" s="6" t="s">
        <v>752</v>
      </c>
      <c r="D281" s="333">
        <v>2332</v>
      </c>
      <c r="F281" s="388">
        <v>2252.61</v>
      </c>
      <c r="H281" s="333">
        <v>0</v>
      </c>
      <c r="J281" s="333">
        <f>'[10]OM&amp;Adetail2011-12'!$I48</f>
        <v>1000</v>
      </c>
      <c r="L281" s="333">
        <f>+'[9]App.2-F_Detailed_OM&amp;A_Expenses'!$I21</f>
        <v>1000</v>
      </c>
      <c r="U281" s="246"/>
      <c r="V281" s="250"/>
    </row>
    <row r="282" spans="1:22" ht="12.75">
      <c r="A282" s="409">
        <v>5017</v>
      </c>
      <c r="B282" s="6" t="s">
        <v>753</v>
      </c>
      <c r="D282" s="333"/>
      <c r="F282" s="388"/>
      <c r="H282" s="333"/>
      <c r="J282" s="333"/>
      <c r="L282" s="333"/>
      <c r="U282" s="246"/>
      <c r="V282" s="250"/>
    </row>
    <row r="283" spans="1:22" ht="12.75">
      <c r="A283" s="409">
        <v>5020</v>
      </c>
      <c r="B283" s="6" t="s">
        <v>754</v>
      </c>
      <c r="D283" s="333">
        <v>8348.12</v>
      </c>
      <c r="F283" s="388">
        <v>7962.06</v>
      </c>
      <c r="H283" s="333">
        <v>0</v>
      </c>
      <c r="J283" s="333">
        <f>'[10]OM&amp;Adetail2011-12'!$I50</f>
        <v>2000</v>
      </c>
      <c r="L283" s="333">
        <f>+'[9]App.2-F_Detailed_OM&amp;A_Expenses'!$I23</f>
        <v>1900</v>
      </c>
      <c r="U283" s="246"/>
      <c r="V283" s="250"/>
    </row>
    <row r="284" spans="1:22" ht="12.75">
      <c r="A284" s="409">
        <v>5025</v>
      </c>
      <c r="B284" s="6" t="s">
        <v>755</v>
      </c>
      <c r="D284" s="333"/>
      <c r="F284" s="388"/>
      <c r="H284" s="333"/>
      <c r="J284" s="387"/>
      <c r="L284" s="333"/>
      <c r="U284" s="246"/>
      <c r="V284" s="250"/>
    </row>
    <row r="285" spans="1:22" ht="12.75">
      <c r="A285" s="409">
        <v>5030</v>
      </c>
      <c r="B285" s="6" t="s">
        <v>756</v>
      </c>
      <c r="D285" s="333"/>
      <c r="F285" s="388"/>
      <c r="H285" s="333"/>
      <c r="J285" s="333"/>
      <c r="L285" s="333"/>
      <c r="U285" s="246"/>
      <c r="V285" s="250"/>
    </row>
    <row r="286" spans="1:22" ht="12.75">
      <c r="A286" s="409">
        <v>5035</v>
      </c>
      <c r="B286" s="6" t="s">
        <v>757</v>
      </c>
      <c r="D286" s="333">
        <v>3507.28</v>
      </c>
      <c r="F286" s="388">
        <v>14394.07</v>
      </c>
      <c r="H286" s="333">
        <v>7953.43</v>
      </c>
      <c r="J286" s="333">
        <f>'[10]OM&amp;Adetail2011-12'!$I53</f>
        <v>10000</v>
      </c>
      <c r="L286" s="333">
        <f>+'[9]App.2-F_Detailed_OM&amp;A_Expenses'!$I26</f>
        <v>9600</v>
      </c>
      <c r="U286" s="246"/>
      <c r="V286" s="250"/>
    </row>
    <row r="287" spans="1:22" ht="12.75">
      <c r="A287" s="409">
        <v>5040</v>
      </c>
      <c r="B287" s="6" t="s">
        <v>758</v>
      </c>
      <c r="D287" s="333"/>
      <c r="F287" s="388"/>
      <c r="H287" s="333"/>
      <c r="J287" s="333"/>
      <c r="L287" s="333"/>
      <c r="U287" s="246"/>
      <c r="V287" s="250"/>
    </row>
    <row r="288" spans="1:22" ht="12.75">
      <c r="A288" s="409">
        <v>5045</v>
      </c>
      <c r="B288" s="6" t="s">
        <v>759</v>
      </c>
      <c r="D288" s="333"/>
      <c r="F288" s="388"/>
      <c r="H288" s="333"/>
      <c r="J288" s="333"/>
      <c r="L288" s="333"/>
      <c r="U288" s="246"/>
      <c r="V288" s="250"/>
    </row>
    <row r="289" spans="1:22" ht="12.75">
      <c r="A289" s="409">
        <v>5050</v>
      </c>
      <c r="B289" s="6" t="s">
        <v>760</v>
      </c>
      <c r="D289" s="333"/>
      <c r="F289" s="388"/>
      <c r="H289" s="333"/>
      <c r="J289" s="333"/>
      <c r="L289" s="333"/>
      <c r="U289" s="246"/>
      <c r="V289" s="250"/>
    </row>
    <row r="290" spans="1:22" ht="12.75">
      <c r="A290" s="409">
        <v>5055</v>
      </c>
      <c r="B290" s="6" t="s">
        <v>761</v>
      </c>
      <c r="D290" s="333"/>
      <c r="F290" s="388"/>
      <c r="H290" s="333"/>
      <c r="J290" s="333"/>
      <c r="K290" s="327"/>
      <c r="L290" s="333"/>
      <c r="U290" s="246"/>
      <c r="V290" s="250"/>
    </row>
    <row r="291" spans="1:22" ht="12.75">
      <c r="A291" s="409">
        <v>5060</v>
      </c>
      <c r="B291" s="6" t="s">
        <v>762</v>
      </c>
      <c r="D291" s="333"/>
      <c r="F291" s="388"/>
      <c r="H291" s="333"/>
      <c r="J291" s="333"/>
      <c r="K291" s="327"/>
      <c r="L291" s="333"/>
      <c r="U291" s="246"/>
      <c r="V291" s="250"/>
    </row>
    <row r="292" spans="1:22" ht="12.75">
      <c r="A292" s="409">
        <v>5065</v>
      </c>
      <c r="B292" s="6" t="s">
        <v>763</v>
      </c>
      <c r="D292" s="333">
        <v>552.37</v>
      </c>
      <c r="F292" s="388">
        <v>7228.4</v>
      </c>
      <c r="H292" s="333">
        <v>19331.47</v>
      </c>
      <c r="J292" s="333">
        <f>'[10]OM&amp;Adetail2011-12'!$I59</f>
        <v>102856.43</v>
      </c>
      <c r="K292" s="327"/>
      <c r="L292" s="333">
        <f>+'[9]App.2-F_Detailed_OM&amp;A_Expenses'!$I32</f>
        <v>93800</v>
      </c>
      <c r="U292" s="246"/>
      <c r="V292" s="250"/>
    </row>
    <row r="293" spans="1:22" ht="12.75">
      <c r="A293" s="409">
        <v>5070</v>
      </c>
      <c r="B293" s="6" t="s">
        <v>764</v>
      </c>
      <c r="D293" s="333">
        <v>492.74</v>
      </c>
      <c r="F293" s="388">
        <v>0</v>
      </c>
      <c r="H293" s="333">
        <v>0</v>
      </c>
      <c r="J293" s="333">
        <f>'[3]App.2-F_Detailed_OM&amp;A_Expenses'!$G33</f>
        <v>0</v>
      </c>
      <c r="K293" s="327"/>
      <c r="L293" s="333"/>
      <c r="U293" s="246"/>
      <c r="V293" s="250"/>
    </row>
    <row r="294" spans="1:22" ht="12.75">
      <c r="A294" s="409">
        <v>5075</v>
      </c>
      <c r="B294" s="6" t="s">
        <v>765</v>
      </c>
      <c r="D294" s="333"/>
      <c r="F294" s="388"/>
      <c r="H294" s="333"/>
      <c r="J294" s="333"/>
      <c r="K294" s="327"/>
      <c r="L294" s="333"/>
      <c r="U294" s="246"/>
      <c r="V294" s="250"/>
    </row>
    <row r="295" spans="1:22" ht="12.75">
      <c r="A295" s="409">
        <v>5085</v>
      </c>
      <c r="B295" s="6" t="s">
        <v>766</v>
      </c>
      <c r="D295" s="333">
        <v>59439.97</v>
      </c>
      <c r="F295" s="388">
        <v>62203.93</v>
      </c>
      <c r="H295" s="333">
        <v>59216.93</v>
      </c>
      <c r="J295" s="333">
        <f>'[10]OM&amp;Adetail2011-12'!$I62</f>
        <v>65000</v>
      </c>
      <c r="K295" s="327"/>
      <c r="L295" s="333">
        <f>+'[9]App.2-F_Detailed_OM&amp;A_Expenses'!$I35</f>
        <v>64500</v>
      </c>
      <c r="U295" s="246"/>
      <c r="V295" s="250"/>
    </row>
    <row r="296" spans="1:22" ht="12.75">
      <c r="A296" s="409">
        <v>5090</v>
      </c>
      <c r="B296" s="6" t="s">
        <v>767</v>
      </c>
      <c r="D296" s="333"/>
      <c r="F296" s="388"/>
      <c r="H296" s="333"/>
      <c r="J296" s="333"/>
      <c r="K296" s="327"/>
      <c r="L296" s="333"/>
      <c r="U296" s="246"/>
      <c r="V296" s="250"/>
    </row>
    <row r="297" spans="1:22" ht="12.75">
      <c r="A297" s="409">
        <v>5095</v>
      </c>
      <c r="B297" s="6" t="s">
        <v>768</v>
      </c>
      <c r="D297" s="333">
        <v>23189.19</v>
      </c>
      <c r="F297" s="333">
        <v>33748.43</v>
      </c>
      <c r="H297" s="333">
        <v>23189.19</v>
      </c>
      <c r="J297" s="333">
        <f>'[10]OM&amp;Adetail2011-12'!$I64</f>
        <v>23189</v>
      </c>
      <c r="K297" s="327"/>
      <c r="L297" s="333">
        <f>+'[9]App.2-F_Detailed_OM&amp;A_Expenses'!$I37</f>
        <v>22300</v>
      </c>
      <c r="U297" s="246"/>
      <c r="V297" s="250"/>
    </row>
    <row r="298" spans="1:22" ht="12.75">
      <c r="A298" s="409">
        <v>5096</v>
      </c>
      <c r="B298" s="6" t="s">
        <v>769</v>
      </c>
      <c r="D298" s="333"/>
      <c r="F298" s="333"/>
      <c r="H298" s="333"/>
      <c r="J298" s="333"/>
      <c r="K298" s="327"/>
      <c r="L298" s="333"/>
      <c r="U298" s="246"/>
      <c r="V298" s="250"/>
    </row>
    <row r="299" spans="1:22" ht="12.75">
      <c r="A299" s="410"/>
      <c r="B299" s="251" t="s">
        <v>183</v>
      </c>
      <c r="K299" s="327"/>
      <c r="U299" s="246"/>
      <c r="V299" s="250"/>
    </row>
    <row r="300" spans="1:22" ht="12.75">
      <c r="A300" s="409">
        <v>5105</v>
      </c>
      <c r="B300" s="6" t="s">
        <v>770</v>
      </c>
      <c r="D300" s="333"/>
      <c r="F300" s="388"/>
      <c r="H300" s="333"/>
      <c r="J300" s="333"/>
      <c r="K300" s="327"/>
      <c r="L300" s="333"/>
      <c r="U300" s="246"/>
      <c r="V300" s="250"/>
    </row>
    <row r="301" spans="1:22" ht="12.75">
      <c r="A301" s="409">
        <v>5110</v>
      </c>
      <c r="B301" s="6" t="s">
        <v>771</v>
      </c>
      <c r="D301" s="333"/>
      <c r="F301" s="388"/>
      <c r="H301" s="333"/>
      <c r="J301" s="418"/>
      <c r="K301" s="327"/>
      <c r="L301" s="418"/>
      <c r="U301" s="246"/>
      <c r="V301" s="250"/>
    </row>
    <row r="302" spans="1:22" ht="12.75">
      <c r="A302" s="409">
        <v>5112</v>
      </c>
      <c r="B302" s="6" t="s">
        <v>135</v>
      </c>
      <c r="D302" s="333"/>
      <c r="F302" s="388"/>
      <c r="H302" s="333"/>
      <c r="J302" s="333"/>
      <c r="K302" s="327"/>
      <c r="L302" s="333"/>
      <c r="U302" s="246"/>
      <c r="V302" s="250"/>
    </row>
    <row r="303" spans="1:22" ht="12.75">
      <c r="A303" s="409">
        <v>5114</v>
      </c>
      <c r="B303" s="6" t="s">
        <v>2</v>
      </c>
      <c r="D303" s="333">
        <v>47463.17</v>
      </c>
      <c r="F303" s="388">
        <v>43532.92</v>
      </c>
      <c r="H303" s="333">
        <v>43623.78</v>
      </c>
      <c r="J303" s="333">
        <f>'[3]App.2-F_Detailed_OM&amp;A_Expenses'!$G45</f>
        <v>70700</v>
      </c>
      <c r="K303" s="406"/>
      <c r="L303" s="333">
        <f>+'[9]App.2-F_Detailed_OM&amp;A_Expenses'!$I45</f>
        <v>68300</v>
      </c>
      <c r="U303" s="246"/>
      <c r="V303" s="250"/>
    </row>
    <row r="304" spans="1:22" ht="12.75">
      <c r="A304" s="409">
        <v>5120</v>
      </c>
      <c r="B304" s="6" t="s">
        <v>772</v>
      </c>
      <c r="D304" s="333">
        <v>16332.05</v>
      </c>
      <c r="F304" s="388">
        <v>19867.42</v>
      </c>
      <c r="H304" s="333">
        <v>53602.25</v>
      </c>
      <c r="J304" s="333">
        <f>'[3]App.2-F_Detailed_OM&amp;A_Expenses'!$G46</f>
        <v>40000</v>
      </c>
      <c r="K304" s="406"/>
      <c r="L304" s="333">
        <f>+'[9]App.2-F_Detailed_OM&amp;A_Expenses'!$I46</f>
        <v>39600</v>
      </c>
      <c r="U304" s="246"/>
      <c r="V304" s="250"/>
    </row>
    <row r="305" spans="1:22" ht="12.75">
      <c r="A305" s="409">
        <v>5125</v>
      </c>
      <c r="B305" s="6" t="s">
        <v>773</v>
      </c>
      <c r="D305" s="333">
        <v>79060.82</v>
      </c>
      <c r="F305" s="388">
        <v>63801.36</v>
      </c>
      <c r="H305" s="333">
        <v>116109.4</v>
      </c>
      <c r="J305" s="333">
        <f>'[3]App.2-F_Detailed_OM&amp;A_Expenses'!$G47</f>
        <v>100000</v>
      </c>
      <c r="K305" s="406"/>
      <c r="L305" s="333">
        <f>+'[9]App.2-F_Detailed_OM&amp;A_Expenses'!$I47</f>
        <v>99100</v>
      </c>
      <c r="U305" s="246"/>
      <c r="V305" s="250"/>
    </row>
    <row r="306" spans="1:22" ht="12.75">
      <c r="A306" s="409">
        <v>5130</v>
      </c>
      <c r="B306" s="6" t="s">
        <v>774</v>
      </c>
      <c r="D306" s="333">
        <v>34539.24</v>
      </c>
      <c r="F306" s="388">
        <v>40874.02</v>
      </c>
      <c r="H306" s="333">
        <v>39236.31</v>
      </c>
      <c r="J306" s="333">
        <f>'[3]App.2-F_Detailed_OM&amp;A_Expenses'!$G48</f>
        <v>50000</v>
      </c>
      <c r="K306" s="406"/>
      <c r="L306" s="333">
        <f>+'[9]App.2-F_Detailed_OM&amp;A_Expenses'!$I48</f>
        <v>49500</v>
      </c>
      <c r="U306" s="246"/>
      <c r="V306" s="250"/>
    </row>
    <row r="307" spans="1:22" ht="12.75">
      <c r="A307" s="409">
        <v>5135</v>
      </c>
      <c r="B307" s="6" t="s">
        <v>775</v>
      </c>
      <c r="D307" s="333">
        <v>42189.14</v>
      </c>
      <c r="F307" s="388">
        <v>25951.51</v>
      </c>
      <c r="H307" s="333">
        <v>44748.39</v>
      </c>
      <c r="J307" s="333">
        <f>'[3]App.2-F_Detailed_OM&amp;A_Expenses'!$G49</f>
        <v>40000</v>
      </c>
      <c r="K307" s="406"/>
      <c r="L307" s="333">
        <f>+'[9]App.2-F_Detailed_OM&amp;A_Expenses'!$I49</f>
        <v>39600</v>
      </c>
      <c r="U307" s="246"/>
      <c r="V307" s="250"/>
    </row>
    <row r="308" spans="1:22" ht="12.75">
      <c r="A308" s="409">
        <v>5145</v>
      </c>
      <c r="B308" s="6" t="s">
        <v>3</v>
      </c>
      <c r="D308" s="333">
        <v>2234.74</v>
      </c>
      <c r="F308" s="388">
        <v>0</v>
      </c>
      <c r="H308" s="333">
        <v>1952.27</v>
      </c>
      <c r="J308" s="333">
        <f>'[3]App.2-F_Detailed_OM&amp;A_Expenses'!$G50</f>
        <v>2000</v>
      </c>
      <c r="K308" s="406"/>
      <c r="L308" s="333">
        <f>+'[9]App.2-F_Detailed_OM&amp;A_Expenses'!$I50</f>
        <v>2000</v>
      </c>
      <c r="U308" s="246"/>
      <c r="V308" s="250"/>
    </row>
    <row r="309" spans="1:22" ht="12.75">
      <c r="A309" s="409">
        <v>5150</v>
      </c>
      <c r="B309" s="6" t="s">
        <v>4</v>
      </c>
      <c r="D309" s="333">
        <v>8913.79</v>
      </c>
      <c r="F309" s="388">
        <v>9088.68</v>
      </c>
      <c r="H309" s="333">
        <v>12515.29</v>
      </c>
      <c r="J309" s="333">
        <f>'[3]App.2-F_Detailed_OM&amp;A_Expenses'!$G51</f>
        <v>7000</v>
      </c>
      <c r="K309" s="406"/>
      <c r="L309" s="333">
        <f>+'[9]App.2-F_Detailed_OM&amp;A_Expenses'!$I51</f>
        <v>7100</v>
      </c>
      <c r="U309" s="246"/>
      <c r="V309" s="250"/>
    </row>
    <row r="310" spans="1:22" ht="12.75">
      <c r="A310" s="409">
        <v>5155</v>
      </c>
      <c r="B310" s="6" t="s">
        <v>5</v>
      </c>
      <c r="D310" s="333">
        <v>11669.82</v>
      </c>
      <c r="F310" s="388">
        <v>15936.41</v>
      </c>
      <c r="H310" s="333">
        <v>19973.46</v>
      </c>
      <c r="J310" s="333">
        <f>'[3]App.2-F_Detailed_OM&amp;A_Expenses'!$G52</f>
        <v>22000</v>
      </c>
      <c r="K310" s="406"/>
      <c r="L310" s="333">
        <f>+'[9]App.2-F_Detailed_OM&amp;A_Expenses'!$I52</f>
        <v>21600</v>
      </c>
      <c r="U310" s="246"/>
      <c r="V310" s="250"/>
    </row>
    <row r="311" spans="1:22" ht="12.75">
      <c r="A311" s="409">
        <v>5160</v>
      </c>
      <c r="B311" s="6" t="s">
        <v>6</v>
      </c>
      <c r="D311" s="333">
        <v>11623.83</v>
      </c>
      <c r="F311" s="388">
        <v>63007.3</v>
      </c>
      <c r="H311" s="333">
        <v>9211.68</v>
      </c>
      <c r="J311" s="333">
        <f>'[3]App.2-F_Detailed_OM&amp;A_Expenses'!$G53</f>
        <v>50000</v>
      </c>
      <c r="K311" s="406"/>
      <c r="L311" s="333">
        <f>+'[9]App.2-F_Detailed_OM&amp;A_Expenses'!$I53</f>
        <v>49500</v>
      </c>
      <c r="U311" s="246"/>
      <c r="V311" s="250"/>
    </row>
    <row r="312" spans="1:22" ht="12.75">
      <c r="A312" s="409">
        <v>5165</v>
      </c>
      <c r="B312" s="6" t="s">
        <v>7</v>
      </c>
      <c r="D312" s="333"/>
      <c r="F312" s="388"/>
      <c r="H312" s="333"/>
      <c r="J312" s="333"/>
      <c r="K312" s="406"/>
      <c r="L312" s="333"/>
      <c r="U312" s="246"/>
      <c r="V312" s="250"/>
    </row>
    <row r="313" spans="1:22" ht="12.75">
      <c r="A313" s="409">
        <v>5170</v>
      </c>
      <c r="B313" s="6" t="s">
        <v>8</v>
      </c>
      <c r="D313" s="333"/>
      <c r="F313" s="388"/>
      <c r="H313" s="333"/>
      <c r="J313" s="333"/>
      <c r="K313" s="406"/>
      <c r="L313" s="333"/>
      <c r="U313" s="246"/>
      <c r="V313" s="250"/>
    </row>
    <row r="314" spans="1:22" ht="12.75">
      <c r="A314" s="409">
        <v>5172</v>
      </c>
      <c r="B314" s="6" t="s">
        <v>9</v>
      </c>
      <c r="D314" s="333"/>
      <c r="F314" s="388"/>
      <c r="H314" s="333"/>
      <c r="J314" s="333"/>
      <c r="K314" s="406"/>
      <c r="L314" s="333"/>
      <c r="U314" s="246"/>
      <c r="V314" s="250"/>
    </row>
    <row r="315" spans="1:22" ht="12.75">
      <c r="A315" s="409">
        <v>5175</v>
      </c>
      <c r="B315" s="6" t="s">
        <v>10</v>
      </c>
      <c r="D315" s="333">
        <v>14521.13</v>
      </c>
      <c r="F315" s="388">
        <v>10532.69</v>
      </c>
      <c r="H315" s="333">
        <v>5435.63</v>
      </c>
      <c r="J315" s="333">
        <f>'[3]App.2-F_Detailed_OM&amp;A_Expenses'!$G57</f>
        <v>20000</v>
      </c>
      <c r="L315" s="333">
        <f>+'[9]App.2-F_Detailed_OM&amp;A_Expenses'!$I57</f>
        <v>19200</v>
      </c>
      <c r="U315" s="246"/>
      <c r="V315" s="250"/>
    </row>
    <row r="316" spans="1:22" ht="12.75">
      <c r="A316" s="409">
        <v>5178</v>
      </c>
      <c r="B316" s="6" t="s">
        <v>11</v>
      </c>
      <c r="D316" s="333"/>
      <c r="F316" s="333"/>
      <c r="H316" s="333"/>
      <c r="J316" s="333"/>
      <c r="K316" s="406"/>
      <c r="L316" s="333"/>
      <c r="U316" s="246"/>
      <c r="V316" s="250"/>
    </row>
    <row r="317" spans="1:22" ht="12.75">
      <c r="A317" s="409">
        <v>5195</v>
      </c>
      <c r="B317" s="6" t="s">
        <v>12</v>
      </c>
      <c r="D317" s="333"/>
      <c r="F317" s="333"/>
      <c r="H317" s="333"/>
      <c r="J317" s="333"/>
      <c r="K317" s="406"/>
      <c r="L317" s="333"/>
      <c r="U317" s="246"/>
      <c r="V317" s="250"/>
    </row>
    <row r="318" spans="1:22" ht="12.75">
      <c r="A318" s="410"/>
      <c r="B318" s="251" t="s">
        <v>122</v>
      </c>
      <c r="J318" s="338"/>
      <c r="K318" s="406"/>
      <c r="L318" s="338"/>
      <c r="U318" s="246"/>
      <c r="V318" s="250"/>
    </row>
    <row r="319" spans="1:22" ht="12.75">
      <c r="A319" s="409">
        <v>5205</v>
      </c>
      <c r="B319" s="6" t="s">
        <v>13</v>
      </c>
      <c r="D319" s="333"/>
      <c r="F319" s="333"/>
      <c r="H319" s="333"/>
      <c r="J319" s="333"/>
      <c r="K319" s="327"/>
      <c r="L319" s="333"/>
      <c r="U319" s="246"/>
      <c r="V319" s="250"/>
    </row>
    <row r="320" spans="1:22" ht="12.75">
      <c r="A320" s="409">
        <v>5210</v>
      </c>
      <c r="B320" s="6" t="s">
        <v>14</v>
      </c>
      <c r="D320" s="333"/>
      <c r="F320" s="333"/>
      <c r="H320" s="333"/>
      <c r="J320" s="333"/>
      <c r="K320" s="327"/>
      <c r="L320" s="333"/>
      <c r="U320" s="246"/>
      <c r="V320" s="250"/>
    </row>
    <row r="321" spans="1:22" ht="12.75">
      <c r="A321" s="409">
        <v>5215</v>
      </c>
      <c r="B321" s="6" t="s">
        <v>15</v>
      </c>
      <c r="D321" s="333"/>
      <c r="F321" s="333"/>
      <c r="H321" s="333"/>
      <c r="J321" s="333"/>
      <c r="K321" s="327"/>
      <c r="L321" s="333"/>
      <c r="U321" s="246"/>
      <c r="V321" s="250"/>
    </row>
    <row r="322" spans="1:22" ht="12.75">
      <c r="A322" s="410"/>
      <c r="B322" s="251" t="s">
        <v>184</v>
      </c>
      <c r="J322" s="338"/>
      <c r="K322" s="327"/>
      <c r="L322" s="338"/>
      <c r="U322" s="246"/>
      <c r="V322" s="250"/>
    </row>
    <row r="323" spans="1:22" ht="12.75">
      <c r="A323" s="409">
        <v>5305</v>
      </c>
      <c r="B323" s="6" t="s">
        <v>546</v>
      </c>
      <c r="D323" s="333"/>
      <c r="F323" s="388"/>
      <c r="H323" s="333"/>
      <c r="J323" s="333"/>
      <c r="K323" s="327"/>
      <c r="L323" s="333"/>
      <c r="U323" s="246"/>
      <c r="V323" s="250"/>
    </row>
    <row r="324" spans="1:22" ht="12.75">
      <c r="A324" s="409">
        <v>5310</v>
      </c>
      <c r="B324" s="6" t="s">
        <v>16</v>
      </c>
      <c r="D324" s="333">
        <v>64414.83</v>
      </c>
      <c r="F324" s="388">
        <v>65060.2</v>
      </c>
      <c r="H324" s="333">
        <v>68647.67</v>
      </c>
      <c r="J324" s="333">
        <f>'[3]App.2-F_Detailed_OM&amp;A_Expenses'!$G64</f>
        <v>74000</v>
      </c>
      <c r="L324" s="333">
        <f>+'[9]App.2-F_Detailed_OM&amp;A_Expenses'!$I64</f>
        <v>31600</v>
      </c>
      <c r="U324" s="246"/>
      <c r="V324" s="250"/>
    </row>
    <row r="325" spans="1:22" ht="12.75">
      <c r="A325" s="409">
        <v>5315</v>
      </c>
      <c r="B325" s="6" t="s">
        <v>17</v>
      </c>
      <c r="D325" s="333">
        <v>268398.58</v>
      </c>
      <c r="F325" s="388">
        <v>276354.89</v>
      </c>
      <c r="H325" s="333">
        <v>282861.7</v>
      </c>
      <c r="J325" s="333">
        <f>'[3]App.2-F_Detailed_OM&amp;A_Expenses'!$G65</f>
        <v>272000</v>
      </c>
      <c r="L325" s="333">
        <f>+'[9]App.2-F_Detailed_OM&amp;A_Expenses'!$I65</f>
        <v>269600</v>
      </c>
      <c r="U325" s="246"/>
      <c r="V325" s="250"/>
    </row>
    <row r="326" spans="1:22" ht="12.75">
      <c r="A326" s="409">
        <v>5320</v>
      </c>
      <c r="B326" s="6" t="s">
        <v>547</v>
      </c>
      <c r="D326" s="333">
        <v>40881.71</v>
      </c>
      <c r="F326" s="388">
        <v>35368.39</v>
      </c>
      <c r="H326" s="333">
        <v>35090.44</v>
      </c>
      <c r="J326" s="333">
        <f>'[3]App.2-F_Detailed_OM&amp;A_Expenses'!$G66</f>
        <v>36000</v>
      </c>
      <c r="L326" s="333">
        <f>+'[9]App.2-F_Detailed_OM&amp;A_Expenses'!$I66</f>
        <v>35700</v>
      </c>
      <c r="U326" s="246"/>
      <c r="V326" s="250"/>
    </row>
    <row r="327" spans="1:22" ht="12.75">
      <c r="A327" s="409">
        <v>5325</v>
      </c>
      <c r="B327" s="6" t="s">
        <v>18</v>
      </c>
      <c r="D327" s="333">
        <v>546.8</v>
      </c>
      <c r="F327" s="388">
        <v>-306.94</v>
      </c>
      <c r="H327" s="333">
        <v>-10.91</v>
      </c>
      <c r="J327" s="333"/>
      <c r="L327" s="333"/>
      <c r="U327" s="246"/>
      <c r="V327" s="250"/>
    </row>
    <row r="328" spans="1:22" ht="12.75">
      <c r="A328" s="409">
        <v>5330</v>
      </c>
      <c r="B328" s="6" t="s">
        <v>19</v>
      </c>
      <c r="D328" s="333">
        <v>0</v>
      </c>
      <c r="F328" s="388">
        <v>0</v>
      </c>
      <c r="H328" s="333">
        <v>0</v>
      </c>
      <c r="J328" s="333"/>
      <c r="L328" s="333"/>
      <c r="U328" s="246"/>
      <c r="V328" s="250"/>
    </row>
    <row r="329" spans="1:22" ht="12.75">
      <c r="A329" s="409">
        <v>5335</v>
      </c>
      <c r="B329" s="6" t="s">
        <v>20</v>
      </c>
      <c r="D329" s="333">
        <v>21172.08</v>
      </c>
      <c r="F329" s="388">
        <v>53374</v>
      </c>
      <c r="H329" s="333">
        <v>36066.59</v>
      </c>
      <c r="J329" s="333">
        <f>'[3]App.2-F_Detailed_OM&amp;A_Expenses'!$G69</f>
        <v>40000</v>
      </c>
      <c r="L329" s="333">
        <f>+'[9]App.2-F_Detailed_OM&amp;A_Expenses'!$I69</f>
        <v>39600</v>
      </c>
      <c r="N329" s="18">
        <f>(L329+J329+H329)/3</f>
        <v>38555.53</v>
      </c>
      <c r="U329" s="246"/>
      <c r="V329" s="250"/>
    </row>
    <row r="330" spans="1:22" ht="12.75">
      <c r="A330" s="409">
        <v>5340</v>
      </c>
      <c r="B330" s="6" t="s">
        <v>21</v>
      </c>
      <c r="D330" s="333"/>
      <c r="F330" s="388"/>
      <c r="H330" s="333"/>
      <c r="J330" s="333"/>
      <c r="L330" s="333"/>
      <c r="U330" s="246"/>
      <c r="V330" s="250"/>
    </row>
    <row r="331" spans="1:22" ht="12.75">
      <c r="A331" s="410"/>
      <c r="B331" s="251" t="s">
        <v>185</v>
      </c>
      <c r="J331" s="338"/>
      <c r="L331" s="338"/>
      <c r="U331" s="246"/>
      <c r="V331" s="250"/>
    </row>
    <row r="332" spans="1:22" ht="12.75">
      <c r="A332" s="409">
        <v>5405</v>
      </c>
      <c r="B332" s="6" t="s">
        <v>546</v>
      </c>
      <c r="D332" s="333"/>
      <c r="F332" s="333"/>
      <c r="H332" s="333"/>
      <c r="J332" s="333"/>
      <c r="L332" s="333"/>
      <c r="U332" s="246"/>
      <c r="V332" s="250"/>
    </row>
    <row r="333" spans="1:22" ht="12.75">
      <c r="A333" s="409">
        <v>5410</v>
      </c>
      <c r="B333" s="6" t="s">
        <v>22</v>
      </c>
      <c r="D333" s="333">
        <v>485.87</v>
      </c>
      <c r="F333" s="388">
        <v>453.28</v>
      </c>
      <c r="H333" s="333">
        <v>450</v>
      </c>
      <c r="J333" s="333">
        <f>'[3]App.2-F_Detailed_OM&amp;A_Expenses'!$G75</f>
        <v>3500</v>
      </c>
      <c r="L333" s="333">
        <f>+'[9]App.2-F_Detailed_OM&amp;A_Expenses'!$I$75</f>
        <v>3400</v>
      </c>
      <c r="U333" s="246"/>
      <c r="V333" s="250"/>
    </row>
    <row r="334" spans="1:22" ht="12.75">
      <c r="A334" s="409">
        <v>5415</v>
      </c>
      <c r="B334" s="6" t="s">
        <v>23</v>
      </c>
      <c r="D334" s="333">
        <v>0</v>
      </c>
      <c r="F334" s="333">
        <v>8766.49</v>
      </c>
      <c r="H334" s="333">
        <v>0</v>
      </c>
      <c r="J334" s="333"/>
      <c r="L334" s="333"/>
      <c r="U334" s="246"/>
      <c r="V334" s="250"/>
    </row>
    <row r="335" spans="1:22" ht="12.75">
      <c r="A335" s="409">
        <v>5420</v>
      </c>
      <c r="B335" s="6" t="s">
        <v>24</v>
      </c>
      <c r="D335" s="333"/>
      <c r="F335" s="333"/>
      <c r="H335" s="333"/>
      <c r="J335" s="333"/>
      <c r="L335" s="333"/>
      <c r="U335" s="246"/>
      <c r="V335" s="250"/>
    </row>
    <row r="336" spans="1:22" ht="12.75">
      <c r="A336" s="409">
        <v>5425</v>
      </c>
      <c r="B336" s="6" t="s">
        <v>25</v>
      </c>
      <c r="D336" s="333"/>
      <c r="F336" s="333"/>
      <c r="H336" s="333"/>
      <c r="J336" s="333"/>
      <c r="L336" s="333"/>
      <c r="U336" s="246"/>
      <c r="V336" s="250"/>
    </row>
    <row r="337" spans="1:22" ht="12.75">
      <c r="A337" s="410"/>
      <c r="B337" s="251" t="s">
        <v>123</v>
      </c>
      <c r="J337" s="338"/>
      <c r="L337" s="338"/>
      <c r="U337" s="246"/>
      <c r="V337" s="250"/>
    </row>
    <row r="338" spans="1:22" ht="12.75">
      <c r="A338" s="409">
        <v>5505</v>
      </c>
      <c r="B338" s="6" t="s">
        <v>546</v>
      </c>
      <c r="D338" s="333"/>
      <c r="F338" s="333"/>
      <c r="H338" s="333"/>
      <c r="J338" s="333"/>
      <c r="L338" s="333"/>
      <c r="U338" s="246"/>
      <c r="V338" s="250"/>
    </row>
    <row r="339" spans="1:22" ht="12.75">
      <c r="A339" s="409">
        <v>5510</v>
      </c>
      <c r="B339" s="6" t="s">
        <v>26</v>
      </c>
      <c r="D339" s="333"/>
      <c r="F339" s="333"/>
      <c r="H339" s="333"/>
      <c r="J339" s="333"/>
      <c r="L339" s="333"/>
      <c r="U339" s="246"/>
      <c r="V339" s="250"/>
    </row>
    <row r="340" spans="1:22" ht="12.75">
      <c r="A340" s="409">
        <v>5515</v>
      </c>
      <c r="B340" s="6" t="s">
        <v>27</v>
      </c>
      <c r="D340" s="333"/>
      <c r="F340" s="333"/>
      <c r="H340" s="333"/>
      <c r="J340" s="333"/>
      <c r="L340" s="333"/>
      <c r="V340" s="250"/>
    </row>
    <row r="341" spans="1:22" ht="12.75">
      <c r="A341" s="409">
        <v>5520</v>
      </c>
      <c r="B341" s="6" t="s">
        <v>28</v>
      </c>
      <c r="D341" s="333"/>
      <c r="F341" s="333"/>
      <c r="H341" s="333"/>
      <c r="J341" s="333"/>
      <c r="L341" s="333"/>
      <c r="U341" s="246"/>
      <c r="V341" s="250"/>
    </row>
    <row r="342" spans="1:22" ht="12.75">
      <c r="A342" s="410"/>
      <c r="B342" s="251" t="s">
        <v>186</v>
      </c>
      <c r="J342" s="338"/>
      <c r="L342" s="338"/>
      <c r="U342" s="246"/>
      <c r="V342" s="250"/>
    </row>
    <row r="343" spans="1:22" ht="12.75">
      <c r="A343" s="409">
        <v>5605</v>
      </c>
      <c r="B343" s="6" t="s">
        <v>29</v>
      </c>
      <c r="D343" s="333"/>
      <c r="F343" s="388"/>
      <c r="H343" s="333"/>
      <c r="J343" s="333"/>
      <c r="L343" s="333"/>
      <c r="U343" s="246"/>
      <c r="V343" s="250"/>
    </row>
    <row r="344" spans="1:22" ht="12.75">
      <c r="A344" s="409">
        <v>5610</v>
      </c>
      <c r="B344" s="6" t="s">
        <v>30</v>
      </c>
      <c r="D344" s="333"/>
      <c r="F344" s="388"/>
      <c r="H344" s="333"/>
      <c r="J344" s="333"/>
      <c r="L344" s="333"/>
      <c r="U344" s="246"/>
      <c r="V344" s="250"/>
    </row>
    <row r="345" spans="1:22" ht="12.75">
      <c r="A345" s="409">
        <v>5615</v>
      </c>
      <c r="B345" s="6" t="s">
        <v>31</v>
      </c>
      <c r="D345" s="333">
        <f>89028.24+219341.04</f>
        <v>308369.28</v>
      </c>
      <c r="F345" s="388">
        <f>90328.03+232910.8</f>
        <v>323238.82999999996</v>
      </c>
      <c r="H345" s="333">
        <f>102720.89+254697.4</f>
        <v>357418.29</v>
      </c>
      <c r="J345" s="333">
        <f>'[3]App.2-F_Detailed_OM&amp;A_Expenses'!$G88</f>
        <v>358000</v>
      </c>
      <c r="L345" s="333">
        <f>+'[9]App.2-F_Detailed_OM&amp;A_Expenses'!$I88</f>
        <v>357900</v>
      </c>
      <c r="U345" s="246"/>
      <c r="V345" s="250"/>
    </row>
    <row r="346" spans="1:22" ht="12.75">
      <c r="A346" s="409">
        <v>5620</v>
      </c>
      <c r="B346" s="6" t="s">
        <v>32</v>
      </c>
      <c r="D346" s="333">
        <v>8952.12</v>
      </c>
      <c r="F346" s="388">
        <v>8480.69</v>
      </c>
      <c r="H346" s="333">
        <v>10529.3</v>
      </c>
      <c r="J346" s="333">
        <f>'[3]App.2-F_Detailed_OM&amp;A_Expenses'!$G89</f>
        <v>10000</v>
      </c>
      <c r="L346" s="333">
        <f>+'[9]App.2-F_Detailed_OM&amp;A_Expenses'!$I89</f>
        <v>9900</v>
      </c>
      <c r="U346" s="246"/>
      <c r="V346" s="250"/>
    </row>
    <row r="347" spans="1:22" ht="12.75">
      <c r="A347" s="409">
        <v>5625</v>
      </c>
      <c r="B347" s="6" t="s">
        <v>33</v>
      </c>
      <c r="D347" s="333">
        <v>59587.7</v>
      </c>
      <c r="F347" s="388">
        <v>54789.57</v>
      </c>
      <c r="H347" s="333">
        <v>46446</v>
      </c>
      <c r="J347" s="333">
        <f>'[3]App.2-F_Detailed_OM&amp;A_Expenses'!$G90</f>
        <v>28058</v>
      </c>
      <c r="L347" s="333">
        <f>+'[9]App.2-F_Detailed_OM&amp;A_Expenses'!$I90</f>
        <v>26700</v>
      </c>
      <c r="U347" s="246"/>
      <c r="V347" s="250"/>
    </row>
    <row r="348" spans="1:22" ht="12.75">
      <c r="A348" s="409">
        <v>5630</v>
      </c>
      <c r="B348" s="6" t="s">
        <v>34</v>
      </c>
      <c r="D348" s="333">
        <v>59948.22</v>
      </c>
      <c r="F348" s="388">
        <v>68712.2</v>
      </c>
      <c r="H348" s="333">
        <v>59587.14</v>
      </c>
      <c r="J348" s="333">
        <f>'[3]App.2-F_Detailed_OM&amp;A_Expenses'!$G91</f>
        <v>60000</v>
      </c>
      <c r="L348" s="333">
        <f>+'[9]App.2-F_Detailed_OM&amp;A_Expenses'!$I91</f>
        <v>59500</v>
      </c>
      <c r="U348" s="246"/>
      <c r="V348" s="250"/>
    </row>
    <row r="349" spans="1:22" ht="12.75">
      <c r="A349" s="409">
        <v>5635</v>
      </c>
      <c r="B349" s="6" t="s">
        <v>35</v>
      </c>
      <c r="D349" s="333">
        <v>33409.4</v>
      </c>
      <c r="F349" s="388">
        <v>41302.4</v>
      </c>
      <c r="H349" s="333">
        <v>49844.54</v>
      </c>
      <c r="J349" s="333">
        <f>'[3]App.2-F_Detailed_OM&amp;A_Expenses'!$G92</f>
        <v>45642</v>
      </c>
      <c r="L349" s="333">
        <f>+'[9]App.2-F_Detailed_OM&amp;A_Expenses'!$I92</f>
        <v>40200</v>
      </c>
      <c r="U349" s="246"/>
      <c r="V349" s="250"/>
    </row>
    <row r="350" spans="1:22" ht="12.75">
      <c r="A350" s="409">
        <v>5640</v>
      </c>
      <c r="B350" s="6" t="s">
        <v>36</v>
      </c>
      <c r="D350" s="333"/>
      <c r="F350" s="388"/>
      <c r="H350" s="333"/>
      <c r="J350" s="333"/>
      <c r="L350" s="333"/>
      <c r="U350" s="246"/>
      <c r="V350" s="250"/>
    </row>
    <row r="351" spans="1:22" ht="12.75">
      <c r="A351" s="409">
        <v>5645</v>
      </c>
      <c r="B351" s="6" t="s">
        <v>37</v>
      </c>
      <c r="D351" s="333"/>
      <c r="F351" s="388"/>
      <c r="H351" s="333"/>
      <c r="J351" s="333"/>
      <c r="L351" s="333"/>
      <c r="U351" s="246"/>
      <c r="V351" s="250"/>
    </row>
    <row r="352" spans="1:22" ht="12.75">
      <c r="A352" s="409">
        <v>5650</v>
      </c>
      <c r="B352" s="6" t="s">
        <v>38</v>
      </c>
      <c r="D352" s="333"/>
      <c r="F352" s="388"/>
      <c r="H352" s="333"/>
      <c r="J352" s="333"/>
      <c r="L352" s="333"/>
      <c r="U352" s="246"/>
      <c r="V352" s="250"/>
    </row>
    <row r="353" spans="1:22" ht="12.75">
      <c r="A353" s="409">
        <v>5655</v>
      </c>
      <c r="B353" s="6" t="s">
        <v>39</v>
      </c>
      <c r="D353" s="333">
        <v>26875.74</v>
      </c>
      <c r="F353" s="388">
        <v>31592.61</v>
      </c>
      <c r="H353" s="333">
        <v>44991.87</v>
      </c>
      <c r="J353" s="333">
        <f>'[3]App.2-F_Detailed_OM&amp;A_Expenses'!$G96</f>
        <v>30256</v>
      </c>
      <c r="L353" s="333">
        <f>+'[9]App.2-F_Detailed_OM&amp;A_Expenses'!$I96</f>
        <v>118200</v>
      </c>
      <c r="U353" s="246"/>
      <c r="V353" s="250"/>
    </row>
    <row r="354" spans="1:22" ht="12.75">
      <c r="A354" s="409">
        <v>5660</v>
      </c>
      <c r="B354" s="6" t="s">
        <v>40</v>
      </c>
      <c r="D354" s="333"/>
      <c r="F354" s="388"/>
      <c r="H354" s="333"/>
      <c r="J354" s="333"/>
      <c r="L354" s="333"/>
      <c r="U354" s="246"/>
      <c r="V354" s="250"/>
    </row>
    <row r="355" spans="1:22" ht="12.75">
      <c r="A355" s="409">
        <v>5665</v>
      </c>
      <c r="B355" s="6" t="s">
        <v>41</v>
      </c>
      <c r="D355" s="333">
        <v>91860.81</v>
      </c>
      <c r="F355" s="388">
        <v>91091.43</v>
      </c>
      <c r="H355" s="333">
        <v>91625.67</v>
      </c>
      <c r="J355" s="333">
        <f>'[3]App.2-F_Detailed_OM&amp;A_Expenses'!$G98</f>
        <v>98000</v>
      </c>
      <c r="L355" s="333">
        <f>+'[9]App.2-F_Detailed_OM&amp;A_Expenses'!$I98</f>
        <v>95400</v>
      </c>
      <c r="U355" s="246"/>
      <c r="V355" s="250"/>
    </row>
    <row r="356" spans="1:22" ht="12.75">
      <c r="A356" s="409">
        <v>5670</v>
      </c>
      <c r="B356" s="6" t="s">
        <v>42</v>
      </c>
      <c r="D356" s="333">
        <v>8170.68</v>
      </c>
      <c r="F356" s="388">
        <v>7484.78</v>
      </c>
      <c r="H356" s="333">
        <v>6945.85</v>
      </c>
      <c r="J356" s="333">
        <f>'[3]App.2-F_Detailed_OM&amp;A_Expenses'!$G99</f>
        <v>8000</v>
      </c>
      <c r="L356" s="333">
        <f>+'[9]App.2-F_Detailed_OM&amp;A_Expenses'!$I99</f>
        <v>7900</v>
      </c>
      <c r="U356" s="246"/>
      <c r="V356" s="250"/>
    </row>
    <row r="357" spans="1:22" ht="12.75">
      <c r="A357" s="409">
        <v>5675</v>
      </c>
      <c r="B357" s="6" t="s">
        <v>43</v>
      </c>
      <c r="D357" s="333">
        <v>31951.35</v>
      </c>
      <c r="F357" s="388">
        <v>26723.52</v>
      </c>
      <c r="H357" s="333">
        <v>24213.45</v>
      </c>
      <c r="J357" s="333">
        <f>'[3]App.2-F_Detailed_OM&amp;A_Expenses'!$G100</f>
        <v>28000</v>
      </c>
      <c r="L357" s="333">
        <f>+'[9]App.2-F_Detailed_OM&amp;A_Expenses'!$I100</f>
        <v>27700</v>
      </c>
      <c r="U357" s="246"/>
      <c r="V357" s="250"/>
    </row>
    <row r="358" spans="1:22" ht="12.75">
      <c r="A358" s="409">
        <v>5680</v>
      </c>
      <c r="B358" s="6" t="s">
        <v>44</v>
      </c>
      <c r="D358" s="333">
        <v>0</v>
      </c>
      <c r="F358" s="388">
        <v>0</v>
      </c>
      <c r="H358" s="333">
        <v>3606.35</v>
      </c>
      <c r="J358" s="333">
        <f>'[3]App.2-F_Detailed_OM&amp;A_Expenses'!$G101</f>
        <v>3308</v>
      </c>
      <c r="L358" s="333">
        <f>+'[9]App.2-F_Detailed_OM&amp;A_Expenses'!$I101</f>
        <v>3200</v>
      </c>
      <c r="U358" s="246"/>
      <c r="V358" s="250"/>
    </row>
    <row r="359" spans="1:22" ht="12.75">
      <c r="A359" s="409">
        <v>5681</v>
      </c>
      <c r="B359" s="6" t="s">
        <v>852</v>
      </c>
      <c r="D359" s="333">
        <v>0</v>
      </c>
      <c r="F359" s="388">
        <v>0</v>
      </c>
      <c r="H359" s="333">
        <v>0</v>
      </c>
      <c r="J359" s="333"/>
      <c r="L359" s="333"/>
      <c r="U359" s="246"/>
      <c r="V359" s="250"/>
    </row>
    <row r="360" spans="1:22" ht="12.75">
      <c r="A360" s="409">
        <v>5685</v>
      </c>
      <c r="B360" s="6" t="s">
        <v>45</v>
      </c>
      <c r="D360" s="333"/>
      <c r="F360" s="388"/>
      <c r="H360" s="333"/>
      <c r="J360" s="396"/>
      <c r="L360" s="396"/>
      <c r="U360" s="246"/>
      <c r="V360" s="250"/>
    </row>
    <row r="361" spans="1:22" ht="12.75">
      <c r="A361" s="409">
        <v>5695</v>
      </c>
      <c r="B361" s="6" t="s">
        <v>136</v>
      </c>
      <c r="D361" s="333"/>
      <c r="F361" s="388"/>
      <c r="H361" s="333"/>
      <c r="J361" s="412"/>
      <c r="K361" s="411"/>
      <c r="L361" s="412"/>
      <c r="U361" s="246"/>
      <c r="V361" s="250"/>
    </row>
    <row r="362" spans="1:22" ht="12.75">
      <c r="A362" s="410"/>
      <c r="B362" s="251" t="s">
        <v>125</v>
      </c>
      <c r="U362" s="246"/>
      <c r="V362" s="250"/>
    </row>
    <row r="363" spans="1:22" ht="12.75">
      <c r="A363" s="409">
        <v>5705</v>
      </c>
      <c r="B363" s="6" t="s">
        <v>46</v>
      </c>
      <c r="D363" s="335">
        <f>'FA Continuity 2008'!J55</f>
        <v>228995.99</v>
      </c>
      <c r="F363" s="335">
        <f>'FA Continuity 2009'!J55</f>
        <v>277766.94</v>
      </c>
      <c r="H363" s="335">
        <f>'FA Continuity 2010'!J55</f>
        <v>379401.05433333333</v>
      </c>
      <c r="J363" s="335">
        <f>'FA Continuity MIFRS 2011'!J55</f>
        <v>334223.37026666664</v>
      </c>
      <c r="L363" s="335">
        <f>'FA Continuity 2012'!J55</f>
        <v>337176.76335881406</v>
      </c>
      <c r="U363" s="246"/>
      <c r="V363" s="250"/>
    </row>
    <row r="364" spans="1:22" ht="12.75">
      <c r="A364" s="409">
        <v>5710</v>
      </c>
      <c r="B364" s="6" t="s">
        <v>47</v>
      </c>
      <c r="D364" s="333"/>
      <c r="F364" s="333"/>
      <c r="H364" s="333"/>
      <c r="J364" s="333"/>
      <c r="L364" s="333"/>
      <c r="U364" s="246"/>
      <c r="V364" s="250"/>
    </row>
    <row r="365" spans="1:22" ht="12.75">
      <c r="A365" s="409">
        <v>5715</v>
      </c>
      <c r="B365" s="6" t="s">
        <v>48</v>
      </c>
      <c r="D365" s="333"/>
      <c r="F365" s="333"/>
      <c r="H365" s="333"/>
      <c r="J365" s="333"/>
      <c r="L365" s="333"/>
      <c r="U365" s="246"/>
      <c r="V365" s="250"/>
    </row>
    <row r="366" spans="1:22" ht="12.75">
      <c r="A366" s="409">
        <v>5720</v>
      </c>
      <c r="B366" s="6" t="s">
        <v>49</v>
      </c>
      <c r="D366" s="333"/>
      <c r="F366" s="333"/>
      <c r="H366" s="333"/>
      <c r="J366" s="333"/>
      <c r="L366" s="333"/>
      <c r="U366" s="246"/>
      <c r="V366" s="250"/>
    </row>
    <row r="367" spans="1:22" ht="12.75">
      <c r="A367" s="409">
        <v>5725</v>
      </c>
      <c r="B367" s="6" t="s">
        <v>50</v>
      </c>
      <c r="D367" s="333"/>
      <c r="F367" s="333"/>
      <c r="H367" s="333"/>
      <c r="J367" s="333"/>
      <c r="L367" s="333"/>
      <c r="U367" s="246"/>
      <c r="V367" s="250"/>
    </row>
    <row r="368" spans="1:22" ht="12.75">
      <c r="A368" s="409">
        <v>5730</v>
      </c>
      <c r="B368" s="6" t="s">
        <v>51</v>
      </c>
      <c r="D368" s="333"/>
      <c r="F368" s="333"/>
      <c r="H368" s="333"/>
      <c r="J368" s="333"/>
      <c r="L368" s="333"/>
      <c r="U368" s="246"/>
      <c r="V368" s="250"/>
    </row>
    <row r="369" spans="1:22" ht="12.75">
      <c r="A369" s="409">
        <v>5735</v>
      </c>
      <c r="B369" s="6" t="s">
        <v>52</v>
      </c>
      <c r="D369" s="333"/>
      <c r="F369" s="333"/>
      <c r="H369" s="333"/>
      <c r="J369" s="333"/>
      <c r="L369" s="333"/>
      <c r="U369" s="246"/>
      <c r="V369" s="250"/>
    </row>
    <row r="370" spans="1:22" ht="12.75">
      <c r="A370" s="409">
        <v>5740</v>
      </c>
      <c r="B370" s="6" t="s">
        <v>53</v>
      </c>
      <c r="D370" s="333"/>
      <c r="F370" s="333"/>
      <c r="H370" s="333"/>
      <c r="J370" s="333"/>
      <c r="L370" s="333"/>
      <c r="V370" s="250"/>
    </row>
    <row r="371" spans="1:22" ht="12.75">
      <c r="A371" s="410"/>
      <c r="B371" s="251" t="s">
        <v>124</v>
      </c>
      <c r="V371" s="250"/>
    </row>
    <row r="372" spans="1:22" ht="12.75">
      <c r="A372" s="409">
        <v>6005</v>
      </c>
      <c r="B372" s="6" t="s">
        <v>54</v>
      </c>
      <c r="D372" s="333"/>
      <c r="F372" s="333"/>
      <c r="H372" s="333"/>
      <c r="J372" s="396"/>
      <c r="L372" s="412"/>
      <c r="V372" s="250"/>
    </row>
    <row r="373" spans="1:22" ht="12.75">
      <c r="A373" s="409">
        <v>6010</v>
      </c>
      <c r="B373" s="6" t="s">
        <v>55</v>
      </c>
      <c r="D373" s="333"/>
      <c r="F373" s="333"/>
      <c r="H373" s="333"/>
      <c r="J373" s="333"/>
      <c r="L373" s="387"/>
      <c r="V373" s="250"/>
    </row>
    <row r="374" spans="1:22" ht="12.75">
      <c r="A374" s="409">
        <v>6015</v>
      </c>
      <c r="B374" s="6" t="s">
        <v>56</v>
      </c>
      <c r="D374" s="333"/>
      <c r="F374" s="333"/>
      <c r="H374" s="333"/>
      <c r="J374" s="333"/>
      <c r="L374" s="396"/>
      <c r="V374" s="250"/>
    </row>
    <row r="375" spans="1:22" ht="12.75">
      <c r="A375" s="409">
        <v>6020</v>
      </c>
      <c r="B375" s="6" t="s">
        <v>57</v>
      </c>
      <c r="D375" s="333"/>
      <c r="F375" s="333"/>
      <c r="H375" s="333"/>
      <c r="J375" s="333"/>
      <c r="L375" s="396"/>
      <c r="V375" s="250"/>
    </row>
    <row r="376" spans="1:22" ht="12.75">
      <c r="A376" s="409">
        <v>6025</v>
      </c>
      <c r="B376" s="6" t="s">
        <v>58</v>
      </c>
      <c r="D376" s="333"/>
      <c r="F376" s="333"/>
      <c r="H376" s="333"/>
      <c r="J376" s="333"/>
      <c r="L376" s="396"/>
      <c r="V376" s="250"/>
    </row>
    <row r="377" spans="1:22" ht="12.75">
      <c r="A377" s="409">
        <v>6030</v>
      </c>
      <c r="B377" s="6" t="s">
        <v>59</v>
      </c>
      <c r="D377" s="333">
        <v>58051.27</v>
      </c>
      <c r="F377" s="333">
        <v>58051.27</v>
      </c>
      <c r="H377" s="333">
        <v>58051.27</v>
      </c>
      <c r="J377" s="423">
        <v>58051</v>
      </c>
      <c r="L377" s="425">
        <f>'Debt &amp; Capital Structure'!M26+'Debt &amp; Capital Structure'!M27</f>
        <v>51303.844809</v>
      </c>
      <c r="V377" s="250"/>
    </row>
    <row r="378" spans="1:22" ht="12.75">
      <c r="A378" s="409">
        <v>6035</v>
      </c>
      <c r="B378" s="6" t="s">
        <v>60</v>
      </c>
      <c r="D378" s="333">
        <v>31742.78</v>
      </c>
      <c r="F378" s="333">
        <v>22064.76</v>
      </c>
      <c r="H378" s="333">
        <v>42128.3</v>
      </c>
      <c r="J378" s="423">
        <f>'Debt &amp; Capital Structure'!M20+'Debt &amp; Capital Structure'!M21+'Debt &amp; Capital Structure'!M24</f>
        <v>44244.495674999984</v>
      </c>
      <c r="L378" s="425">
        <f>'Debt &amp; Capital Structure'!M24+'Debt &amp; Capital Structure'!M25+'Debt &amp; Capital Structure'!M28+'Debt &amp; Capital Structure'!M29</f>
        <v>44988.98239999999</v>
      </c>
      <c r="V378" s="250"/>
    </row>
    <row r="379" spans="1:22" ht="12.75">
      <c r="A379" s="409">
        <v>6040</v>
      </c>
      <c r="B379" s="6" t="s">
        <v>61</v>
      </c>
      <c r="D379" s="333"/>
      <c r="F379" s="333"/>
      <c r="H379" s="333"/>
      <c r="J379" s="333"/>
      <c r="L379" s="333"/>
      <c r="V379" s="250"/>
    </row>
    <row r="380" spans="1:22" ht="12.75">
      <c r="A380" s="409">
        <v>6042</v>
      </c>
      <c r="B380" s="6" t="s">
        <v>62</v>
      </c>
      <c r="D380" s="333"/>
      <c r="F380" s="333"/>
      <c r="H380" s="333"/>
      <c r="J380" s="333"/>
      <c r="L380" s="333"/>
      <c r="V380" s="250"/>
    </row>
    <row r="381" spans="1:22" ht="12.75">
      <c r="A381" s="409">
        <v>6045</v>
      </c>
      <c r="B381" s="6" t="s">
        <v>63</v>
      </c>
      <c r="D381" s="333"/>
      <c r="F381" s="333"/>
      <c r="H381" s="333"/>
      <c r="J381" s="333"/>
      <c r="L381" s="333"/>
      <c r="V381" s="250"/>
    </row>
    <row r="382" spans="1:22" ht="12.75">
      <c r="A382" s="410"/>
      <c r="B382" s="251" t="s">
        <v>126</v>
      </c>
      <c r="V382" s="250"/>
    </row>
    <row r="383" spans="1:22" ht="12.75">
      <c r="A383" s="409">
        <v>6105</v>
      </c>
      <c r="B383" s="6" t="s">
        <v>64</v>
      </c>
      <c r="D383" s="333">
        <v>21292.42</v>
      </c>
      <c r="F383" s="388">
        <v>20754.74</v>
      </c>
      <c r="H383" s="333">
        <v>21558.3</v>
      </c>
      <c r="J383" s="423">
        <v>22400</v>
      </c>
      <c r="L383" s="423">
        <v>23300</v>
      </c>
      <c r="V383" s="250"/>
    </row>
    <row r="384" spans="1:22" ht="12.75">
      <c r="A384" s="409">
        <v>6110</v>
      </c>
      <c r="B384" s="6" t="s">
        <v>65</v>
      </c>
      <c r="D384" s="333">
        <v>23799</v>
      </c>
      <c r="F384" s="388">
        <v>28706</v>
      </c>
      <c r="H384" s="333">
        <f>4851-6265</f>
        <v>-1414</v>
      </c>
      <c r="J384" s="333">
        <f>+'Capital Tax &amp; Expense Schedules'!K8</f>
        <v>-46250.72721713904</v>
      </c>
      <c r="L384" s="424">
        <f>+'Capital Tax &amp; Expense Schedules'!K21</f>
        <v>36674.47101904824</v>
      </c>
      <c r="V384" s="250"/>
    </row>
    <row r="385" spans="1:22" ht="12.75">
      <c r="A385" s="409">
        <v>6115</v>
      </c>
      <c r="B385" s="6" t="s">
        <v>66</v>
      </c>
      <c r="D385" s="333"/>
      <c r="F385" s="388"/>
      <c r="H385" s="333"/>
      <c r="J385" s="333"/>
      <c r="L385" s="333"/>
      <c r="V385" s="250"/>
    </row>
    <row r="386" spans="1:22" ht="12.75">
      <c r="A386" s="410"/>
      <c r="B386" s="251" t="s">
        <v>206</v>
      </c>
      <c r="V386" s="250"/>
    </row>
    <row r="387" spans="1:22" ht="12.75">
      <c r="A387" s="5">
        <v>6205</v>
      </c>
      <c r="B387" s="6" t="s">
        <v>548</v>
      </c>
      <c r="D387" s="333">
        <v>115</v>
      </c>
      <c r="F387" s="333">
        <v>478.31</v>
      </c>
      <c r="H387" s="333"/>
      <c r="J387" s="333"/>
      <c r="L387" s="333"/>
      <c r="V387" s="250"/>
    </row>
    <row r="388" spans="1:22" ht="12.75">
      <c r="A388" s="5">
        <v>6210</v>
      </c>
      <c r="B388" s="6" t="s">
        <v>67</v>
      </c>
      <c r="D388" s="333"/>
      <c r="F388" s="333"/>
      <c r="H388" s="333"/>
      <c r="J388" s="333"/>
      <c r="L388" s="333"/>
      <c r="V388" s="250"/>
    </row>
    <row r="389" spans="1:22" ht="12.75">
      <c r="A389" s="5">
        <v>6215</v>
      </c>
      <c r="B389" s="6" t="s">
        <v>68</v>
      </c>
      <c r="D389" s="333">
        <v>996.87</v>
      </c>
      <c r="F389" s="333">
        <v>1466.13</v>
      </c>
      <c r="H389" s="333"/>
      <c r="J389" s="333"/>
      <c r="L389" s="333"/>
      <c r="V389" s="250"/>
    </row>
    <row r="390" spans="1:22" ht="12.75">
      <c r="A390" s="5">
        <v>6225</v>
      </c>
      <c r="B390" s="6" t="s">
        <v>206</v>
      </c>
      <c r="D390" s="333"/>
      <c r="F390" s="333"/>
      <c r="H390" s="333"/>
      <c r="J390" s="333"/>
      <c r="L390" s="333"/>
      <c r="V390" s="250"/>
    </row>
    <row r="391" spans="2:22" ht="12.75">
      <c r="B391" s="251" t="s">
        <v>127</v>
      </c>
      <c r="V391" s="250"/>
    </row>
    <row r="392" spans="1:22" ht="12.75">
      <c r="A392" s="5">
        <v>6305</v>
      </c>
      <c r="B392" s="6" t="s">
        <v>69</v>
      </c>
      <c r="D392" s="333"/>
      <c r="F392" s="333">
        <v>-50797.88</v>
      </c>
      <c r="H392" s="387"/>
      <c r="J392" s="333"/>
      <c r="L392" s="333"/>
      <c r="V392" s="250"/>
    </row>
    <row r="393" spans="1:22" ht="12.75">
      <c r="A393" s="5">
        <v>6310</v>
      </c>
      <c r="B393" s="6" t="s">
        <v>70</v>
      </c>
      <c r="D393" s="333"/>
      <c r="F393" s="333"/>
      <c r="H393" s="333"/>
      <c r="J393" s="333"/>
      <c r="L393" s="333"/>
      <c r="V393" s="250"/>
    </row>
    <row r="394" spans="1:22" ht="12.75">
      <c r="A394" s="5">
        <v>6315</v>
      </c>
      <c r="B394" s="6" t="s">
        <v>71</v>
      </c>
      <c r="D394" s="333"/>
      <c r="F394" s="333"/>
      <c r="H394" s="333"/>
      <c r="J394" s="333"/>
      <c r="L394" s="333"/>
      <c r="V394" s="250"/>
    </row>
    <row r="395" spans="2:22" ht="12.75">
      <c r="B395" s="251" t="s">
        <v>128</v>
      </c>
      <c r="V395" s="250"/>
    </row>
    <row r="396" spans="4:22" ht="12.75">
      <c r="D396" s="337"/>
      <c r="F396" s="337"/>
      <c r="H396" s="337"/>
      <c r="J396" s="337"/>
      <c r="L396" s="337"/>
      <c r="V396" s="250"/>
    </row>
    <row r="397" spans="1:22" ht="12.75">
      <c r="A397" s="7" t="s">
        <v>72</v>
      </c>
      <c r="B397" s="8"/>
      <c r="C397" s="4"/>
      <c r="D397" s="338">
        <f>SUM(D6:D396)</f>
        <v>-0.4011634606675898</v>
      </c>
      <c r="E397" s="336"/>
      <c r="F397" s="338">
        <f>SUM(F6:F396)</f>
        <v>0.0599999961341382</v>
      </c>
      <c r="H397" s="338">
        <f>SUM(H6:H396)</f>
        <v>-0.03999999514417141</v>
      </c>
      <c r="J397" s="338">
        <f>SUM(J6:J396)</f>
        <v>0.18010932674951619</v>
      </c>
      <c r="L397" s="338">
        <f>SUM(L6:L396)</f>
        <v>-0.03472555954795098</v>
      </c>
      <c r="V397" s="250"/>
    </row>
    <row r="398" ht="12.75">
      <c r="V398" s="250"/>
    </row>
    <row r="399" ht="12.75">
      <c r="V399" s="250"/>
    </row>
    <row r="400" spans="8:22" ht="12.75">
      <c r="H400" s="329"/>
      <c r="V400" s="250"/>
    </row>
    <row r="401" ht="12.75">
      <c r="V401" s="250"/>
    </row>
    <row r="402" ht="12.75">
      <c r="V402" s="250"/>
    </row>
    <row r="403" ht="12.75">
      <c r="V403" s="250"/>
    </row>
    <row r="404" ht="12.75">
      <c r="V404" s="250"/>
    </row>
    <row r="405" ht="12.75">
      <c r="V405" s="250"/>
    </row>
    <row r="406" ht="12.75">
      <c r="V406" s="250"/>
    </row>
    <row r="407" ht="12.75">
      <c r="V407" s="250"/>
    </row>
    <row r="408" ht="12.75">
      <c r="V408" s="250"/>
    </row>
    <row r="409" ht="12.75">
      <c r="V409" s="250"/>
    </row>
    <row r="410" ht="12.75">
      <c r="V410" s="250"/>
    </row>
    <row r="411" ht="12.75">
      <c r="V411" s="250"/>
    </row>
    <row r="412" ht="12.75">
      <c r="V412" s="250"/>
    </row>
    <row r="413" ht="12.75">
      <c r="V413" s="250"/>
    </row>
    <row r="414" ht="12.75">
      <c r="V414" s="250"/>
    </row>
    <row r="415" ht="12.75">
      <c r="V415" s="250"/>
    </row>
  </sheetData>
  <sheetProtection/>
  <mergeCells count="5">
    <mergeCell ref="A1:H1"/>
    <mergeCell ref="A2:H2"/>
    <mergeCell ref="A4:A5"/>
    <mergeCell ref="B4:B5"/>
    <mergeCell ref="A3:F3"/>
  </mergeCells>
  <printOptions/>
  <pageMargins left="0.7480314960629921" right="0.7480314960629921" top="0.984251968503937" bottom="0.5905511811023623" header="0.5118110236220472" footer="0.31496062992125984"/>
  <pageSetup blackAndWhite="1" fitToHeight="10" fitToWidth="1" horizontalDpi="600" verticalDpi="600" orientation="landscape" scale="88" r:id="rId3"/>
  <headerFooter alignWithMargins="0">
    <oddFooter>&amp;L&amp;A</oddFooter>
  </headerFooter>
  <ignoredErrors>
    <ignoredError sqref="H4 J4 L4 F4 D4" numberStoredAsText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50"/>
  <sheetViews>
    <sheetView showGridLines="0" zoomScalePageLayoutView="0" workbookViewId="0" topLeftCell="A43">
      <selection activeCell="B221" sqref="B221"/>
    </sheetView>
  </sheetViews>
  <sheetFormatPr defaultColWidth="9.140625" defaultRowHeight="12.75"/>
  <cols>
    <col min="1" max="1" width="73.28125" style="24" customWidth="1"/>
    <col min="2" max="2" width="20.8515625" style="354" customWidth="1"/>
  </cols>
  <sheetData>
    <row r="1" spans="1:2" ht="12.75">
      <c r="A1" s="519" t="str">
        <f>'Trial Balance'!A1:F1</f>
        <v>Rideau St. Lawrence Distribution Inc.</v>
      </c>
      <c r="B1" s="519"/>
    </row>
    <row r="2" spans="1:2" ht="12.75">
      <c r="A2" s="519" t="str">
        <f>'Trial Balance'!A2:F2</f>
        <v> License Number ED-2003-0003, File Number EB-2011-0274</v>
      </c>
      <c r="B2" s="519"/>
    </row>
    <row r="3" spans="1:2" ht="15.75">
      <c r="A3" s="537" t="str">
        <f>Notes!B4</f>
        <v>Rideau St. Lawrence Distribution Inc.</v>
      </c>
      <c r="B3" s="537"/>
    </row>
    <row r="4" spans="1:2" ht="15.75">
      <c r="A4" s="537" t="s">
        <v>160</v>
      </c>
      <c r="B4" s="537"/>
    </row>
    <row r="5" spans="1:2" ht="15" customHeight="1">
      <c r="A5" s="62" t="s">
        <v>510</v>
      </c>
      <c r="B5" s="344" t="s">
        <v>150</v>
      </c>
    </row>
    <row r="6" spans="1:2" s="18" customFormat="1" ht="15" customHeight="1">
      <c r="A6" s="535" t="s">
        <v>145</v>
      </c>
      <c r="B6" s="535"/>
    </row>
    <row r="7" spans="1:2" ht="15" customHeight="1">
      <c r="A7" s="25" t="str">
        <f>'Trial Balance'!A8&amp;"-"&amp;'Trial Balance'!B8</f>
        <v>1005-Cash</v>
      </c>
      <c r="B7" s="345">
        <f>'Trial Balance'!D8</f>
        <v>662217.68</v>
      </c>
    </row>
    <row r="8" spans="1:2" ht="15" customHeight="1">
      <c r="A8" s="25" t="str">
        <f>'Trial Balance'!A9&amp;"-"&amp;'Trial Balance'!B9</f>
        <v>1010-Cash Advances and Working Funds</v>
      </c>
      <c r="B8" s="345">
        <f>'Trial Balance'!D9</f>
        <v>950</v>
      </c>
    </row>
    <row r="9" spans="1:2" ht="15" customHeight="1">
      <c r="A9" s="25" t="str">
        <f>'Trial Balance'!A10&amp;"-"&amp;'Trial Balance'!B10</f>
        <v>1020-Interest Special Deposits</v>
      </c>
      <c r="B9" s="345">
        <f>'Trial Balance'!D10</f>
        <v>0</v>
      </c>
    </row>
    <row r="10" spans="1:2" ht="15" customHeight="1">
      <c r="A10" s="25" t="str">
        <f>'Trial Balance'!A11&amp;"-"&amp;'Trial Balance'!B11</f>
        <v>1030-Dividend Special Deposits</v>
      </c>
      <c r="B10" s="345">
        <f>'Trial Balance'!D11</f>
        <v>0</v>
      </c>
    </row>
    <row r="11" spans="1:2" ht="15" customHeight="1">
      <c r="A11" s="25" t="str">
        <f>'Trial Balance'!A12&amp;"-"&amp;'Trial Balance'!B12</f>
        <v>1040-Other Special Deposits</v>
      </c>
      <c r="B11" s="345">
        <f>'Trial Balance'!D12</f>
        <v>0</v>
      </c>
    </row>
    <row r="12" spans="1:2" ht="15" customHeight="1">
      <c r="A12" s="25" t="str">
        <f>'Trial Balance'!A13&amp;"-"&amp;'Trial Balance'!B13</f>
        <v>1060-Term Deposits</v>
      </c>
      <c r="B12" s="345">
        <f>'Trial Balance'!D13</f>
        <v>6033.44</v>
      </c>
    </row>
    <row r="13" spans="1:2" ht="15" customHeight="1">
      <c r="A13" s="25" t="str">
        <f>'Trial Balance'!A14&amp;"-"&amp;'Trial Balance'!B14</f>
        <v>1070-Current Investments</v>
      </c>
      <c r="B13" s="345">
        <f>'Trial Balance'!D14</f>
        <v>0</v>
      </c>
    </row>
    <row r="14" spans="1:2" ht="15" customHeight="1">
      <c r="A14" s="25" t="str">
        <f>'Trial Balance'!A15&amp;"-"&amp;'Trial Balance'!B15</f>
        <v>1100-Customer Accounts Receivable</v>
      </c>
      <c r="B14" s="345">
        <f>'Trial Balance'!D15</f>
        <v>722600.6100000001</v>
      </c>
    </row>
    <row r="15" spans="1:2" ht="15" customHeight="1">
      <c r="A15" s="25" t="str">
        <f>'Trial Balance'!A16&amp;"-"&amp;'Trial Balance'!B16</f>
        <v>1102-Accounts Receivable - Services</v>
      </c>
      <c r="B15" s="345">
        <f>'Trial Balance'!D16</f>
        <v>75689.54</v>
      </c>
    </row>
    <row r="16" spans="1:2" ht="15" customHeight="1">
      <c r="A16" s="25" t="str">
        <f>'Trial Balance'!A17&amp;"-"&amp;'Trial Balance'!B17</f>
        <v>1104-Accounts Receivable - Recoverable Work</v>
      </c>
      <c r="B16" s="345">
        <f>'Trial Balance'!D17</f>
        <v>0</v>
      </c>
    </row>
    <row r="17" spans="1:2" ht="15" customHeight="1">
      <c r="A17" s="25" t="str">
        <f>'Trial Balance'!A18&amp;"-"&amp;'Trial Balance'!B18</f>
        <v>1105-Accounts Receivable - Merchandise, Jobbing, etc.</v>
      </c>
      <c r="B17" s="345">
        <f>'Trial Balance'!D18</f>
        <v>0</v>
      </c>
    </row>
    <row r="18" spans="1:2" ht="15" customHeight="1">
      <c r="A18" s="25" t="str">
        <f>'Trial Balance'!A19&amp;"-"&amp;'Trial Balance'!B19</f>
        <v>1110-Other Accounts Receivable</v>
      </c>
      <c r="B18" s="345">
        <f>'Trial Balance'!D19</f>
        <v>168887.71</v>
      </c>
    </row>
    <row r="19" spans="1:2" ht="15" customHeight="1">
      <c r="A19" s="25" t="str">
        <f>'Trial Balance'!A20&amp;"-"&amp;'Trial Balance'!B20</f>
        <v>1120-Accrued Utility Revenues</v>
      </c>
      <c r="B19" s="345">
        <f>'Trial Balance'!D20</f>
        <v>1178176</v>
      </c>
    </row>
    <row r="20" spans="1:2" ht="15" customHeight="1">
      <c r="A20" s="25" t="str">
        <f>'Trial Balance'!A21&amp;"-"&amp;'Trial Balance'!B21</f>
        <v>1130-Accumulated Provision for Uncollectable Accounts -- Credit</v>
      </c>
      <c r="B20" s="345">
        <f>'Trial Balance'!D21</f>
        <v>-33697.29</v>
      </c>
    </row>
    <row r="21" spans="1:2" ht="15" customHeight="1">
      <c r="A21" s="25" t="str">
        <f>'Trial Balance'!A22&amp;"-"&amp;'Trial Balance'!B22</f>
        <v>1140-Interest and Dividends Receivable</v>
      </c>
      <c r="B21" s="345">
        <f>'Trial Balance'!D22</f>
        <v>0</v>
      </c>
    </row>
    <row r="22" spans="1:2" ht="15" customHeight="1">
      <c r="A22" s="25" t="str">
        <f>'Trial Balance'!A23&amp;"-"&amp;'Trial Balance'!B23</f>
        <v>1150-Rents Receivable</v>
      </c>
      <c r="B22" s="345">
        <f>'Trial Balance'!D23</f>
        <v>0</v>
      </c>
    </row>
    <row r="23" spans="1:2" ht="15" customHeight="1">
      <c r="A23" s="25" t="str">
        <f>'Trial Balance'!A24&amp;"-"&amp;'Trial Balance'!B24</f>
        <v>1170-Notes Receivable</v>
      </c>
      <c r="B23" s="345">
        <f>'Trial Balance'!D24</f>
        <v>0</v>
      </c>
    </row>
    <row r="24" spans="1:2" ht="15" customHeight="1">
      <c r="A24" s="25" t="str">
        <f>'Trial Balance'!A25&amp;"-"&amp;'Trial Balance'!B25</f>
        <v>1180-Prepayments</v>
      </c>
      <c r="B24" s="345">
        <f>'Trial Balance'!D25</f>
        <v>61975.16</v>
      </c>
    </row>
    <row r="25" spans="1:2" ht="15" customHeight="1">
      <c r="A25" s="25" t="str">
        <f>'Trial Balance'!A26&amp;"-"&amp;'Trial Balance'!B26</f>
        <v>1190-Miscellaneous Current and Accrued Assets</v>
      </c>
      <c r="B25" s="345">
        <f>'Trial Balance'!D26</f>
        <v>0</v>
      </c>
    </row>
    <row r="26" spans="1:2" ht="15" customHeight="1">
      <c r="A26" s="25" t="str">
        <f>'Trial Balance'!A27&amp;"-"&amp;'Trial Balance'!B27</f>
        <v>1200-Accounts Receivable from Associated Companies</v>
      </c>
      <c r="B26" s="345">
        <f>'Trial Balance'!D27</f>
        <v>0</v>
      </c>
    </row>
    <row r="27" spans="1:2" ht="15" customHeight="1" thickBot="1">
      <c r="A27" s="25" t="str">
        <f>'Trial Balance'!A28&amp;"-"&amp;'Trial Balance'!B28</f>
        <v>1210-Notes  Receivable from Associated Companies</v>
      </c>
      <c r="B27" s="345">
        <f>'Trial Balance'!D28</f>
        <v>0</v>
      </c>
    </row>
    <row r="28" spans="1:2" ht="15" customHeight="1" thickBot="1">
      <c r="A28" s="26" t="s">
        <v>146</v>
      </c>
      <c r="B28" s="346">
        <f>SUM(B7:B27)</f>
        <v>2842832.85</v>
      </c>
    </row>
    <row r="29" spans="1:2" s="18" customFormat="1" ht="8.25" customHeight="1">
      <c r="A29" s="536"/>
      <c r="B29" s="536"/>
    </row>
    <row r="30" spans="1:2" s="18" customFormat="1" ht="15" customHeight="1">
      <c r="A30" s="534" t="s">
        <v>147</v>
      </c>
      <c r="B30" s="534"/>
    </row>
    <row r="31" spans="1:2" ht="15" customHeight="1">
      <c r="A31" s="25" t="str">
        <f>'Trial Balance'!A30&amp;"-"&amp;'Trial Balance'!B30</f>
        <v>1305-Fuel Stock</v>
      </c>
      <c r="B31" s="345">
        <f>'Trial Balance'!D30</f>
        <v>0</v>
      </c>
    </row>
    <row r="32" spans="1:2" ht="15" customHeight="1">
      <c r="A32" s="25" t="str">
        <f>'Trial Balance'!A31&amp;"-"&amp;'Trial Balance'!B31</f>
        <v>1330-Plant Materials and Operating Supplies</v>
      </c>
      <c r="B32" s="345">
        <f>'Trial Balance'!D31</f>
        <v>216545.36</v>
      </c>
    </row>
    <row r="33" spans="1:2" ht="15" customHeight="1">
      <c r="A33" s="25" t="str">
        <f>'Trial Balance'!A32&amp;"-"&amp;'Trial Balance'!B32</f>
        <v>1340-Merchandise</v>
      </c>
      <c r="B33" s="345">
        <f>'Trial Balance'!D32</f>
        <v>0</v>
      </c>
    </row>
    <row r="34" spans="1:2" ht="15" customHeight="1" thickBot="1">
      <c r="A34" s="25" t="str">
        <f>'Trial Balance'!A33&amp;"-"&amp;'Trial Balance'!B33</f>
        <v>1350-Other Material and Supplies</v>
      </c>
      <c r="B34" s="345">
        <f>'Trial Balance'!D33</f>
        <v>0</v>
      </c>
    </row>
    <row r="35" spans="1:2" ht="15" customHeight="1" thickBot="1">
      <c r="A35" s="27" t="s">
        <v>101</v>
      </c>
      <c r="B35" s="346">
        <f>SUM(B31:B34)</f>
        <v>216545.36</v>
      </c>
    </row>
    <row r="36" spans="1:2" s="18" customFormat="1" ht="15" customHeight="1">
      <c r="A36" s="22"/>
      <c r="B36" s="347"/>
    </row>
    <row r="37" spans="1:2" s="18" customFormat="1" ht="15" customHeight="1">
      <c r="A37" s="534" t="s">
        <v>102</v>
      </c>
      <c r="B37" s="534"/>
    </row>
    <row r="38" spans="1:2" ht="15" customHeight="1">
      <c r="A38" s="25" t="str">
        <f>'Trial Balance'!A35&amp;"-"&amp;'Trial Balance'!B35</f>
        <v>1405-Long Term Investments in Non-Associated Companies</v>
      </c>
      <c r="B38" s="345">
        <f>'Trial Balance'!D35</f>
        <v>0</v>
      </c>
    </row>
    <row r="39" spans="1:2" ht="15" customHeight="1">
      <c r="A39" s="25" t="str">
        <f>'Trial Balance'!A36&amp;"-"&amp;'Trial Balance'!B36</f>
        <v>1408-Long Term Receivable - Street Lighting Transfer</v>
      </c>
      <c r="B39" s="345">
        <f>'Trial Balance'!D36</f>
        <v>0</v>
      </c>
    </row>
    <row r="40" spans="1:2" ht="15" customHeight="1">
      <c r="A40" s="25" t="str">
        <f>'Trial Balance'!A37&amp;"-"&amp;'Trial Balance'!B37</f>
        <v>1410-Other Special or Collateral Funds</v>
      </c>
      <c r="B40" s="345">
        <f>'Trial Balance'!D37</f>
        <v>0</v>
      </c>
    </row>
    <row r="41" spans="1:2" ht="15" customHeight="1">
      <c r="A41" s="25" t="str">
        <f>'Trial Balance'!A38&amp;"-"&amp;'Trial Balance'!B38</f>
        <v>1415-Sinking Funds</v>
      </c>
      <c r="B41" s="345">
        <f>'Trial Balance'!D38</f>
        <v>0</v>
      </c>
    </row>
    <row r="42" spans="1:2" ht="15" customHeight="1">
      <c r="A42" s="25" t="str">
        <f>'Trial Balance'!A39&amp;"-"&amp;'Trial Balance'!B39</f>
        <v>1425-Unamortized Debt Expense</v>
      </c>
      <c r="B42" s="345">
        <f>'Trial Balance'!D39</f>
        <v>0</v>
      </c>
    </row>
    <row r="43" spans="1:2" ht="15" customHeight="1">
      <c r="A43" s="25" t="str">
        <f>'Trial Balance'!A40&amp;"-"&amp;'Trial Balance'!B40</f>
        <v>1445-Unamortized Discount on Long-Term Debt--Debit</v>
      </c>
      <c r="B43" s="345">
        <f>'Trial Balance'!D40</f>
        <v>0</v>
      </c>
    </row>
    <row r="44" spans="1:2" ht="15" customHeight="1">
      <c r="A44" s="25" t="str">
        <f>'Trial Balance'!A41&amp;"-"&amp;'Trial Balance'!B41</f>
        <v>1455-Unamortized Deferred Foreign Currency Translation Gains and Losses</v>
      </c>
      <c r="B44" s="345">
        <f>'Trial Balance'!D41</f>
        <v>0</v>
      </c>
    </row>
    <row r="45" spans="1:2" ht="15" customHeight="1">
      <c r="A45" s="25" t="str">
        <f>'Trial Balance'!A42&amp;"-"&amp;'Trial Balance'!B42</f>
        <v>1460-Other Non-Current Assets</v>
      </c>
      <c r="B45" s="345">
        <f>'Trial Balance'!D42</f>
        <v>0</v>
      </c>
    </row>
    <row r="46" spans="1:2" ht="15" customHeight="1">
      <c r="A46" s="25" t="str">
        <f>'Trial Balance'!A43&amp;"-"&amp;'Trial Balance'!B43</f>
        <v>1465-O.M.E.R.S. Past Service Costs</v>
      </c>
      <c r="B46" s="345">
        <f>'Trial Balance'!D43</f>
        <v>0</v>
      </c>
    </row>
    <row r="47" spans="1:2" ht="15" customHeight="1">
      <c r="A47" s="25" t="str">
        <f>'Trial Balance'!A44&amp;"-"&amp;'Trial Balance'!B44</f>
        <v>1470-Past Service Costs - Employee Future Benefits</v>
      </c>
      <c r="B47" s="345">
        <f>'Trial Balance'!D44</f>
        <v>0</v>
      </c>
    </row>
    <row r="48" spans="1:2" ht="15" customHeight="1">
      <c r="A48" s="25" t="str">
        <f>'Trial Balance'!A45&amp;"-"&amp;'Trial Balance'!B45</f>
        <v>1475-Past Service Costs -Other Pension Plans</v>
      </c>
      <c r="B48" s="345">
        <f>'Trial Balance'!D45</f>
        <v>0</v>
      </c>
    </row>
    <row r="49" spans="1:2" ht="15" customHeight="1">
      <c r="A49" s="25" t="str">
        <f>'Trial Balance'!A46&amp;"-"&amp;'Trial Balance'!B46</f>
        <v>1480-Portfolio Investments - Associated Companies</v>
      </c>
      <c r="B49" s="345">
        <f>'Trial Balance'!D46</f>
        <v>0</v>
      </c>
    </row>
    <row r="50" spans="1:2" ht="15" customHeight="1">
      <c r="A50" s="25" t="str">
        <f>'Trial Balance'!A47&amp;"-"&amp;'Trial Balance'!B47</f>
        <v>1485-Investment In Subsidiary Companies - Significant Influence</v>
      </c>
      <c r="B50" s="345">
        <f>'Trial Balance'!D47</f>
        <v>0</v>
      </c>
    </row>
    <row r="51" spans="1:2" ht="15" customHeight="1" thickBot="1">
      <c r="A51" s="25" t="str">
        <f>'Trial Balance'!A48&amp;"-"&amp;'Trial Balance'!B48</f>
        <v>1490-Investment in Subsidiary Companies</v>
      </c>
      <c r="B51" s="345">
        <f>'Trial Balance'!D48</f>
        <v>0</v>
      </c>
    </row>
    <row r="52" spans="1:2" ht="15" customHeight="1" thickBot="1">
      <c r="A52" s="27" t="s">
        <v>103</v>
      </c>
      <c r="B52" s="346">
        <f>SUM(B38:B51)</f>
        <v>0</v>
      </c>
    </row>
    <row r="53" spans="1:2" s="18" customFormat="1" ht="15" customHeight="1">
      <c r="A53" s="22"/>
      <c r="B53" s="347"/>
    </row>
    <row r="54" spans="1:2" s="18" customFormat="1" ht="15" customHeight="1">
      <c r="A54" s="534" t="s">
        <v>104</v>
      </c>
      <c r="B54" s="534"/>
    </row>
    <row r="55" spans="1:2" ht="15" customHeight="1">
      <c r="A55" s="25" t="str">
        <f>'Trial Balance'!A50&amp;"-"&amp;'Trial Balance'!B50</f>
        <v>1505-Unrecovered Plant and Regulatory Study Costs</v>
      </c>
      <c r="B55" s="345">
        <f>'Trial Balance'!D50</f>
        <v>0</v>
      </c>
    </row>
    <row r="56" spans="1:2" ht="15" customHeight="1">
      <c r="A56" s="25" t="str">
        <f>'Trial Balance'!A51&amp;"-"&amp;'Trial Balance'!B51</f>
        <v>1508-Other Regulatory Assets</v>
      </c>
      <c r="B56" s="345">
        <f>'Trial Balance'!D51</f>
        <v>-59.42116346</v>
      </c>
    </row>
    <row r="57" spans="1:2" ht="15" customHeight="1">
      <c r="A57" s="25" t="str">
        <f>'Trial Balance'!A52&amp;"-"&amp;'Trial Balance'!B52</f>
        <v>1510-Preliminary Survey and Investigation Charges</v>
      </c>
      <c r="B57" s="345">
        <f>'Trial Balance'!D52</f>
        <v>0</v>
      </c>
    </row>
    <row r="58" spans="1:2" ht="15" customHeight="1">
      <c r="A58" s="25" t="str">
        <f>'Trial Balance'!A53&amp;"-"&amp;'Trial Balance'!B53</f>
        <v>1515-Emission Allowance Inventory</v>
      </c>
      <c r="B58" s="345">
        <f>'Trial Balance'!D53</f>
        <v>0</v>
      </c>
    </row>
    <row r="59" spans="1:2" ht="15" customHeight="1">
      <c r="A59" s="25" t="str">
        <f>'Trial Balance'!A54&amp;"-"&amp;'Trial Balance'!B54</f>
        <v>1516-Emission Allowance Withheld</v>
      </c>
      <c r="B59" s="345">
        <f>'Trial Balance'!D54</f>
        <v>0</v>
      </c>
    </row>
    <row r="60" spans="1:2" ht="15" customHeight="1">
      <c r="A60" s="25" t="str">
        <f>'Trial Balance'!A55&amp;"-"&amp;'Trial Balance'!B55</f>
        <v>1518-RCVA Retail</v>
      </c>
      <c r="B60" s="345">
        <f>'Trial Balance'!D55</f>
        <v>3743.26</v>
      </c>
    </row>
    <row r="61" spans="1:2" ht="15" customHeight="1">
      <c r="A61" s="25" t="str">
        <f>'Trial Balance'!A57&amp;"-"&amp;'Trial Balance'!B57</f>
        <v>1525-Miscellaneous Deferred Debits</v>
      </c>
      <c r="B61" s="345">
        <f>'Trial Balance'!D57</f>
        <v>0</v>
      </c>
    </row>
    <row r="62" spans="1:2" ht="15" customHeight="1">
      <c r="A62" s="25" t="str">
        <f>'Trial Balance'!A58&amp;"-"&amp;'Trial Balance'!B58</f>
        <v>1530-Deferred Losses from Disposition of Utility Plant</v>
      </c>
      <c r="B62" s="345">
        <f>'Trial Balance'!D58</f>
        <v>0</v>
      </c>
    </row>
    <row r="63" spans="1:2" ht="15" customHeight="1">
      <c r="A63" s="25" t="str">
        <f>'Trial Balance'!A59&amp;"-"&amp;'Trial Balance'!B59</f>
        <v>1540-Deferred Losses from Disposition of Utility Plant</v>
      </c>
      <c r="B63" s="345">
        <f>'Trial Balance'!D59</f>
        <v>0</v>
      </c>
    </row>
    <row r="64" spans="1:2" ht="15" customHeight="1">
      <c r="A64" s="25" t="str">
        <f>'Trial Balance'!A60&amp;"-"&amp;'Trial Balance'!B60</f>
        <v>1545-Development Charge Deposits/ Receivables</v>
      </c>
      <c r="B64" s="345">
        <f>'Trial Balance'!D60</f>
        <v>0</v>
      </c>
    </row>
    <row r="65" spans="1:2" ht="15" customHeight="1">
      <c r="A65" s="25" t="str">
        <f>'Trial Balance'!A61&amp;"-"&amp;'Trial Balance'!B61</f>
        <v>1548-RCVA - Service Transaction Request (STR)</v>
      </c>
      <c r="B65" s="345">
        <f>'Trial Balance'!D61</f>
        <v>53913.83</v>
      </c>
    </row>
    <row r="66" spans="1:2" ht="15" customHeight="1">
      <c r="A66" s="25" t="str">
        <f>'Trial Balance'!A62&amp;"-"&amp;'Trial Balance'!B62</f>
        <v>1550-LV Charges - Variance</v>
      </c>
      <c r="B66" s="345">
        <f>'Trial Balance'!D62</f>
        <v>125724.01</v>
      </c>
    </row>
    <row r="67" spans="1:2" ht="15" customHeight="1">
      <c r="A67" s="25" t="str">
        <f>'Trial Balance'!A63&amp;"-"&amp;'Trial Balance'!B63</f>
        <v>1555-Smart Meters Recovery</v>
      </c>
      <c r="B67" s="345">
        <f>'Trial Balance'!D63</f>
        <v>-4245.56</v>
      </c>
    </row>
    <row r="68" spans="1:2" ht="15" customHeight="1">
      <c r="A68" s="25" t="str">
        <f>'Trial Balance'!A64&amp;"-"&amp;'Trial Balance'!B64</f>
        <v>1556-Smart Meters OM &amp; A</v>
      </c>
      <c r="B68" s="345">
        <f>'Trial Balance'!D64</f>
        <v>1636.23</v>
      </c>
    </row>
    <row r="69" spans="1:2" ht="15" customHeight="1">
      <c r="A69" s="25" t="str">
        <f>'Trial Balance'!A65&amp;"-"&amp;'Trial Balance'!B65</f>
        <v>1562-Deferred PILs</v>
      </c>
      <c r="B69" s="345">
        <f>'Trial Balance'!D65</f>
        <v>39096.23</v>
      </c>
    </row>
    <row r="70" spans="1:2" ht="15" customHeight="1">
      <c r="A70" s="25" t="str">
        <f>'Trial Balance'!A66&amp;"-"&amp;'Trial Balance'!B66</f>
        <v>1563-Deferred PILs - Contra</v>
      </c>
      <c r="B70" s="345">
        <f>'Trial Balance'!D66</f>
        <v>-39096.23</v>
      </c>
    </row>
    <row r="71" spans="1:2" ht="15" customHeight="1">
      <c r="A71" s="25" t="str">
        <f>'Trial Balance'!A67&amp;"-"&amp;'Trial Balance'!B67</f>
        <v>1565-C &amp; DM Costs</v>
      </c>
      <c r="B71" s="345">
        <f>'Trial Balance'!D67</f>
        <v>0</v>
      </c>
    </row>
    <row r="72" spans="1:2" ht="15" customHeight="1">
      <c r="A72" s="25" t="str">
        <f>'Trial Balance'!A68&amp;"-"&amp;'Trial Balance'!B68</f>
        <v>1566-C &amp; DM Costs Contra - SM Costs to Fixed Assets</v>
      </c>
      <c r="B72" s="345">
        <f>'Trial Balance'!D68</f>
        <v>0</v>
      </c>
    </row>
    <row r="73" spans="1:2" ht="15" customHeight="1">
      <c r="A73" s="25" t="str">
        <f>'Trial Balance'!A69&amp;"-"&amp;'Trial Balance'!B69</f>
        <v>1570-Qualifying Transition Costs</v>
      </c>
      <c r="B73" s="345">
        <f>'Trial Balance'!D69</f>
        <v>0</v>
      </c>
    </row>
    <row r="74" spans="1:2" ht="15" customHeight="1">
      <c r="A74" s="25" t="str">
        <f>'Trial Balance'!A70&amp;"-"&amp;'Trial Balance'!B70</f>
        <v>1571-Pre Market CofP Variance</v>
      </c>
      <c r="B74" s="345">
        <f>'Trial Balance'!D70</f>
        <v>0</v>
      </c>
    </row>
    <row r="75" spans="1:2" ht="15" customHeight="1">
      <c r="A75" s="25" t="str">
        <f>'Trial Balance'!A71&amp;"-"&amp;'Trial Balance'!B71</f>
        <v>1572-Extraordinary Event Losses</v>
      </c>
      <c r="B75" s="345">
        <f>'Trial Balance'!D71</f>
        <v>0</v>
      </c>
    </row>
    <row r="76" spans="1:2" ht="15" customHeight="1">
      <c r="A76" s="25" t="str">
        <f>'Trial Balance'!A72&amp;"-"&amp;'Trial Balance'!B72</f>
        <v>1574-Deferred Rate Impact Amounts</v>
      </c>
      <c r="B76" s="345">
        <f>'Trial Balance'!D72</f>
        <v>0</v>
      </c>
    </row>
    <row r="77" spans="1:2" ht="15" customHeight="1">
      <c r="A77" s="25" t="str">
        <f>'Trial Balance'!A73&amp;"-"&amp;'Trial Balance'!B73</f>
        <v>1580-RSVA - Wholesale Market Services</v>
      </c>
      <c r="B77" s="345">
        <f>'Trial Balance'!D73</f>
        <v>-245972.74</v>
      </c>
    </row>
    <row r="78" spans="1:2" ht="15" customHeight="1">
      <c r="A78" s="25" t="str">
        <f>'Trial Balance'!A74&amp;"-"&amp;'Trial Balance'!B74</f>
        <v>1582-RSVA - One-Time</v>
      </c>
      <c r="B78" s="345">
        <f>'Trial Balance'!D74</f>
        <v>7369.78</v>
      </c>
    </row>
    <row r="79" spans="1:2" ht="15" customHeight="1">
      <c r="A79" s="25" t="str">
        <f>'Trial Balance'!A75&amp;"-"&amp;'Trial Balance'!B75</f>
        <v>1584-RSVA - Network Charges</v>
      </c>
      <c r="B79" s="345">
        <f>'Trial Balance'!D75</f>
        <v>-107978.79</v>
      </c>
    </row>
    <row r="80" spans="1:2" ht="15" customHeight="1">
      <c r="A80" s="25" t="str">
        <f>'Trial Balance'!A76&amp;"-"&amp;'Trial Balance'!B76</f>
        <v>1586-RSVA - Connection Charges</v>
      </c>
      <c r="B80" s="345">
        <f>'Trial Balance'!D76</f>
        <v>-113664.96</v>
      </c>
    </row>
    <row r="81" spans="1:2" ht="15" customHeight="1">
      <c r="A81" s="25" t="str">
        <f>'Trial Balance'!A77&amp;"-"&amp;'Trial Balance'!B77</f>
        <v>1588-RSVA - Commodity (Power)</v>
      </c>
      <c r="B81" s="345">
        <f>'Trial Balance'!D77</f>
        <v>634984.98</v>
      </c>
    </row>
    <row r="82" spans="1:2" ht="15" customHeight="1">
      <c r="A82" s="25" t="str">
        <f>'Trial Balance'!A78&amp;"-"&amp;'Trial Balance'!B78</f>
        <v>1590-Recovery of Regulatory Assets (25% of 2002 bal.)</v>
      </c>
      <c r="B82" s="345">
        <f>'Trial Balance'!D78</f>
        <v>-89686.34</v>
      </c>
    </row>
    <row r="83" spans="1:2" ht="15" customHeight="1">
      <c r="A83" s="25" t="str">
        <f>'Trial Balance'!A79&amp;"-"&amp;'Trial Balance'!B79</f>
        <v>1592-PILs and Tax Variance for 2006 &amp; Subsequent Years</v>
      </c>
      <c r="B83" s="345">
        <f>'Trial Balance'!D79</f>
        <v>0</v>
      </c>
    </row>
    <row r="84" spans="1:2" ht="15" customHeight="1" thickBot="1">
      <c r="A84" s="25" t="str">
        <f>'Trial Balance'!A80&amp;"-"&amp;'Trial Balance'!B80</f>
        <v>1595-Disposition and Recovery of Regulatory Balances</v>
      </c>
      <c r="B84" s="345">
        <f>'Trial Balance'!D80</f>
        <v>47975.63</v>
      </c>
    </row>
    <row r="85" spans="1:2" ht="15" customHeight="1" thickBot="1">
      <c r="A85" s="27" t="s">
        <v>151</v>
      </c>
      <c r="B85" s="346">
        <f>SUM(B55:B84)</f>
        <v>313739.90883653995</v>
      </c>
    </row>
    <row r="86" spans="1:2" s="18" customFormat="1" ht="15" customHeight="1">
      <c r="A86" s="22"/>
      <c r="B86" s="347"/>
    </row>
    <row r="87" spans="1:2" s="18" customFormat="1" ht="15" customHeight="1">
      <c r="A87" s="534" t="s">
        <v>152</v>
      </c>
      <c r="B87" s="534"/>
    </row>
    <row r="88" spans="1:2" s="18" customFormat="1" ht="15" customHeight="1">
      <c r="A88" s="25" t="str">
        <f>'Trial Balance'!A82&amp;"-"&amp;'Trial Balance'!B82</f>
        <v>1610-Intangible Assets</v>
      </c>
      <c r="B88" s="345">
        <f>'Trial Balance'!D82</f>
        <v>0</v>
      </c>
    </row>
    <row r="89" spans="1:2" ht="15" customHeight="1">
      <c r="A89" s="25" t="str">
        <f>'Trial Balance'!A83&amp;"-"&amp;'Trial Balance'!B83</f>
        <v>1805-Land</v>
      </c>
      <c r="B89" s="345">
        <f>'Trial Balance'!D83</f>
        <v>84205.25</v>
      </c>
    </row>
    <row r="90" spans="1:2" ht="15" customHeight="1">
      <c r="A90" s="25" t="str">
        <f>'Trial Balance'!A84&amp;"-"&amp;'Trial Balance'!B84</f>
        <v>1806-Land Rights</v>
      </c>
      <c r="B90" s="345">
        <f>'Trial Balance'!D84</f>
        <v>0</v>
      </c>
    </row>
    <row r="91" spans="1:2" ht="15" customHeight="1">
      <c r="A91" s="25" t="str">
        <f>'Trial Balance'!A85&amp;"-"&amp;'Trial Balance'!B85</f>
        <v>1808-Buildings and Fixtures</v>
      </c>
      <c r="B91" s="345">
        <f>'Trial Balance'!D85</f>
        <v>75719.51000000001</v>
      </c>
    </row>
    <row r="92" spans="1:2" ht="15" customHeight="1">
      <c r="A92" s="25" t="str">
        <f>'Trial Balance'!A86&amp;"-"&amp;'Trial Balance'!B86</f>
        <v>1810-Leasehold Improvements</v>
      </c>
      <c r="B92" s="345">
        <f>'Trial Balance'!D86</f>
        <v>0</v>
      </c>
    </row>
    <row r="93" spans="1:2" ht="15" customHeight="1">
      <c r="A93" s="25" t="str">
        <f>'Trial Balance'!A87&amp;"-"&amp;'Trial Balance'!B87</f>
        <v>1815-Transformer Station Equipment - Normally Primary above 50 kV</v>
      </c>
      <c r="B93" s="345">
        <f>'Trial Balance'!D87</f>
        <v>0</v>
      </c>
    </row>
    <row r="94" spans="1:2" ht="15" customHeight="1">
      <c r="A94" s="25" t="str">
        <f>'Trial Balance'!A88&amp;"-"&amp;'Trial Balance'!B88</f>
        <v>1820-Distribution Station Equipment - Normally Primary below 50 kV</v>
      </c>
      <c r="B94" s="345">
        <f>'Trial Balance'!D88</f>
        <v>662340.11</v>
      </c>
    </row>
    <row r="95" spans="1:2" ht="15" customHeight="1">
      <c r="A95" s="25" t="str">
        <f>'Trial Balance'!A89&amp;"-"&amp;'Trial Balance'!B89</f>
        <v>1825-Storage Battery Equipment</v>
      </c>
      <c r="B95" s="345">
        <f>'Trial Balance'!D89</f>
        <v>0</v>
      </c>
    </row>
    <row r="96" spans="1:2" ht="15" customHeight="1">
      <c r="A96" s="25" t="str">
        <f>'Trial Balance'!A90&amp;"-"&amp;'Trial Balance'!B90</f>
        <v>1830-Poles, Towers and Fixtures</v>
      </c>
      <c r="B96" s="345">
        <f>'Trial Balance'!D90</f>
        <v>370492.70999999996</v>
      </c>
    </row>
    <row r="97" spans="1:2" ht="15" customHeight="1">
      <c r="A97" s="25" t="str">
        <f>'Trial Balance'!A91&amp;"-"&amp;'Trial Balance'!B91</f>
        <v>1835-Overhead Conductors and Devices</v>
      </c>
      <c r="B97" s="345">
        <f>'Trial Balance'!D91</f>
        <v>1688815.12</v>
      </c>
    </row>
    <row r="98" spans="1:2" ht="15" customHeight="1">
      <c r="A98" s="25" t="str">
        <f>'Trial Balance'!A92&amp;"-"&amp;'Trial Balance'!B92</f>
        <v>1840-Underground Conduit</v>
      </c>
      <c r="B98" s="345">
        <f>'Trial Balance'!D92</f>
        <v>461238.46</v>
      </c>
    </row>
    <row r="99" spans="1:2" ht="15" customHeight="1">
      <c r="A99" s="25" t="str">
        <f>'Trial Balance'!A93&amp;"-"&amp;'Trial Balance'!B93</f>
        <v>1845-Underground Conductors and Devices</v>
      </c>
      <c r="B99" s="345">
        <f>'Trial Balance'!D93</f>
        <v>340746.85000000003</v>
      </c>
    </row>
    <row r="100" spans="1:2" ht="15" customHeight="1">
      <c r="A100" s="25" t="str">
        <f>'Trial Balance'!A94&amp;"-"&amp;'Trial Balance'!B94</f>
        <v>1850-Line Transformers</v>
      </c>
      <c r="B100" s="345">
        <f>'Trial Balance'!D94</f>
        <v>904492.1000000001</v>
      </c>
    </row>
    <row r="101" spans="1:2" ht="15" customHeight="1">
      <c r="A101" s="25" t="str">
        <f>'Trial Balance'!A95&amp;"-"&amp;'Trial Balance'!B95</f>
        <v>1855-Services</v>
      </c>
      <c r="B101" s="345">
        <f>'Trial Balance'!D95</f>
        <v>211087.19999999998</v>
      </c>
    </row>
    <row r="102" spans="1:2" ht="15" customHeight="1">
      <c r="A102" s="25" t="str">
        <f>'Trial Balance'!A96&amp;"-"&amp;'Trial Balance'!B96</f>
        <v>1860-Meters</v>
      </c>
      <c r="B102" s="345">
        <f>'Trial Balance'!D96</f>
        <v>409373.44</v>
      </c>
    </row>
    <row r="103" spans="1:2" ht="15" customHeight="1" thickBot="1">
      <c r="A103" s="25" t="str">
        <f>'Trial Balance'!A97&amp;"-"&amp;'Trial Balance'!B97</f>
        <v>1865-Other Installations on Customer's Premises</v>
      </c>
      <c r="B103" s="345">
        <f>'Trial Balance'!D97</f>
        <v>0</v>
      </c>
    </row>
    <row r="104" spans="1:2" ht="15" customHeight="1" thickBot="1">
      <c r="A104" s="28" t="s">
        <v>80</v>
      </c>
      <c r="B104" s="346">
        <f>SUM(B88:B103)</f>
        <v>5208510.750000001</v>
      </c>
    </row>
    <row r="105" spans="1:2" s="18" customFormat="1" ht="15" customHeight="1">
      <c r="A105" s="21"/>
      <c r="B105" s="347"/>
    </row>
    <row r="106" spans="1:2" s="18" customFormat="1" ht="15" customHeight="1">
      <c r="A106" s="534" t="s">
        <v>81</v>
      </c>
      <c r="B106" s="534"/>
    </row>
    <row r="107" spans="1:2" ht="15" customHeight="1">
      <c r="A107" s="25" t="str">
        <f>'Trial Balance'!A98&amp;"-"&amp;'Trial Balance'!B98</f>
        <v>1905-Land</v>
      </c>
      <c r="B107" s="345">
        <f>'Trial Balance'!D98</f>
        <v>0</v>
      </c>
    </row>
    <row r="108" spans="1:2" ht="15" customHeight="1">
      <c r="A108" s="25" t="str">
        <f>'Trial Balance'!A99&amp;"-"&amp;'Trial Balance'!B99</f>
        <v>1906-Land Rights</v>
      </c>
      <c r="B108" s="345">
        <f>'Trial Balance'!D99</f>
        <v>0</v>
      </c>
    </row>
    <row r="109" spans="1:2" ht="15" customHeight="1">
      <c r="A109" s="25" t="str">
        <f>'Trial Balance'!A100&amp;"-"&amp;'Trial Balance'!B100</f>
        <v>1908-Buildings and Fixtures</v>
      </c>
      <c r="B109" s="345">
        <f>'Trial Balance'!D100</f>
        <v>0</v>
      </c>
    </row>
    <row r="110" spans="1:2" ht="15" customHeight="1">
      <c r="A110" s="25" t="str">
        <f>'Trial Balance'!A101&amp;"-"&amp;'Trial Balance'!B101</f>
        <v>1910-Leasehold Improvements</v>
      </c>
      <c r="B110" s="345">
        <f>'Trial Balance'!D101</f>
        <v>8796.45</v>
      </c>
    </row>
    <row r="111" spans="1:2" ht="15" customHeight="1">
      <c r="A111" s="25" t="str">
        <f>'Trial Balance'!A102&amp;"-"&amp;'Trial Balance'!B102</f>
        <v>1915-Office Furniture and Equipment</v>
      </c>
      <c r="B111" s="345">
        <f>'Trial Balance'!D102</f>
        <v>0</v>
      </c>
    </row>
    <row r="112" spans="1:2" ht="15" customHeight="1">
      <c r="A112" s="25" t="str">
        <f>'Trial Balance'!A103&amp;"-"&amp;'Trial Balance'!B103</f>
        <v>1920-Computer Equipment - Hardware</v>
      </c>
      <c r="B112" s="345">
        <f>'Trial Balance'!D103</f>
        <v>134070.38999999998</v>
      </c>
    </row>
    <row r="113" spans="1:2" ht="15" customHeight="1">
      <c r="A113" s="25" t="str">
        <f>'Trial Balance'!A104&amp;"-"&amp;'Trial Balance'!B104</f>
        <v>1925-Computer Software</v>
      </c>
      <c r="B113" s="345">
        <f>'Trial Balance'!D104</f>
        <v>81210</v>
      </c>
    </row>
    <row r="114" spans="1:2" ht="15" customHeight="1">
      <c r="A114" s="25" t="str">
        <f>'Trial Balance'!A105&amp;"-"&amp;'Trial Balance'!B105</f>
        <v>1930-Transportation Equipment</v>
      </c>
      <c r="B114" s="345">
        <f>'Trial Balance'!D105</f>
        <v>22126.36</v>
      </c>
    </row>
    <row r="115" spans="1:2" ht="15" customHeight="1">
      <c r="A115" s="25" t="str">
        <f>'Trial Balance'!A106&amp;"-"&amp;'Trial Balance'!B106</f>
        <v>1935-Stores Equipment</v>
      </c>
      <c r="B115" s="345">
        <f>'Trial Balance'!D106</f>
        <v>0</v>
      </c>
    </row>
    <row r="116" spans="1:2" ht="15" customHeight="1">
      <c r="A116" s="25" t="str">
        <f>'Trial Balance'!A107&amp;"-"&amp;'Trial Balance'!B107</f>
        <v>1940-Tools, Shop and Garage Equipment</v>
      </c>
      <c r="B116" s="345">
        <f>'Trial Balance'!D107</f>
        <v>122568.85</v>
      </c>
    </row>
    <row r="117" spans="1:2" ht="15" customHeight="1">
      <c r="A117" s="25" t="str">
        <f>'Trial Balance'!A108&amp;"-"&amp;'Trial Balance'!B108</f>
        <v>1945-Measurement and Testing Equipment</v>
      </c>
      <c r="B117" s="345">
        <f>'Trial Balance'!D108</f>
        <v>0</v>
      </c>
    </row>
    <row r="118" spans="1:2" ht="15" customHeight="1">
      <c r="A118" s="25" t="str">
        <f>'Trial Balance'!A109&amp;"-"&amp;'Trial Balance'!B109</f>
        <v>1950-Power Operated Equipment</v>
      </c>
      <c r="B118" s="345">
        <f>'Trial Balance'!D109</f>
        <v>0</v>
      </c>
    </row>
    <row r="119" spans="1:2" ht="15" customHeight="1">
      <c r="A119" s="25" t="str">
        <f>'Trial Balance'!A110&amp;"-"&amp;'Trial Balance'!B110</f>
        <v>1955-Communication Equipment</v>
      </c>
      <c r="B119" s="345">
        <f>'Trial Balance'!D110</f>
        <v>0</v>
      </c>
    </row>
    <row r="120" spans="1:2" ht="15" customHeight="1">
      <c r="A120" s="25" t="str">
        <f>'Trial Balance'!A111&amp;"-"&amp;'Trial Balance'!B111</f>
        <v>1960-Miscellaneous Equipment</v>
      </c>
      <c r="B120" s="345">
        <f>'Trial Balance'!D111</f>
        <v>0</v>
      </c>
    </row>
    <row r="121" spans="1:2" ht="15" customHeight="1">
      <c r="A121" s="25" t="str">
        <f>'Trial Balance'!A112&amp;"-"&amp;'Trial Balance'!B112</f>
        <v>1970-Load Management Controls - Customer Premises </v>
      </c>
      <c r="B121" s="345">
        <f>'Trial Balance'!D112</f>
        <v>0</v>
      </c>
    </row>
    <row r="122" spans="1:2" ht="15" customHeight="1">
      <c r="A122" s="25" t="str">
        <f>'Trial Balance'!A113&amp;"-"&amp;'Trial Balance'!B113</f>
        <v>1975-Load Management Controls - Utility Premises</v>
      </c>
      <c r="B122" s="345">
        <f>'Trial Balance'!D113</f>
        <v>0</v>
      </c>
    </row>
    <row r="123" spans="1:2" ht="15" customHeight="1">
      <c r="A123" s="25" t="str">
        <f>'Trial Balance'!A114&amp;"-"&amp;'Trial Balance'!B114</f>
        <v>1980-System Supervisory Equipment</v>
      </c>
      <c r="B123" s="345">
        <f>'Trial Balance'!D114</f>
        <v>0</v>
      </c>
    </row>
    <row r="124" spans="1:2" ht="15" customHeight="1">
      <c r="A124" s="25" t="str">
        <f>'Trial Balance'!A115&amp;"-"&amp;'Trial Balance'!B115</f>
        <v>1985-Sentinel Lighting Rentals</v>
      </c>
      <c r="B124" s="345">
        <f>'Trial Balance'!D115</f>
        <v>0</v>
      </c>
    </row>
    <row r="125" spans="1:2" ht="15" customHeight="1">
      <c r="A125" s="25" t="str">
        <f>'Trial Balance'!A116&amp;"-"&amp;'Trial Balance'!B116</f>
        <v>1990-Other Tangible Property</v>
      </c>
      <c r="B125" s="345">
        <f>'Trial Balance'!D116</f>
        <v>0</v>
      </c>
    </row>
    <row r="126" spans="1:2" ht="15" customHeight="1" thickBot="1">
      <c r="A126" s="25" t="str">
        <f>'Trial Balance'!A117&amp;"-"&amp;'Trial Balance'!B117</f>
        <v>1995-Contributions and Grants</v>
      </c>
      <c r="B126" s="345">
        <f>'Trial Balance'!D117</f>
        <v>-361203.58999999997</v>
      </c>
    </row>
    <row r="127" spans="1:2" ht="15" customHeight="1" thickBot="1">
      <c r="A127" s="28" t="s">
        <v>141</v>
      </c>
      <c r="B127" s="346">
        <f>SUM(B107:B126)</f>
        <v>7568.460000000079</v>
      </c>
    </row>
    <row r="128" spans="1:2" s="18" customFormat="1" ht="15" customHeight="1">
      <c r="A128" s="21"/>
      <c r="B128" s="347"/>
    </row>
    <row r="129" spans="1:2" s="18" customFormat="1" ht="15" customHeight="1">
      <c r="A129" s="534" t="s">
        <v>142</v>
      </c>
      <c r="B129" s="534"/>
    </row>
    <row r="130" spans="1:2" ht="15" customHeight="1">
      <c r="A130" s="25" t="str">
        <f>'Trial Balance'!A119&amp;"-"&amp;'Trial Balance'!B119</f>
        <v>2005-Property Under Capital Leases</v>
      </c>
      <c r="B130" s="345">
        <f>'Trial Balance'!D119</f>
        <v>0</v>
      </c>
    </row>
    <row r="131" spans="1:2" ht="15" customHeight="1">
      <c r="A131" s="25" t="str">
        <f>'Trial Balance'!A120&amp;"-"&amp;'Trial Balance'!B120</f>
        <v>2010-Electric Plant Purchased or Sold</v>
      </c>
      <c r="B131" s="345">
        <f>'Trial Balance'!D120</f>
        <v>0</v>
      </c>
    </row>
    <row r="132" spans="1:2" ht="15" customHeight="1">
      <c r="A132" s="25" t="str">
        <f>'Trial Balance'!A121&amp;"-"&amp;'Trial Balance'!B121</f>
        <v>2020-Experimental Electric Plant Unclassified</v>
      </c>
      <c r="B132" s="345">
        <f>'Trial Balance'!D121</f>
        <v>0</v>
      </c>
    </row>
    <row r="133" spans="1:2" ht="15" customHeight="1">
      <c r="A133" s="25" t="str">
        <f>'Trial Balance'!A122&amp;"-"&amp;'Trial Balance'!B122</f>
        <v>2030-Electric Plant and Equipment Leased to Others</v>
      </c>
      <c r="B133" s="345">
        <f>'Trial Balance'!D122</f>
        <v>0</v>
      </c>
    </row>
    <row r="134" spans="1:2" ht="15" customHeight="1">
      <c r="A134" s="25" t="str">
        <f>'Trial Balance'!A123&amp;"-"&amp;'Trial Balance'!B123</f>
        <v>2040-Electric Plant Held for Future Use</v>
      </c>
      <c r="B134" s="345">
        <f>'Trial Balance'!D123</f>
        <v>0</v>
      </c>
    </row>
    <row r="135" spans="1:2" ht="15" customHeight="1">
      <c r="A135" s="25" t="str">
        <f>'Trial Balance'!A124&amp;"-"&amp;'Trial Balance'!B124</f>
        <v>2050-Completed Construction Not Classified--Electric</v>
      </c>
      <c r="B135" s="345">
        <f>'Trial Balance'!D124</f>
        <v>0</v>
      </c>
    </row>
    <row r="136" spans="1:2" ht="15" customHeight="1">
      <c r="A136" s="25" t="str">
        <f>'Trial Balance'!A125&amp;"-"&amp;'Trial Balance'!B125</f>
        <v>2055-Construction Work in Progress--Electric</v>
      </c>
      <c r="B136" s="345">
        <f>'Trial Balance'!D125</f>
        <v>7063.76</v>
      </c>
    </row>
    <row r="137" spans="1:2" ht="15" customHeight="1">
      <c r="A137" s="25" t="str">
        <f>'Trial Balance'!A126&amp;"-"&amp;'Trial Balance'!B126</f>
        <v>2060-Electric Plant Acquisition Adjustment</v>
      </c>
      <c r="B137" s="345">
        <f>'Trial Balance'!D126</f>
        <v>0</v>
      </c>
    </row>
    <row r="138" spans="1:2" ht="15" customHeight="1">
      <c r="A138" s="25" t="str">
        <f>'Trial Balance'!A127&amp;"-"&amp;'Trial Balance'!B127</f>
        <v>2065-Other Electric Plant Adjustment</v>
      </c>
      <c r="B138" s="345">
        <f>'Trial Balance'!D127</f>
        <v>0</v>
      </c>
    </row>
    <row r="139" spans="1:2" ht="15" customHeight="1">
      <c r="A139" s="25" t="str">
        <f>'Trial Balance'!A128&amp;"-"&amp;'Trial Balance'!B128</f>
        <v>2070-Other Utility Plant</v>
      </c>
      <c r="B139" s="345">
        <f>'Trial Balance'!D128</f>
        <v>0</v>
      </c>
    </row>
    <row r="140" spans="1:2" ht="15" customHeight="1" thickBot="1">
      <c r="A140" s="25" t="str">
        <f>'Trial Balance'!A129&amp;"-"&amp;'Trial Balance'!B129</f>
        <v>2075-Non-Utility Property Owned or Under Capital Lease</v>
      </c>
      <c r="B140" s="345">
        <f>'Trial Balance'!D129</f>
        <v>0</v>
      </c>
    </row>
    <row r="141" spans="1:2" ht="15" customHeight="1" thickBot="1">
      <c r="A141" s="28" t="s">
        <v>143</v>
      </c>
      <c r="B141" s="346">
        <f>SUM(B130:B140)</f>
        <v>7063.76</v>
      </c>
    </row>
    <row r="142" spans="1:2" s="18" customFormat="1" ht="15" customHeight="1">
      <c r="A142" s="21"/>
      <c r="B142" s="347"/>
    </row>
    <row r="143" spans="1:2" s="18" customFormat="1" ht="15" customHeight="1">
      <c r="A143" s="534" t="s">
        <v>144</v>
      </c>
      <c r="B143" s="534"/>
    </row>
    <row r="144" spans="1:2" ht="15" customHeight="1">
      <c r="A144" s="25" t="str">
        <f>'Trial Balance'!A131&amp;"-"&amp;'Trial Balance'!B131</f>
        <v>2105-Accumulated Amortization of Electric Utility Plant - Property, Plant and Equipment</v>
      </c>
      <c r="B144" s="345">
        <f>'Trial Balance'!D131</f>
        <v>-1367599.6099999999</v>
      </c>
    </row>
    <row r="145" spans="1:2" ht="15" customHeight="1">
      <c r="A145" s="25" t="str">
        <f>'Trial Balance'!A132&amp;"-"&amp;'Trial Balance'!B132</f>
        <v>2120-Accumulated Amortization of Electric Utility Plant - Intangibles</v>
      </c>
      <c r="B145" s="345">
        <f>'Trial Balance'!D132</f>
        <v>0</v>
      </c>
    </row>
    <row r="146" spans="1:2" ht="15" customHeight="1">
      <c r="A146" s="25" t="str">
        <f>'Trial Balance'!A133&amp;"-"&amp;'Trial Balance'!B133</f>
        <v>2140-Accumulated Amortization of Electric Plant Acquisition Adjustment</v>
      </c>
      <c r="B146" s="345">
        <f>'Trial Balance'!D133</f>
        <v>0</v>
      </c>
    </row>
    <row r="147" spans="1:2" ht="15" customHeight="1">
      <c r="A147" s="25" t="str">
        <f>'Trial Balance'!A134&amp;"-"&amp;'Trial Balance'!B134</f>
        <v>2160-Accumulated Amortization of Other Utility Plant</v>
      </c>
      <c r="B147" s="345">
        <f>'Trial Balance'!D134</f>
        <v>0</v>
      </c>
    </row>
    <row r="148" spans="1:2" ht="15" customHeight="1" thickBot="1">
      <c r="A148" s="25" t="str">
        <f>'Trial Balance'!A135&amp;"-"&amp;'Trial Balance'!B135</f>
        <v>2180-Accumulated Amortization of Non-Utility Property</v>
      </c>
      <c r="B148" s="345">
        <f>'Trial Balance'!D135</f>
        <v>0</v>
      </c>
    </row>
    <row r="149" spans="1:2" ht="15" customHeight="1" thickBot="1">
      <c r="A149" s="205" t="s">
        <v>148</v>
      </c>
      <c r="B149" s="348">
        <f>SUM(B144:B148)</f>
        <v>-1367599.6099999999</v>
      </c>
    </row>
    <row r="150" spans="1:2" ht="15" customHeight="1" thickBot="1">
      <c r="A150" s="202"/>
      <c r="B150" s="347"/>
    </row>
    <row r="151" spans="1:2" ht="15" customHeight="1" thickBot="1">
      <c r="A151" s="203" t="s">
        <v>247</v>
      </c>
      <c r="B151" s="349">
        <f>B28+B35+B52+B85+B104+B127+B141+B149</f>
        <v>7228661.478836542</v>
      </c>
    </row>
    <row r="152" spans="1:2" s="18" customFormat="1" ht="15" customHeight="1">
      <c r="A152" s="22"/>
      <c r="B152" s="347"/>
    </row>
    <row r="153" spans="1:2" s="18" customFormat="1" ht="15" customHeight="1">
      <c r="A153" s="534" t="s">
        <v>149</v>
      </c>
      <c r="B153" s="534"/>
    </row>
    <row r="154" spans="1:2" ht="15" customHeight="1">
      <c r="A154" s="25" t="str">
        <f>'Trial Balance'!A137&amp;"-"&amp;'Trial Balance'!B137</f>
        <v>2205-Accounts Payable</v>
      </c>
      <c r="B154" s="345">
        <f>-'Trial Balance'!D137</f>
        <v>159248.37000000002</v>
      </c>
    </row>
    <row r="155" spans="1:2" ht="15" customHeight="1">
      <c r="A155" s="25" t="str">
        <f>'Trial Balance'!A138&amp;"-"&amp;'Trial Balance'!B138</f>
        <v>2208-Customer Credit Balances</v>
      </c>
      <c r="B155" s="345">
        <f>-'Trial Balance'!D138</f>
        <v>90328.63</v>
      </c>
    </row>
    <row r="156" spans="1:2" ht="15" customHeight="1">
      <c r="A156" s="25" t="str">
        <f>'Trial Balance'!A139&amp;"-"&amp;'Trial Balance'!B139</f>
        <v>2210-Current Portion of Customer Deposits </v>
      </c>
      <c r="B156" s="345">
        <f>-'Trial Balance'!D139</f>
        <v>79000</v>
      </c>
    </row>
    <row r="157" spans="1:2" ht="15" customHeight="1">
      <c r="A157" s="25" t="str">
        <f>'Trial Balance'!A140&amp;"-"&amp;'Trial Balance'!B140</f>
        <v>2215-Dividends Declared</v>
      </c>
      <c r="B157" s="345">
        <f>-'Trial Balance'!D140</f>
        <v>0</v>
      </c>
    </row>
    <row r="158" spans="1:2" ht="15" customHeight="1">
      <c r="A158" s="25" t="str">
        <f>'Trial Balance'!A141&amp;"-"&amp;'Trial Balance'!B141</f>
        <v>2220-Miscellaneous Current and Accrued Liabilities</v>
      </c>
      <c r="B158" s="345">
        <f>-'Trial Balance'!D141</f>
        <v>1249224.36</v>
      </c>
    </row>
    <row r="159" spans="1:2" ht="15" customHeight="1">
      <c r="A159" s="25" t="str">
        <f>'Trial Balance'!A142&amp;"-"&amp;'Trial Balance'!B142</f>
        <v>2225-Notes and Loans Payable</v>
      </c>
      <c r="B159" s="345">
        <f>-'Trial Balance'!D142</f>
        <v>0</v>
      </c>
    </row>
    <row r="160" spans="1:2" ht="15" customHeight="1">
      <c r="A160" s="25" t="str">
        <f>'Trial Balance'!A143&amp;"-"&amp;'Trial Balance'!B143</f>
        <v>2240-Accounts Payable to Associated Companies</v>
      </c>
      <c r="B160" s="345">
        <f>-'Trial Balance'!D143</f>
        <v>575850.41</v>
      </c>
    </row>
    <row r="161" spans="1:2" ht="15" customHeight="1">
      <c r="A161" s="25" t="str">
        <f>'Trial Balance'!A144&amp;"-"&amp;'Trial Balance'!B144</f>
        <v>2242-Notes Payable to Associated Companies</v>
      </c>
      <c r="B161" s="345">
        <f>-'Trial Balance'!D144</f>
        <v>1163352.49</v>
      </c>
    </row>
    <row r="162" spans="1:2" ht="15" customHeight="1">
      <c r="A162" s="25" t="str">
        <f>'Trial Balance'!A145&amp;"-"&amp;'Trial Balance'!B145</f>
        <v>2250-Debt Retirement  Charges (DRC) Payable</v>
      </c>
      <c r="B162" s="345">
        <f>-'Trial Balance'!D145</f>
        <v>63061.62</v>
      </c>
    </row>
    <row r="163" spans="1:2" ht="15" customHeight="1">
      <c r="A163" s="25" t="str">
        <f>'Trial Balance'!A146&amp;"-"&amp;'Trial Balance'!B146</f>
        <v>2252-Transmission Charges Payable</v>
      </c>
      <c r="B163" s="345">
        <f>-'Trial Balance'!D146</f>
        <v>0</v>
      </c>
    </row>
    <row r="164" spans="1:2" ht="15" customHeight="1">
      <c r="A164" s="25" t="str">
        <f>'Trial Balance'!A147&amp;"-"&amp;'Trial Balance'!B147</f>
        <v>2254-Electric Safety Authority Fees Payable</v>
      </c>
      <c r="B164" s="345">
        <f>-'Trial Balance'!D147</f>
        <v>0</v>
      </c>
    </row>
    <row r="165" spans="1:2" ht="15" customHeight="1">
      <c r="A165" s="25" t="str">
        <f>'Trial Balance'!A148&amp;"-"&amp;'Trial Balance'!B148</f>
        <v>2256-Independent Market Operator Fees and Penalties Payable</v>
      </c>
      <c r="B165" s="345">
        <f>-'Trial Balance'!D148</f>
        <v>0</v>
      </c>
    </row>
    <row r="166" spans="1:2" ht="15" customHeight="1">
      <c r="A166" s="25" t="str">
        <f>'Trial Balance'!A149&amp;"-"&amp;'Trial Balance'!B149</f>
        <v>2260-Current Portion of Long Term Debt</v>
      </c>
      <c r="B166" s="345">
        <f>-'Trial Balance'!D149</f>
        <v>109500</v>
      </c>
    </row>
    <row r="167" spans="1:2" ht="15" customHeight="1">
      <c r="A167" s="25" t="str">
        <f>'Trial Balance'!A150&amp;"-"&amp;'Trial Balance'!B150</f>
        <v>2262-Ontario Hydro Debt - Current Portion</v>
      </c>
      <c r="B167" s="345">
        <f>-'Trial Balance'!D150</f>
        <v>0</v>
      </c>
    </row>
    <row r="168" spans="1:2" ht="15" customHeight="1">
      <c r="A168" s="25" t="str">
        <f>'Trial Balance'!A151&amp;"-"&amp;'Trial Balance'!B151</f>
        <v>2264-Pensions and Employee Benefits - Current Portion</v>
      </c>
      <c r="B168" s="345">
        <f>-'Trial Balance'!D151</f>
        <v>0</v>
      </c>
    </row>
    <row r="169" spans="1:2" ht="15" customHeight="1">
      <c r="A169" s="25" t="str">
        <f>'Trial Balance'!A152&amp;"-"&amp;'Trial Balance'!B152</f>
        <v>2268-Accrued Interest on Long Term Debt</v>
      </c>
      <c r="B169" s="345">
        <f>-'Trial Balance'!D152</f>
        <v>0</v>
      </c>
    </row>
    <row r="170" spans="1:2" ht="15" customHeight="1">
      <c r="A170" s="25" t="str">
        <f>'Trial Balance'!A153&amp;"-"&amp;'Trial Balance'!B153</f>
        <v>2270-Matured Long Term Debt</v>
      </c>
      <c r="B170" s="345">
        <f>-'Trial Balance'!D153</f>
        <v>0</v>
      </c>
    </row>
    <row r="171" spans="1:2" ht="15" customHeight="1">
      <c r="A171" s="25" t="str">
        <f>'Trial Balance'!A154&amp;"-"&amp;'Trial Balance'!B154</f>
        <v>2272-Matured Interest on Long Term Debt</v>
      </c>
      <c r="B171" s="345">
        <f>-'Trial Balance'!D154</f>
        <v>0</v>
      </c>
    </row>
    <row r="172" spans="1:2" ht="15" customHeight="1">
      <c r="A172" s="25" t="str">
        <f>'Trial Balance'!A155&amp;"-"&amp;'Trial Balance'!B155</f>
        <v>2285-Obligations Under Capital Leases--Current</v>
      </c>
      <c r="B172" s="345">
        <f>-'Trial Balance'!D155</f>
        <v>0</v>
      </c>
    </row>
    <row r="173" spans="1:2" ht="15" customHeight="1">
      <c r="A173" s="25" t="str">
        <f>'Trial Balance'!A156&amp;"-"&amp;'Trial Balance'!B156</f>
        <v>2290-Commodity Taxes</v>
      </c>
      <c r="B173" s="345">
        <f>-'Trial Balance'!D156</f>
        <v>62351.81</v>
      </c>
    </row>
    <row r="174" spans="1:2" ht="15" customHeight="1">
      <c r="A174" s="25" t="str">
        <f>'Trial Balance'!A157&amp;"-"&amp;'Trial Balance'!B157</f>
        <v>2292-Payroll Deductions / Expenses Payable</v>
      </c>
      <c r="B174" s="345">
        <f>-'Trial Balance'!D157</f>
        <v>28721.66</v>
      </c>
    </row>
    <row r="175" spans="1:2" ht="15" customHeight="1">
      <c r="A175" s="25" t="str">
        <f>'Trial Balance'!A158&amp;"-"&amp;'Trial Balance'!B158</f>
        <v>2294-Accrual for Taxes, "Payments in Lieu" of Taxes, Etc.</v>
      </c>
      <c r="B175" s="345">
        <f>-'Trial Balance'!D158</f>
        <v>-5847</v>
      </c>
    </row>
    <row r="176" spans="1:2" ht="15" customHeight="1" thickBot="1">
      <c r="A176" s="25" t="str">
        <f>'Trial Balance'!A159&amp;"-"&amp;'Trial Balance'!B159</f>
        <v>2296-Future Income Taxes - Current</v>
      </c>
      <c r="B176" s="345">
        <f>-'Trial Balance'!D159</f>
        <v>0</v>
      </c>
    </row>
    <row r="177" spans="1:2" ht="15" customHeight="1" thickBot="1">
      <c r="A177" s="28" t="s">
        <v>506</v>
      </c>
      <c r="B177" s="346">
        <f>SUM(B154:B176)</f>
        <v>3574792.35</v>
      </c>
    </row>
    <row r="178" spans="1:2" s="18" customFormat="1" ht="15" customHeight="1">
      <c r="A178" s="21"/>
      <c r="B178" s="347"/>
    </row>
    <row r="179" spans="1:2" s="18" customFormat="1" ht="15" customHeight="1">
      <c r="A179" s="534" t="s">
        <v>507</v>
      </c>
      <c r="B179" s="534"/>
    </row>
    <row r="180" spans="1:2" ht="15" customHeight="1">
      <c r="A180" s="25" t="str">
        <f>'Trial Balance'!A161&amp;"-"&amp;'Trial Balance'!B161</f>
        <v>2305-Accumulated Provision for Injuries and Damages</v>
      </c>
      <c r="B180" s="345">
        <f>-'Trial Balance'!D161</f>
        <v>0</v>
      </c>
    </row>
    <row r="181" spans="1:2" ht="15" customHeight="1">
      <c r="A181" s="25" t="str">
        <f>'Trial Balance'!A162&amp;"-"&amp;'Trial Balance'!B162</f>
        <v>2306-Employee Future Benefits</v>
      </c>
      <c r="B181" s="345">
        <f>-'Trial Balance'!D162</f>
        <v>0</v>
      </c>
    </row>
    <row r="182" spans="1:2" ht="15" customHeight="1">
      <c r="A182" s="25" t="str">
        <f>'Trial Balance'!A163&amp;"-"&amp;'Trial Balance'!B163</f>
        <v>2308-Other Pensions - Past Service Liability</v>
      </c>
      <c r="B182" s="345">
        <f>-'Trial Balance'!D163</f>
        <v>0</v>
      </c>
    </row>
    <row r="183" spans="1:2" ht="15" customHeight="1">
      <c r="A183" s="25" t="str">
        <f>'Trial Balance'!A164&amp;"-"&amp;'Trial Balance'!B164</f>
        <v>2310-Vested Sick Leave Liability</v>
      </c>
      <c r="B183" s="345">
        <f>-'Trial Balance'!D164</f>
        <v>0</v>
      </c>
    </row>
    <row r="184" spans="1:2" ht="15" customHeight="1">
      <c r="A184" s="25" t="str">
        <f>'Trial Balance'!A165&amp;"-"&amp;'Trial Balance'!B165</f>
        <v>2315-Accumulated Provision for Rate Refunds</v>
      </c>
      <c r="B184" s="345">
        <f>-'Trial Balance'!D165</f>
        <v>0</v>
      </c>
    </row>
    <row r="185" spans="1:2" ht="15" customHeight="1">
      <c r="A185" s="25" t="str">
        <f>'Trial Balance'!A166&amp;"-"&amp;'Trial Balance'!B166</f>
        <v>2320-Other Miscellaneous Non-Current Liabilities</v>
      </c>
      <c r="B185" s="345">
        <f>-'Trial Balance'!D166</f>
        <v>0</v>
      </c>
    </row>
    <row r="186" spans="1:2" ht="15" customHeight="1">
      <c r="A186" s="25" t="str">
        <f>'Trial Balance'!A167&amp;"-"&amp;'Trial Balance'!B167</f>
        <v>2325-Obligations Under Capital Lease--Non-Current</v>
      </c>
      <c r="B186" s="345">
        <f>-'Trial Balance'!D167</f>
        <v>0</v>
      </c>
    </row>
    <row r="187" spans="1:2" ht="15" customHeight="1">
      <c r="A187" s="25" t="str">
        <f>'Trial Balance'!A168&amp;"-"&amp;'Trial Balance'!B168</f>
        <v>2330-Devolpment Charge Fund</v>
      </c>
      <c r="B187" s="345">
        <f>-'Trial Balance'!D168</f>
        <v>0</v>
      </c>
    </row>
    <row r="188" spans="1:2" ht="15" customHeight="1">
      <c r="A188" s="25" t="str">
        <f>'Trial Balance'!A169&amp;"-"&amp;'Trial Balance'!B169</f>
        <v>2335-Long Term Customer Deposits</v>
      </c>
      <c r="B188" s="345">
        <f>-'Trial Balance'!D169</f>
        <v>70992.15</v>
      </c>
    </row>
    <row r="189" spans="1:2" ht="15" customHeight="1">
      <c r="A189" s="25" t="str">
        <f>'Trial Balance'!A170&amp;"-"&amp;'Trial Balance'!B170</f>
        <v>2340-Collateral Funds Liability</v>
      </c>
      <c r="B189" s="345">
        <f>-'Trial Balance'!D170</f>
        <v>0</v>
      </c>
    </row>
    <row r="190" spans="1:2" ht="15" customHeight="1">
      <c r="A190" s="25" t="str">
        <f>'Trial Balance'!A171&amp;"-"&amp;'Trial Balance'!B171</f>
        <v>2345-Unamortized Premium on Long Term Debt</v>
      </c>
      <c r="B190" s="345">
        <f>-'Trial Balance'!D171</f>
        <v>0</v>
      </c>
    </row>
    <row r="191" spans="1:2" ht="15" customHeight="1">
      <c r="A191" s="25" t="str">
        <f>'Trial Balance'!A172&amp;"-"&amp;'Trial Balance'!B172</f>
        <v>2348-O.M.E.R.S. - Past Service Liability - Long Term Portion</v>
      </c>
      <c r="B191" s="345">
        <f>-'Trial Balance'!D172</f>
        <v>0</v>
      </c>
    </row>
    <row r="192" spans="1:2" ht="15" customHeight="1">
      <c r="A192" s="25" t="str">
        <f>'Trial Balance'!A173&amp;"-"&amp;'Trial Balance'!B173</f>
        <v>2350-Future Income Tax - Non-Current</v>
      </c>
      <c r="B192" s="345">
        <f>-'Trial Balance'!D173</f>
        <v>0</v>
      </c>
    </row>
    <row r="193" spans="1:2" ht="15" customHeight="1">
      <c r="A193" s="25" t="str">
        <f>'Trial Balance'!A175&amp;"-"&amp;'Trial Balance'!B175</f>
        <v>2405-Other Regulatory Liabilities</v>
      </c>
      <c r="B193" s="345">
        <f>-'Trial Balance'!D175</f>
        <v>0</v>
      </c>
    </row>
    <row r="194" spans="1:2" ht="15" customHeight="1">
      <c r="A194" s="25" t="str">
        <f>'Trial Balance'!A176&amp;"-"&amp;'Trial Balance'!B176</f>
        <v>2410-Deferred Gains From Disposition of Utility Plant</v>
      </c>
      <c r="B194" s="345">
        <f>-'Trial Balance'!D176</f>
        <v>0</v>
      </c>
    </row>
    <row r="195" spans="1:2" ht="15" customHeight="1">
      <c r="A195" s="25" t="str">
        <f>'Trial Balance'!A177&amp;"-"&amp;'Trial Balance'!B177</f>
        <v>2415-Unamortized Gain on Reacquired Debt</v>
      </c>
      <c r="B195" s="345">
        <f>-'Trial Balance'!D177</f>
        <v>0</v>
      </c>
    </row>
    <row r="196" spans="1:2" ht="15" customHeight="1">
      <c r="A196" s="25" t="str">
        <f>'Trial Balance'!A178&amp;"-"&amp;'Trial Balance'!B178</f>
        <v>2425-Other Deferred Credits</v>
      </c>
      <c r="B196" s="345">
        <f>-'Trial Balance'!D178</f>
        <v>30000</v>
      </c>
    </row>
    <row r="197" spans="1:2" ht="15" customHeight="1" thickBot="1">
      <c r="A197" s="25" t="str">
        <f>'Trial Balance'!A179&amp;"-"&amp;'Trial Balance'!B179</f>
        <v>2435-Accrued Rate-Payer Benefit</v>
      </c>
      <c r="B197" s="345">
        <f>-'Trial Balance'!D179</f>
        <v>0</v>
      </c>
    </row>
    <row r="198" spans="1:2" ht="15" customHeight="1" thickBot="1">
      <c r="A198" s="28" t="s">
        <v>153</v>
      </c>
      <c r="B198" s="346">
        <f>SUM(B180:B197)</f>
        <v>100992.15</v>
      </c>
    </row>
    <row r="199" spans="1:2" s="18" customFormat="1" ht="15" customHeight="1">
      <c r="A199" s="21"/>
      <c r="B199" s="347"/>
    </row>
    <row r="200" spans="1:2" s="18" customFormat="1" ht="15" customHeight="1">
      <c r="A200" s="534" t="s">
        <v>154</v>
      </c>
      <c r="B200" s="534"/>
    </row>
    <row r="201" spans="1:2" s="18" customFormat="1" ht="15" customHeight="1">
      <c r="A201" s="25" t="str">
        <f>'Trial Balance'!A181&amp;"-"&amp;'Trial Balance'!B181</f>
        <v>2505-Debentures Outstanding - Long Term Portion</v>
      </c>
      <c r="B201" s="345">
        <f>-'Trial Balance'!D181</f>
        <v>0</v>
      </c>
    </row>
    <row r="202" spans="1:2" s="18" customFormat="1" ht="15" customHeight="1">
      <c r="A202" s="25" t="str">
        <f>'Trial Balance'!A182&amp;"-"&amp;'Trial Balance'!B182</f>
        <v>2510-Debenture Advances</v>
      </c>
      <c r="B202" s="345">
        <f>-'Trial Balance'!D182</f>
        <v>0</v>
      </c>
    </row>
    <row r="203" spans="1:2" s="18" customFormat="1" ht="15" customHeight="1">
      <c r="A203" s="25" t="str">
        <f>'Trial Balance'!A183&amp;"-"&amp;'Trial Balance'!B183</f>
        <v>2515-Required Bonds</v>
      </c>
      <c r="B203" s="345">
        <f>-'Trial Balance'!D183</f>
        <v>0</v>
      </c>
    </row>
    <row r="204" spans="1:2" s="18" customFormat="1" ht="15" customHeight="1">
      <c r="A204" s="25" t="str">
        <f>'Trial Balance'!A184&amp;"-"&amp;'Trial Balance'!B184</f>
        <v>2520-Other Long Term Debt</v>
      </c>
      <c r="B204" s="345">
        <f>-'Trial Balance'!D184</f>
        <v>0</v>
      </c>
    </row>
    <row r="205" spans="1:2" s="18" customFormat="1" ht="15" customHeight="1">
      <c r="A205" s="25" t="str">
        <f>'Trial Balance'!A185&amp;"-"&amp;'Trial Balance'!B185</f>
        <v>2525-Term Bank Loans - Long Term Portion</v>
      </c>
      <c r="B205" s="345">
        <f>-'Trial Balance'!D185</f>
        <v>190801.52</v>
      </c>
    </row>
    <row r="206" spans="1:2" s="18" customFormat="1" ht="15" customHeight="1">
      <c r="A206" s="25" t="str">
        <f>'Trial Balance'!A186&amp;"-"&amp;'Trial Balance'!B186</f>
        <v>2530-Ontario Hydro Debt Outstanding - Long Term Portion</v>
      </c>
      <c r="B206" s="345">
        <f>-'Trial Balance'!D186</f>
        <v>0</v>
      </c>
    </row>
    <row r="207" spans="1:2" ht="15" customHeight="1" thickBot="1">
      <c r="A207" s="25" t="str">
        <f>'Trial Balance'!A187&amp;"-"&amp;'Trial Balance'!B187</f>
        <v>2550-Advances from Associated Companies</v>
      </c>
      <c r="B207" s="345">
        <f>-'Trial Balance'!D187</f>
        <v>0</v>
      </c>
    </row>
    <row r="208" spans="1:2" ht="15" customHeight="1" thickBot="1">
      <c r="A208" s="28" t="s">
        <v>155</v>
      </c>
      <c r="B208" s="346">
        <f>SUM(B201:B207)</f>
        <v>190801.52</v>
      </c>
    </row>
    <row r="209" spans="1:2" s="18" customFormat="1" ht="15" customHeight="1">
      <c r="A209" s="21"/>
      <c r="B209" s="347"/>
    </row>
    <row r="210" spans="1:2" s="18" customFormat="1" ht="15" customHeight="1">
      <c r="A210" s="534" t="s">
        <v>156</v>
      </c>
      <c r="B210" s="534"/>
    </row>
    <row r="211" spans="1:2" ht="15" customHeight="1">
      <c r="A211" s="25" t="str">
        <f>'Trial Balance'!A189&amp;"-"&amp;'Trial Balance'!B189</f>
        <v>3005-Common Shares Issued</v>
      </c>
      <c r="B211" s="345">
        <f>-'Trial Balance'!D189</f>
        <v>2511123.49</v>
      </c>
    </row>
    <row r="212" spans="1:2" ht="15" customHeight="1">
      <c r="A212" s="25" t="str">
        <f>'Trial Balance'!A190&amp;"-"&amp;'Trial Balance'!B190</f>
        <v>3008-Preference Shares Issued</v>
      </c>
      <c r="B212" s="345">
        <f>-'Trial Balance'!D190</f>
        <v>0</v>
      </c>
    </row>
    <row r="213" spans="1:2" ht="15" customHeight="1">
      <c r="A213" s="25" t="str">
        <f>'Trial Balance'!A191&amp;"-"&amp;'Trial Balance'!B191</f>
        <v>3010-Contributed Surplus</v>
      </c>
      <c r="B213" s="345">
        <f>-'Trial Balance'!D191</f>
        <v>0</v>
      </c>
    </row>
    <row r="214" spans="1:2" ht="15" customHeight="1">
      <c r="A214" s="25" t="str">
        <f>'Trial Balance'!A192&amp;"-"&amp;'Trial Balance'!B192</f>
        <v>3020-Donations Received</v>
      </c>
      <c r="B214" s="345">
        <f>-'Trial Balance'!D192</f>
        <v>0</v>
      </c>
    </row>
    <row r="215" spans="1:2" ht="15" customHeight="1">
      <c r="A215" s="25" t="str">
        <f>'Trial Balance'!A193&amp;"-"&amp;'Trial Balance'!B193</f>
        <v>3022-Devolpment Charges Transferred to Equity</v>
      </c>
      <c r="B215" s="345">
        <f>-'Trial Balance'!D193</f>
        <v>0</v>
      </c>
    </row>
    <row r="216" spans="1:2" ht="15" customHeight="1">
      <c r="A216" s="25" t="str">
        <f>'Trial Balance'!A194&amp;"-"&amp;'Trial Balance'!B194</f>
        <v>3026-Capital Stock Held in Treasury</v>
      </c>
      <c r="B216" s="345">
        <f>-'Trial Balance'!D194</f>
        <v>0</v>
      </c>
    </row>
    <row r="217" spans="1:2" ht="15" customHeight="1">
      <c r="A217" s="25" t="str">
        <f>'Trial Balance'!A195&amp;"-"&amp;'Trial Balance'!B195</f>
        <v>3030-Miscellaneous Paid-In Capital</v>
      </c>
      <c r="B217" s="345">
        <f>-'Trial Balance'!D195</f>
        <v>0</v>
      </c>
    </row>
    <row r="218" spans="1:2" ht="15" customHeight="1">
      <c r="A218" s="25" t="str">
        <f>'Trial Balance'!A196&amp;"-"&amp;'Trial Balance'!B196</f>
        <v>3035-Installments Received on Capital Stock</v>
      </c>
      <c r="B218" s="345">
        <f>-'Trial Balance'!D196</f>
        <v>0</v>
      </c>
    </row>
    <row r="219" spans="1:2" ht="15" customHeight="1">
      <c r="A219" s="25" t="str">
        <f>'Trial Balance'!A197&amp;"-"&amp;'Trial Balance'!B197</f>
        <v>3040-Appropriated Retained Earnings</v>
      </c>
      <c r="B219" s="345">
        <f>-'Trial Balance'!D197</f>
        <v>0</v>
      </c>
    </row>
    <row r="220" spans="1:2" ht="15" customHeight="1">
      <c r="A220" s="25" t="str">
        <f>'Trial Balance'!A198&amp;"-"&amp;'Trial Balance'!B198</f>
        <v>3045-Unappropriated Retained Earnings</v>
      </c>
      <c r="B220" s="345">
        <f>-'Trial Balance'!D199</f>
        <v>743256.9</v>
      </c>
    </row>
    <row r="221" spans="1:2" ht="15" customHeight="1">
      <c r="A221" s="25" t="s">
        <v>528</v>
      </c>
      <c r="B221" s="350">
        <f>-'2008 Income Statement'!B214</f>
        <v>214014.4699999987</v>
      </c>
    </row>
    <row r="222" spans="1:2" ht="15" customHeight="1">
      <c r="A222" s="25" t="str">
        <f>'Trial Balance'!A200&amp;"-"&amp;'Trial Balance'!B200</f>
        <v>3047-Appropriations of Retained Earnings - Current Period</v>
      </c>
      <c r="B222" s="345">
        <f>-'Trial Balance'!D200</f>
        <v>0</v>
      </c>
    </row>
    <row r="223" spans="1:2" ht="15" customHeight="1">
      <c r="A223" s="25" t="str">
        <f>'Trial Balance'!A201&amp;"-"&amp;'Trial Balance'!B201</f>
        <v>3048-Dividends Payable-Preference Shares</v>
      </c>
      <c r="B223" s="345">
        <f>-'Trial Balance'!D201</f>
        <v>0</v>
      </c>
    </row>
    <row r="224" spans="1:2" ht="15" customHeight="1">
      <c r="A224" s="25" t="str">
        <f>'Trial Balance'!A202&amp;"-"&amp;'Trial Balance'!B202</f>
        <v>3049-Dividends Payable-Common Shares</v>
      </c>
      <c r="B224" s="345">
        <f>-'Trial Balance'!D202</f>
        <v>-106319</v>
      </c>
    </row>
    <row r="225" spans="1:2" ht="15" customHeight="1">
      <c r="A225" s="25" t="str">
        <f>'Trial Balance'!A203&amp;"-"&amp;'Trial Balance'!B203</f>
        <v>3055-Adjustment to Retained Earnings                 </v>
      </c>
      <c r="B225" s="345">
        <f>-'Trial Balance'!D203</f>
        <v>0</v>
      </c>
    </row>
    <row r="226" spans="1:2" ht="15" customHeight="1" thickBot="1">
      <c r="A226" s="25" t="str">
        <f>'Trial Balance'!A204&amp;"-"&amp;'Trial Balance'!B204</f>
        <v>3065-Unappropriated Undistributed Subsidiary Earnings</v>
      </c>
      <c r="B226" s="345">
        <f>-'Trial Balance'!D204</f>
        <v>0</v>
      </c>
    </row>
    <row r="227" spans="1:2" ht="15" customHeight="1" thickBot="1">
      <c r="A227" s="26" t="s">
        <v>529</v>
      </c>
      <c r="B227" s="346">
        <f>SUM(B211:B226)</f>
        <v>3362075.859999999</v>
      </c>
    </row>
    <row r="228" spans="1:2" s="10" customFormat="1" ht="15" customHeight="1">
      <c r="A228" s="22"/>
      <c r="B228" s="347"/>
    </row>
    <row r="229" spans="1:2" s="10" customFormat="1" ht="15" customHeight="1">
      <c r="A229" s="204" t="s">
        <v>256</v>
      </c>
      <c r="B229" s="351">
        <f>B177+B198+B208+B227</f>
        <v>7228661.879999999</v>
      </c>
    </row>
    <row r="230" spans="1:2" s="10" customFormat="1" ht="15" customHeight="1" thickBot="1">
      <c r="A230" s="22"/>
      <c r="B230" s="347"/>
    </row>
    <row r="231" spans="1:2" ht="15" customHeight="1" thickBot="1">
      <c r="A231" s="29" t="s">
        <v>255</v>
      </c>
      <c r="B231" s="352">
        <f>B151-B229</f>
        <v>-0.40116345696151257</v>
      </c>
    </row>
    <row r="232" spans="1:2" ht="15">
      <c r="A232" s="23"/>
      <c r="B232" s="353"/>
    </row>
    <row r="233" spans="1:2" ht="15">
      <c r="A233" s="23"/>
      <c r="B233" s="353"/>
    </row>
    <row r="234" spans="1:2" ht="15">
      <c r="A234" s="23"/>
      <c r="B234" s="353"/>
    </row>
    <row r="235" spans="1:2" ht="15">
      <c r="A235" s="23"/>
      <c r="B235" s="353"/>
    </row>
    <row r="236" spans="1:2" ht="15">
      <c r="A236" s="23"/>
      <c r="B236" s="353"/>
    </row>
    <row r="237" spans="1:2" ht="15">
      <c r="A237" s="23"/>
      <c r="B237" s="353"/>
    </row>
    <row r="238" spans="1:2" ht="15">
      <c r="A238" s="23"/>
      <c r="B238" s="353"/>
    </row>
    <row r="239" spans="1:2" ht="15">
      <c r="A239" s="23"/>
      <c r="B239" s="353"/>
    </row>
    <row r="240" spans="1:2" ht="15">
      <c r="A240" s="23"/>
      <c r="B240" s="353"/>
    </row>
    <row r="241" spans="1:2" ht="15">
      <c r="A241" s="23"/>
      <c r="B241" s="353"/>
    </row>
    <row r="242" spans="1:2" ht="15">
      <c r="A242" s="23"/>
      <c r="B242" s="353"/>
    </row>
    <row r="243" spans="1:2" ht="15">
      <c r="A243" s="23"/>
      <c r="B243" s="353"/>
    </row>
    <row r="244" spans="1:2" ht="15">
      <c r="A244" s="23"/>
      <c r="B244" s="353"/>
    </row>
    <row r="245" spans="1:2" ht="15">
      <c r="A245" s="23"/>
      <c r="B245" s="353"/>
    </row>
    <row r="246" spans="1:2" ht="15">
      <c r="A246" s="23"/>
      <c r="B246" s="353"/>
    </row>
    <row r="247" spans="1:2" ht="15">
      <c r="A247" s="23"/>
      <c r="B247" s="353"/>
    </row>
    <row r="248" spans="1:2" ht="15">
      <c r="A248" s="23"/>
      <c r="B248" s="353"/>
    </row>
    <row r="249" spans="1:2" ht="15">
      <c r="A249" s="23"/>
      <c r="B249" s="353"/>
    </row>
    <row r="250" spans="1:2" ht="15">
      <c r="A250" s="23"/>
      <c r="B250" s="353"/>
    </row>
    <row r="251" spans="1:2" ht="15">
      <c r="A251" s="23"/>
      <c r="B251" s="353"/>
    </row>
    <row r="252" spans="1:2" ht="15">
      <c r="A252" s="23"/>
      <c r="B252" s="353"/>
    </row>
    <row r="253" spans="1:2" ht="15">
      <c r="A253" s="23"/>
      <c r="B253" s="353"/>
    </row>
    <row r="254" spans="1:2" ht="15">
      <c r="A254" s="23"/>
      <c r="B254" s="353"/>
    </row>
    <row r="255" spans="1:2" ht="15">
      <c r="A255" s="23"/>
      <c r="B255" s="353"/>
    </row>
    <row r="256" spans="1:2" ht="15">
      <c r="A256" s="23"/>
      <c r="B256" s="353"/>
    </row>
    <row r="257" spans="1:2" ht="15">
      <c r="A257" s="23"/>
      <c r="B257" s="353"/>
    </row>
    <row r="258" spans="1:2" ht="15">
      <c r="A258" s="23"/>
      <c r="B258" s="353"/>
    </row>
    <row r="259" spans="1:2" ht="15">
      <c r="A259" s="23"/>
      <c r="B259" s="353"/>
    </row>
    <row r="260" spans="1:2" ht="15">
      <c r="A260" s="23"/>
      <c r="B260" s="353"/>
    </row>
    <row r="261" spans="1:2" ht="15">
      <c r="A261" s="23"/>
      <c r="B261" s="353"/>
    </row>
    <row r="262" spans="1:2" ht="15">
      <c r="A262" s="23"/>
      <c r="B262" s="353"/>
    </row>
    <row r="263" spans="1:2" ht="15">
      <c r="A263" s="23"/>
      <c r="B263" s="353"/>
    </row>
    <row r="264" spans="1:2" ht="15">
      <c r="A264" s="23"/>
      <c r="B264" s="353"/>
    </row>
    <row r="265" spans="1:2" ht="15">
      <c r="A265" s="23"/>
      <c r="B265" s="353"/>
    </row>
    <row r="266" spans="1:2" ht="15">
      <c r="A266" s="23"/>
      <c r="B266" s="353"/>
    </row>
    <row r="267" spans="1:2" ht="15">
      <c r="A267" s="23"/>
      <c r="B267" s="353"/>
    </row>
    <row r="268" spans="1:2" ht="15">
      <c r="A268" s="23"/>
      <c r="B268" s="353"/>
    </row>
    <row r="269" spans="1:2" ht="15">
      <c r="A269" s="23"/>
      <c r="B269" s="353"/>
    </row>
    <row r="270" spans="1:2" ht="15">
      <c r="A270" s="23"/>
      <c r="B270" s="353"/>
    </row>
    <row r="271" spans="1:2" ht="15">
      <c r="A271" s="23"/>
      <c r="B271" s="353"/>
    </row>
    <row r="272" spans="1:2" ht="15">
      <c r="A272" s="23"/>
      <c r="B272" s="353"/>
    </row>
    <row r="273" spans="1:2" ht="15">
      <c r="A273" s="23"/>
      <c r="B273" s="353"/>
    </row>
    <row r="274" spans="1:2" ht="15">
      <c r="A274" s="23"/>
      <c r="B274" s="353"/>
    </row>
    <row r="275" spans="1:2" ht="15">
      <c r="A275" s="23"/>
      <c r="B275" s="353"/>
    </row>
    <row r="276" spans="1:2" ht="15">
      <c r="A276" s="23"/>
      <c r="B276" s="353"/>
    </row>
    <row r="277" spans="1:2" ht="15">
      <c r="A277" s="23"/>
      <c r="B277" s="353"/>
    </row>
    <row r="278" spans="1:2" ht="15">
      <c r="A278" s="23"/>
      <c r="B278" s="353"/>
    </row>
    <row r="279" spans="1:2" ht="15">
      <c r="A279" s="23"/>
      <c r="B279" s="353"/>
    </row>
    <row r="280" spans="1:2" ht="15">
      <c r="A280" s="23"/>
      <c r="B280" s="353"/>
    </row>
    <row r="281" spans="1:2" ht="15">
      <c r="A281" s="23"/>
      <c r="B281" s="353"/>
    </row>
    <row r="282" spans="1:2" ht="15">
      <c r="A282" s="23"/>
      <c r="B282" s="353"/>
    </row>
    <row r="283" spans="1:2" ht="15">
      <c r="A283" s="23"/>
      <c r="B283" s="353"/>
    </row>
    <row r="284" spans="1:2" ht="15">
      <c r="A284" s="23"/>
      <c r="B284" s="353"/>
    </row>
    <row r="285" spans="1:2" ht="15">
      <c r="A285" s="23"/>
      <c r="B285" s="353"/>
    </row>
    <row r="286" spans="1:2" ht="15">
      <c r="A286" s="23"/>
      <c r="B286" s="353"/>
    </row>
    <row r="287" spans="1:2" ht="15">
      <c r="A287" s="23"/>
      <c r="B287" s="353"/>
    </row>
    <row r="288" spans="1:2" ht="15">
      <c r="A288" s="23"/>
      <c r="B288" s="353"/>
    </row>
    <row r="289" spans="1:2" ht="15">
      <c r="A289" s="23"/>
      <c r="B289" s="353"/>
    </row>
    <row r="290" spans="1:2" ht="15">
      <c r="A290" s="23"/>
      <c r="B290" s="353"/>
    </row>
    <row r="291" spans="1:2" ht="15">
      <c r="A291" s="23"/>
      <c r="B291" s="353"/>
    </row>
    <row r="292" spans="1:2" ht="15">
      <c r="A292" s="23"/>
      <c r="B292" s="353"/>
    </row>
    <row r="293" spans="1:2" ht="15">
      <c r="A293" s="23"/>
      <c r="B293" s="353"/>
    </row>
    <row r="294" spans="1:2" ht="15">
      <c r="A294" s="23"/>
      <c r="B294" s="353"/>
    </row>
    <row r="295" spans="1:2" ht="15">
      <c r="A295" s="23"/>
      <c r="B295" s="353"/>
    </row>
    <row r="296" spans="1:2" ht="15">
      <c r="A296" s="23"/>
      <c r="B296" s="353"/>
    </row>
    <row r="297" spans="1:2" ht="15">
      <c r="A297" s="23"/>
      <c r="B297" s="353"/>
    </row>
    <row r="298" spans="1:2" ht="15">
      <c r="A298" s="23"/>
      <c r="B298" s="353"/>
    </row>
    <row r="299" spans="1:2" ht="15">
      <c r="A299" s="23"/>
      <c r="B299" s="353"/>
    </row>
    <row r="300" spans="1:2" ht="15">
      <c r="A300" s="23"/>
      <c r="B300" s="353"/>
    </row>
    <row r="301" spans="1:2" ht="15">
      <c r="A301" s="23"/>
      <c r="B301" s="353"/>
    </row>
    <row r="302" spans="1:2" ht="15">
      <c r="A302" s="23"/>
      <c r="B302" s="353"/>
    </row>
    <row r="303" spans="1:2" ht="15">
      <c r="A303" s="23"/>
      <c r="B303" s="353"/>
    </row>
    <row r="304" spans="1:2" ht="15">
      <c r="A304" s="23"/>
      <c r="B304" s="353"/>
    </row>
    <row r="305" spans="1:2" ht="15">
      <c r="A305" s="23"/>
      <c r="B305" s="353"/>
    </row>
    <row r="306" spans="1:2" ht="15">
      <c r="A306" s="23"/>
      <c r="B306" s="353"/>
    </row>
    <row r="307" spans="1:2" ht="15">
      <c r="A307" s="23"/>
      <c r="B307" s="353"/>
    </row>
    <row r="308" spans="1:2" ht="15">
      <c r="A308" s="23"/>
      <c r="B308" s="353"/>
    </row>
    <row r="309" spans="1:2" ht="15">
      <c r="A309" s="23"/>
      <c r="B309" s="353"/>
    </row>
    <row r="310" spans="1:2" ht="15">
      <c r="A310" s="23"/>
      <c r="B310" s="353"/>
    </row>
    <row r="311" spans="1:2" ht="15">
      <c r="A311" s="23"/>
      <c r="B311" s="353"/>
    </row>
    <row r="312" spans="1:2" ht="15">
      <c r="A312" s="23"/>
      <c r="B312" s="353"/>
    </row>
    <row r="313" spans="1:2" ht="15">
      <c r="A313" s="23"/>
      <c r="B313" s="353"/>
    </row>
    <row r="314" spans="1:2" ht="15">
      <c r="A314" s="23"/>
      <c r="B314" s="353"/>
    </row>
    <row r="315" spans="1:2" ht="15">
      <c r="A315" s="23"/>
      <c r="B315" s="353"/>
    </row>
    <row r="316" spans="1:2" ht="15">
      <c r="A316" s="23"/>
      <c r="B316" s="353"/>
    </row>
    <row r="317" spans="1:2" ht="15">
      <c r="A317" s="23"/>
      <c r="B317" s="353"/>
    </row>
    <row r="318" spans="1:2" ht="15">
      <c r="A318" s="23"/>
      <c r="B318" s="353"/>
    </row>
    <row r="319" spans="1:2" ht="15">
      <c r="A319" s="23"/>
      <c r="B319" s="353"/>
    </row>
    <row r="320" spans="1:2" ht="15">
      <c r="A320" s="23"/>
      <c r="B320" s="353"/>
    </row>
    <row r="321" spans="1:2" ht="15">
      <c r="A321" s="23"/>
      <c r="B321" s="353"/>
    </row>
    <row r="322" spans="1:2" ht="15">
      <c r="A322" s="23"/>
      <c r="B322" s="353"/>
    </row>
    <row r="323" spans="1:2" ht="15">
      <c r="A323" s="23"/>
      <c r="B323" s="353"/>
    </row>
    <row r="324" spans="1:2" ht="15">
      <c r="A324" s="23"/>
      <c r="B324" s="353"/>
    </row>
    <row r="325" spans="1:2" ht="15">
      <c r="A325" s="23"/>
      <c r="B325" s="353"/>
    </row>
    <row r="326" spans="1:2" ht="15">
      <c r="A326" s="23"/>
      <c r="B326" s="353"/>
    </row>
    <row r="327" spans="1:2" ht="15">
      <c r="A327" s="23"/>
      <c r="B327" s="353"/>
    </row>
    <row r="328" spans="1:2" ht="15">
      <c r="A328" s="23"/>
      <c r="B328" s="353"/>
    </row>
    <row r="329" spans="1:2" ht="15">
      <c r="A329" s="23"/>
      <c r="B329" s="353"/>
    </row>
    <row r="330" spans="1:2" ht="15">
      <c r="A330" s="23"/>
      <c r="B330" s="353"/>
    </row>
    <row r="331" spans="1:2" ht="15">
      <c r="A331" s="23"/>
      <c r="B331" s="353"/>
    </row>
    <row r="332" spans="1:2" ht="15">
      <c r="A332" s="23"/>
      <c r="B332" s="353"/>
    </row>
    <row r="333" spans="1:2" ht="15">
      <c r="A333" s="23"/>
      <c r="B333" s="353"/>
    </row>
    <row r="334" spans="1:2" ht="15">
      <c r="A334" s="23"/>
      <c r="B334" s="353"/>
    </row>
    <row r="335" spans="1:2" ht="15">
      <c r="A335" s="23"/>
      <c r="B335" s="353"/>
    </row>
    <row r="336" spans="1:2" ht="15">
      <c r="A336" s="23"/>
      <c r="B336" s="353"/>
    </row>
    <row r="337" spans="1:2" ht="15">
      <c r="A337" s="23"/>
      <c r="B337" s="353"/>
    </row>
    <row r="338" spans="1:2" ht="15">
      <c r="A338" s="23"/>
      <c r="B338" s="353"/>
    </row>
    <row r="339" spans="1:2" ht="15">
      <c r="A339" s="23"/>
      <c r="B339" s="353"/>
    </row>
    <row r="340" spans="1:2" ht="15">
      <c r="A340" s="23"/>
      <c r="B340" s="353"/>
    </row>
    <row r="341" spans="1:2" ht="15">
      <c r="A341" s="23"/>
      <c r="B341" s="353"/>
    </row>
    <row r="342" spans="1:2" ht="15">
      <c r="A342" s="23"/>
      <c r="B342" s="353"/>
    </row>
    <row r="343" spans="1:2" ht="15">
      <c r="A343" s="23"/>
      <c r="B343" s="353"/>
    </row>
    <row r="344" spans="1:2" ht="15">
      <c r="A344" s="23"/>
      <c r="B344" s="353"/>
    </row>
    <row r="345" spans="1:2" ht="15">
      <c r="A345" s="23"/>
      <c r="B345" s="353"/>
    </row>
    <row r="346" spans="1:2" ht="15">
      <c r="A346" s="23"/>
      <c r="B346" s="353"/>
    </row>
    <row r="347" spans="1:2" ht="15">
      <c r="A347" s="23"/>
      <c r="B347" s="353"/>
    </row>
    <row r="348" spans="1:2" ht="15">
      <c r="A348" s="23"/>
      <c r="B348" s="353"/>
    </row>
    <row r="349" spans="1:2" ht="15">
      <c r="A349" s="23"/>
      <c r="B349" s="353"/>
    </row>
    <row r="350" spans="1:2" ht="15">
      <c r="A350" s="23"/>
      <c r="B350" s="353"/>
    </row>
  </sheetData>
  <sheetProtection/>
  <mergeCells count="17">
    <mergeCell ref="A1:B1"/>
    <mergeCell ref="A2:B2"/>
    <mergeCell ref="A3:B3"/>
    <mergeCell ref="A4:B4"/>
    <mergeCell ref="A37:B37"/>
    <mergeCell ref="A54:B54"/>
    <mergeCell ref="A6:B6"/>
    <mergeCell ref="A29:B29"/>
    <mergeCell ref="A30:B30"/>
    <mergeCell ref="A200:B200"/>
    <mergeCell ref="A210:B210"/>
    <mergeCell ref="A87:B87"/>
    <mergeCell ref="A106:B106"/>
    <mergeCell ref="A129:B129"/>
    <mergeCell ref="A143:B143"/>
    <mergeCell ref="A153:B153"/>
    <mergeCell ref="A179:B179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75" r:id="rId1"/>
  <headerFooter alignWithMargins="0">
    <oddFooter>&amp;L&amp;A</oddFooter>
  </headerFooter>
  <rowBreaks count="4" manualBreakCount="4">
    <brk id="53" max="255" man="1"/>
    <brk id="105" max="255" man="1"/>
    <brk id="152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Peter Soules</cp:lastModifiedBy>
  <cp:lastPrinted>2012-07-26T14:11:01Z</cp:lastPrinted>
  <dcterms:created xsi:type="dcterms:W3CDTF">2007-08-10T15:33:39Z</dcterms:created>
  <dcterms:modified xsi:type="dcterms:W3CDTF">2012-07-26T18:22:41Z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